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showInkAnnotation="0" codeName="ThisWorkbook"/>
  <mc:AlternateContent xmlns:mc="http://schemas.openxmlformats.org/markup-compatibility/2006">
    <mc:Choice Requires="x15">
      <x15ac:absPath xmlns:x15ac="http://schemas.microsoft.com/office/spreadsheetml/2010/11/ac" url="C:\Users\qlb33v\AppData\Local\Microsoft\Windows\INetCache\Content.Outlook\6K15CKXS\"/>
    </mc:Choice>
  </mc:AlternateContent>
  <xr:revisionPtr revIDLastSave="0" documentId="13_ncr:1_{81EB1AFC-2915-4A8E-93D5-73B183C717A9}" xr6:coauthVersionLast="46" xr6:coauthVersionMax="46" xr10:uidLastSave="{00000000-0000-0000-0000-000000000000}"/>
  <bookViews>
    <workbookView showSheetTabs="0" xWindow="28680" yWindow="-120" windowWidth="29040" windowHeight="15840" tabRatio="851"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data'!$A$1:$U$7549</definedName>
    <definedName name="_xlnm._FilterDatabase" localSheetId="3" hidden="1">'caseload data'!$A$1:$X$1636</definedName>
    <definedName name="_xlnm._FilterDatabase" localSheetId="1" hidden="1">PDUs!$N$1:$Y$149</definedName>
    <definedName name="_xlnm._FilterDatabase" localSheetId="4" hidden="1">'reductions data'!$A$1:$L$5156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caseload'!$B$7</definedName>
    <definedName name="EoE">'national caseload'!$B$12</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caseload'!$B$17</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caseload'!$B$22</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caseload'!$B$32</definedName>
    <definedName name="NWR">'national caseload'!$B$37</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home!$A$1:$Q$28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caseload'!$B$47</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caseload'!$B$52</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caseload'!$B$57</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4" i="79" l="1"/>
  <c r="W5" i="79"/>
  <c r="W6" i="79"/>
  <c r="W7" i="79"/>
  <c r="W8" i="79"/>
  <c r="W9" i="79"/>
  <c r="W10" i="79"/>
  <c r="W11" i="79"/>
  <c r="W12" i="79"/>
  <c r="W13" i="79"/>
  <c r="W14" i="79"/>
  <c r="W15" i="79"/>
  <c r="W16" i="79"/>
  <c r="W17" i="79"/>
  <c r="W18" i="79"/>
  <c r="W19" i="79"/>
  <c r="W20" i="79"/>
  <c r="W21" i="79"/>
  <c r="W22" i="79"/>
  <c r="W23" i="79"/>
  <c r="W24" i="79"/>
  <c r="W25" i="79"/>
  <c r="W26" i="79"/>
  <c r="W27" i="79"/>
  <c r="W28" i="79"/>
  <c r="W29" i="79"/>
  <c r="W30" i="79"/>
  <c r="W31" i="79"/>
  <c r="W32" i="79"/>
  <c r="W33" i="79"/>
  <c r="W34" i="79"/>
  <c r="W35" i="79"/>
  <c r="W36" i="79"/>
  <c r="W37" i="79"/>
  <c r="W38" i="79"/>
  <c r="W39" i="79"/>
  <c r="W40" i="79"/>
  <c r="W41" i="79"/>
  <c r="W42" i="79"/>
  <c r="W43" i="79"/>
  <c r="W44" i="79"/>
  <c r="W45" i="79"/>
  <c r="W46" i="79"/>
  <c r="W47" i="79"/>
  <c r="W48" i="79"/>
  <c r="W49" i="79"/>
  <c r="W50" i="79"/>
  <c r="W51" i="79"/>
  <c r="W52" i="79"/>
  <c r="W53" i="79"/>
  <c r="W54" i="79"/>
  <c r="W55" i="79"/>
  <c r="W56" i="79"/>
  <c r="W57" i="79"/>
  <c r="W58" i="79"/>
  <c r="W59" i="79"/>
  <c r="W60" i="79"/>
  <c r="W61" i="79"/>
  <c r="W62" i="79"/>
  <c r="W63" i="79"/>
  <c r="W64" i="79"/>
  <c r="W65" i="79"/>
  <c r="W66" i="79"/>
  <c r="W67" i="79"/>
  <c r="W68" i="79"/>
  <c r="W69" i="79"/>
  <c r="W70" i="79"/>
  <c r="W71" i="79"/>
  <c r="W72" i="79"/>
  <c r="W73" i="79"/>
  <c r="W74" i="79"/>
  <c r="W75" i="79"/>
  <c r="W76" i="79"/>
  <c r="W77" i="79"/>
  <c r="W78" i="79"/>
  <c r="W79" i="79"/>
  <c r="W80" i="79"/>
  <c r="W81" i="79"/>
  <c r="W82" i="79"/>
  <c r="W83" i="79"/>
  <c r="W84" i="79"/>
  <c r="W85" i="79"/>
  <c r="W86" i="79"/>
  <c r="W87" i="79"/>
  <c r="W88" i="79"/>
  <c r="W89" i="79"/>
  <c r="W90" i="79"/>
  <c r="W91" i="79"/>
  <c r="W92" i="79"/>
  <c r="W93" i="79"/>
  <c r="W94" i="79"/>
  <c r="W95" i="79"/>
  <c r="W96" i="79"/>
  <c r="W97" i="79"/>
  <c r="W98" i="79"/>
  <c r="W99" i="79"/>
  <c r="W100" i="79"/>
  <c r="W101" i="79"/>
  <c r="W102" i="79"/>
  <c r="W103" i="79"/>
  <c r="W104" i="79"/>
  <c r="W105" i="79"/>
  <c r="W106" i="79"/>
  <c r="W107" i="79"/>
  <c r="W108" i="79"/>
  <c r="W109" i="79"/>
  <c r="W110" i="79"/>
  <c r="W111" i="79"/>
  <c r="W112" i="79"/>
  <c r="W113" i="79"/>
  <c r="W114" i="79"/>
  <c r="W115" i="79"/>
  <c r="W116" i="79"/>
  <c r="W117" i="79"/>
  <c r="W118" i="79"/>
  <c r="W119" i="79"/>
  <c r="W120" i="79"/>
  <c r="W121" i="79"/>
  <c r="W122" i="79"/>
  <c r="W123" i="79"/>
  <c r="W124" i="79"/>
  <c r="W125" i="79"/>
  <c r="W126" i="79"/>
  <c r="W127" i="79"/>
  <c r="W128" i="79"/>
  <c r="W129" i="79"/>
  <c r="W130" i="79"/>
  <c r="W131" i="79"/>
  <c r="W132" i="79"/>
  <c r="W133" i="79"/>
  <c r="W134" i="79"/>
  <c r="W135" i="79"/>
  <c r="W136" i="79"/>
  <c r="W137" i="79"/>
  <c r="W138" i="79"/>
  <c r="W139" i="79"/>
  <c r="W140" i="79"/>
  <c r="W141" i="79"/>
  <c r="W142" i="79"/>
  <c r="W143" i="79"/>
  <c r="W144" i="79"/>
  <c r="W145" i="79"/>
  <c r="W146" i="79"/>
  <c r="W147" i="79"/>
  <c r="W148" i="79"/>
  <c r="W149" i="79"/>
  <c r="W150" i="79"/>
  <c r="W151" i="79"/>
  <c r="W152" i="79"/>
  <c r="W153" i="79"/>
  <c r="V4" i="79"/>
  <c r="V5" i="79"/>
  <c r="V6" i="79"/>
  <c r="V7" i="79"/>
  <c r="V8" i="79"/>
  <c r="V9" i="79"/>
  <c r="V10" i="79"/>
  <c r="V11" i="79"/>
  <c r="V12" i="79"/>
  <c r="V13" i="79"/>
  <c r="V14" i="79"/>
  <c r="V15" i="79"/>
  <c r="V16" i="79"/>
  <c r="V17" i="79"/>
  <c r="V18" i="79"/>
  <c r="V19" i="79"/>
  <c r="V20" i="79"/>
  <c r="V21" i="79"/>
  <c r="V22" i="79"/>
  <c r="V23" i="79"/>
  <c r="V24" i="79"/>
  <c r="V25" i="79"/>
  <c r="V26" i="79"/>
  <c r="V27" i="79"/>
  <c r="V28" i="79"/>
  <c r="V29" i="79"/>
  <c r="V30" i="79"/>
  <c r="V31" i="79"/>
  <c r="V32" i="79"/>
  <c r="V33" i="79"/>
  <c r="V34" i="79"/>
  <c r="V35" i="79"/>
  <c r="V36" i="79"/>
  <c r="V37" i="79"/>
  <c r="V38" i="79"/>
  <c r="V39" i="79"/>
  <c r="V40" i="79"/>
  <c r="V41" i="79"/>
  <c r="V42" i="79"/>
  <c r="V43" i="79"/>
  <c r="V44" i="79"/>
  <c r="V45" i="79"/>
  <c r="V46" i="79"/>
  <c r="V47" i="79"/>
  <c r="V48" i="79"/>
  <c r="V49" i="79"/>
  <c r="V50" i="79"/>
  <c r="V51" i="79"/>
  <c r="V52" i="79"/>
  <c r="V53" i="79"/>
  <c r="V54" i="79"/>
  <c r="V55" i="79"/>
  <c r="V56" i="79"/>
  <c r="V57" i="79"/>
  <c r="V58" i="79"/>
  <c r="V59" i="79"/>
  <c r="V60" i="79"/>
  <c r="V61" i="79"/>
  <c r="V62" i="79"/>
  <c r="V63" i="79"/>
  <c r="V64" i="79"/>
  <c r="V65" i="79"/>
  <c r="V66" i="79"/>
  <c r="V67" i="79"/>
  <c r="V68" i="79"/>
  <c r="V69" i="79"/>
  <c r="V70" i="79"/>
  <c r="V71" i="79"/>
  <c r="V72" i="79"/>
  <c r="V73" i="79"/>
  <c r="V74" i="79"/>
  <c r="V75" i="79"/>
  <c r="V76" i="79"/>
  <c r="V77" i="79"/>
  <c r="V78" i="79"/>
  <c r="V79" i="79"/>
  <c r="V80" i="79"/>
  <c r="V81" i="79"/>
  <c r="V82" i="79"/>
  <c r="V83" i="79"/>
  <c r="V84" i="79"/>
  <c r="V85" i="79"/>
  <c r="V86" i="79"/>
  <c r="V87" i="79"/>
  <c r="V88" i="79"/>
  <c r="V89" i="79"/>
  <c r="V90" i="79"/>
  <c r="V91" i="79"/>
  <c r="V92" i="79"/>
  <c r="V93" i="79"/>
  <c r="V94" i="79"/>
  <c r="V95" i="79"/>
  <c r="V96" i="79"/>
  <c r="V97" i="79"/>
  <c r="V98" i="79"/>
  <c r="V99" i="79"/>
  <c r="V100" i="79"/>
  <c r="V101" i="79"/>
  <c r="V102" i="79"/>
  <c r="V103" i="79"/>
  <c r="V104" i="79"/>
  <c r="V105" i="79"/>
  <c r="V106" i="79"/>
  <c r="V107" i="79"/>
  <c r="V108" i="79"/>
  <c r="V109" i="79"/>
  <c r="V110" i="79"/>
  <c r="V111" i="79"/>
  <c r="V112" i="79"/>
  <c r="V113" i="79"/>
  <c r="V114" i="79"/>
  <c r="V115" i="79"/>
  <c r="V116" i="79"/>
  <c r="V117" i="79"/>
  <c r="V118" i="79"/>
  <c r="V119" i="79"/>
  <c r="V120" i="79"/>
  <c r="V121" i="79"/>
  <c r="V122" i="79"/>
  <c r="V123" i="79"/>
  <c r="V124" i="79"/>
  <c r="V125" i="79"/>
  <c r="V126" i="79"/>
  <c r="V127" i="79"/>
  <c r="V128" i="79"/>
  <c r="V129" i="79"/>
  <c r="V130" i="79"/>
  <c r="V131" i="79"/>
  <c r="V132" i="79"/>
  <c r="V133" i="79"/>
  <c r="V134" i="79"/>
  <c r="V135" i="79"/>
  <c r="V136" i="79"/>
  <c r="V137" i="79"/>
  <c r="V138" i="79"/>
  <c r="V139" i="79"/>
  <c r="V140" i="79"/>
  <c r="V141" i="79"/>
  <c r="V142" i="79"/>
  <c r="V143" i="79"/>
  <c r="V144" i="79"/>
  <c r="V145" i="79"/>
  <c r="V146" i="79"/>
  <c r="V147" i="79"/>
  <c r="V148" i="79"/>
  <c r="V149" i="79"/>
  <c r="V150" i="79"/>
  <c r="V151" i="79"/>
  <c r="V152" i="79"/>
  <c r="V153" i="79"/>
  <c r="W3" i="79"/>
  <c r="W2" i="79"/>
  <c r="V3" i="79"/>
  <c r="V2" i="79"/>
  <c r="C2" i="92"/>
  <c r="C2" i="91"/>
  <c r="C2" i="93"/>
  <c r="M18" i="88"/>
  <c r="L18" i="88"/>
  <c r="J18" i="88"/>
  <c r="I18" i="88"/>
  <c r="G18" i="88"/>
  <c r="H18" i="88" s="1"/>
  <c r="F18" i="88"/>
  <c r="D18" i="88"/>
  <c r="C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K14" i="88" s="1"/>
  <c r="I14" i="88"/>
  <c r="G14" i="88"/>
  <c r="F14" i="88"/>
  <c r="D14" i="88"/>
  <c r="C14" i="88"/>
  <c r="M13" i="88"/>
  <c r="L13" i="88"/>
  <c r="J13" i="88"/>
  <c r="I13" i="88"/>
  <c r="G13" i="88"/>
  <c r="F13" i="88"/>
  <c r="D13" i="88"/>
  <c r="C13" i="88"/>
  <c r="M12" i="88"/>
  <c r="L12" i="88"/>
  <c r="J12" i="88"/>
  <c r="I12" i="88"/>
  <c r="G12" i="88"/>
  <c r="F12" i="88"/>
  <c r="D12" i="88"/>
  <c r="C12" i="88"/>
  <c r="M11" i="88"/>
  <c r="L11" i="88"/>
  <c r="N11" i="88" s="1"/>
  <c r="J11" i="88"/>
  <c r="K11" i="88" s="1"/>
  <c r="I11" i="88"/>
  <c r="G11" i="88"/>
  <c r="F11" i="88"/>
  <c r="D11" i="88"/>
  <c r="C11" i="88"/>
  <c r="M10" i="88"/>
  <c r="L10" i="88"/>
  <c r="J10" i="88"/>
  <c r="I10" i="88"/>
  <c r="G10" i="88"/>
  <c r="F10" i="88"/>
  <c r="D10" i="88"/>
  <c r="C10" i="88"/>
  <c r="M9" i="88"/>
  <c r="L9" i="88"/>
  <c r="J9" i="88"/>
  <c r="K9" i="88" s="1"/>
  <c r="I9" i="88"/>
  <c r="G9" i="88"/>
  <c r="H9" i="88" s="1"/>
  <c r="F9" i="88"/>
  <c r="D9" i="88"/>
  <c r="C9" i="88"/>
  <c r="M8" i="88"/>
  <c r="N8" i="88" s="1"/>
  <c r="L8" i="88"/>
  <c r="J8" i="88"/>
  <c r="I8" i="88"/>
  <c r="G8" i="88"/>
  <c r="F8" i="88"/>
  <c r="D8" i="88"/>
  <c r="C8" i="88"/>
  <c r="M7" i="88"/>
  <c r="L7" i="88"/>
  <c r="J7" i="88"/>
  <c r="I7" i="88"/>
  <c r="G7" i="88"/>
  <c r="F7" i="88"/>
  <c r="D7" i="88"/>
  <c r="C7" i="88"/>
  <c r="M6" i="88"/>
  <c r="L6" i="88"/>
  <c r="J6" i="88"/>
  <c r="I6" i="88"/>
  <c r="G6" i="88"/>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C11" i="89"/>
  <c r="B11" i="89"/>
  <c r="F10" i="89"/>
  <c r="C10" i="89"/>
  <c r="B10" i="89"/>
  <c r="N130" i="87"/>
  <c r="M130" i="87"/>
  <c r="L130" i="87"/>
  <c r="L131" i="87" s="1"/>
  <c r="K130" i="87"/>
  <c r="J130" i="87"/>
  <c r="I130" i="87"/>
  <c r="H130" i="87"/>
  <c r="H131" i="87" s="1"/>
  <c r="G130" i="87"/>
  <c r="F130" i="87"/>
  <c r="E130" i="87"/>
  <c r="D130" i="87"/>
  <c r="D131" i="87" s="1"/>
  <c r="C130" i="87"/>
  <c r="O129" i="87"/>
  <c r="N129" i="87"/>
  <c r="M129" i="87"/>
  <c r="M131" i="87" s="1"/>
  <c r="L129" i="87"/>
  <c r="K129" i="87"/>
  <c r="J129" i="87"/>
  <c r="I129" i="87"/>
  <c r="H129" i="87"/>
  <c r="G129" i="87"/>
  <c r="F129" i="87"/>
  <c r="E129" i="87"/>
  <c r="E131" i="87" s="1"/>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C18" i="84"/>
  <c r="G17" i="84"/>
  <c r="D17" i="84"/>
  <c r="C17" i="84"/>
  <c r="E17" i="84" s="1"/>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C35" i="95"/>
  <c r="J34" i="95"/>
  <c r="K34" i="95" s="1"/>
  <c r="I34" i="95"/>
  <c r="F34" i="95" a="1"/>
  <c r="F34" i="95" s="1"/>
  <c r="D34" i="95"/>
  <c r="C34" i="95"/>
  <c r="J33" i="95"/>
  <c r="I33" i="95"/>
  <c r="F33" i="95" a="1"/>
  <c r="F33" i="95" s="1"/>
  <c r="D33" i="95"/>
  <c r="C33" i="95"/>
  <c r="J32" i="95"/>
  <c r="K32" i="95" s="1"/>
  <c r="I32" i="95"/>
  <c r="F32" i="95" a="1"/>
  <c r="F32" i="95" s="1"/>
  <c r="D32" i="95"/>
  <c r="C32" i="95"/>
  <c r="J31" i="95"/>
  <c r="I31" i="95"/>
  <c r="F31" i="95" a="1"/>
  <c r="F31" i="95" s="1"/>
  <c r="D31" i="95"/>
  <c r="C31" i="95"/>
  <c r="J30" i="95"/>
  <c r="K30" i="95" s="1"/>
  <c r="I30" i="95"/>
  <c r="F30" i="95" a="1"/>
  <c r="F30" i="95" s="1"/>
  <c r="D30" i="95"/>
  <c r="C30" i="95"/>
  <c r="J29" i="95"/>
  <c r="K29" i="95" s="1"/>
  <c r="I29" i="95"/>
  <c r="F29" i="95" a="1"/>
  <c r="F29" i="95" s="1"/>
  <c r="D29" i="95"/>
  <c r="C29" i="95"/>
  <c r="J28" i="95"/>
  <c r="K28" i="95" s="1"/>
  <c r="I28" i="95"/>
  <c r="F28" i="95" a="1"/>
  <c r="F28" i="95" s="1"/>
  <c r="D28" i="95"/>
  <c r="C28" i="95"/>
  <c r="J27" i="95"/>
  <c r="I27" i="95"/>
  <c r="F27" i="95" a="1"/>
  <c r="F27" i="95" s="1"/>
  <c r="D27" i="95"/>
  <c r="C27" i="95"/>
  <c r="J26" i="95"/>
  <c r="I26" i="95"/>
  <c r="F26" i="95" a="1"/>
  <c r="F26" i="95" s="1"/>
  <c r="D26" i="95"/>
  <c r="C26" i="95"/>
  <c r="J25" i="95"/>
  <c r="I25" i="95"/>
  <c r="F25" i="95" a="1"/>
  <c r="F25" i="95" s="1"/>
  <c r="D25" i="95"/>
  <c r="C25" i="95"/>
  <c r="J24" i="95"/>
  <c r="K24" i="95" s="1"/>
  <c r="I24" i="95"/>
  <c r="F24" i="95" a="1"/>
  <c r="F24" i="95" s="1"/>
  <c r="D24" i="95"/>
  <c r="C24" i="95"/>
  <c r="J23" i="95"/>
  <c r="K23" i="95" s="1"/>
  <c r="I23" i="95"/>
  <c r="F23" i="95" a="1"/>
  <c r="F23" i="95" s="1"/>
  <c r="D23" i="95"/>
  <c r="C23" i="95"/>
  <c r="J18" i="95"/>
  <c r="K18" i="95" s="1"/>
  <c r="I18" i="95"/>
  <c r="D18" i="95"/>
  <c r="C18" i="95"/>
  <c r="L17" i="95" a="1"/>
  <c r="L17" i="95" s="1"/>
  <c r="J17" i="95"/>
  <c r="I17" i="95"/>
  <c r="K17" i="95" s="1"/>
  <c r="F17" i="95" a="1"/>
  <c r="F17" i="95" s="1"/>
  <c r="D17" i="95"/>
  <c r="C17" i="95"/>
  <c r="E17" i="95" s="1"/>
  <c r="L16" i="95" a="1"/>
  <c r="L16" i="95" s="1"/>
  <c r="J16" i="95"/>
  <c r="I16" i="95"/>
  <c r="F16" i="95" a="1"/>
  <c r="F16" i="95" s="1"/>
  <c r="D16" i="95"/>
  <c r="C16" i="95"/>
  <c r="L15" i="95" a="1"/>
  <c r="L15" i="95" s="1"/>
  <c r="J15" i="95"/>
  <c r="I15" i="95"/>
  <c r="F15" i="95" a="1"/>
  <c r="F15" i="95" s="1"/>
  <c r="D15" i="95"/>
  <c r="C15" i="95"/>
  <c r="L14" i="95" a="1"/>
  <c r="L14" i="95" s="1"/>
  <c r="J14" i="95"/>
  <c r="I14" i="95"/>
  <c r="F14" i="95" a="1"/>
  <c r="F14" i="95" s="1"/>
  <c r="D14" i="95"/>
  <c r="C14" i="95"/>
  <c r="L13" i="95" a="1"/>
  <c r="L13" i="95" s="1"/>
  <c r="J13" i="95"/>
  <c r="I13" i="95"/>
  <c r="F13" i="95" a="1"/>
  <c r="F13" i="95"/>
  <c r="D13" i="95"/>
  <c r="C13" i="95"/>
  <c r="L12" i="95" a="1"/>
  <c r="L12" i="95" s="1"/>
  <c r="J12" i="95"/>
  <c r="I12" i="95"/>
  <c r="F12" i="95" a="1"/>
  <c r="F12" i="95" s="1"/>
  <c r="D12" i="95"/>
  <c r="C12" i="95"/>
  <c r="L11" i="95" a="1"/>
  <c r="L11" i="95" s="1"/>
  <c r="J11" i="95"/>
  <c r="I11" i="95"/>
  <c r="F11" i="95" a="1"/>
  <c r="F11" i="95" s="1"/>
  <c r="D11" i="95"/>
  <c r="C11" i="95"/>
  <c r="L10" i="95" a="1"/>
  <c r="L10" i="95" s="1"/>
  <c r="J10" i="95"/>
  <c r="I10" i="95"/>
  <c r="F10" i="95" a="1"/>
  <c r="F10" i="95" s="1"/>
  <c r="D10" i="95"/>
  <c r="C10" i="95"/>
  <c r="L9" i="95" a="1"/>
  <c r="L9" i="95" s="1"/>
  <c r="J9" i="95"/>
  <c r="I9" i="95"/>
  <c r="K9" i="95" s="1"/>
  <c r="F9" i="95" a="1"/>
  <c r="F9" i="95"/>
  <c r="D9" i="95"/>
  <c r="C9" i="95"/>
  <c r="L8" i="95" a="1"/>
  <c r="L8" i="95" s="1"/>
  <c r="J8" i="95"/>
  <c r="I8" i="95"/>
  <c r="F8" i="95" a="1"/>
  <c r="F8" i="95" s="1"/>
  <c r="D8" i="95"/>
  <c r="C8" i="95"/>
  <c r="L7" i="95" a="1"/>
  <c r="L7" i="95" s="1"/>
  <c r="J7" i="95"/>
  <c r="I7" i="95"/>
  <c r="F7" i="95" a="1"/>
  <c r="F7" i="95" s="1"/>
  <c r="D7" i="95"/>
  <c r="C7" i="95"/>
  <c r="E7" i="95" s="1"/>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I104" i="110" s="1" a="1"/>
  <c r="B99" i="110"/>
  <c r="J104" i="110" s="1" a="1"/>
  <c r="T92" i="110"/>
  <c r="AE97" i="110" s="1" a="1"/>
  <c r="B92" i="110"/>
  <c r="C94" i="110" s="1" a="1"/>
  <c r="C94" i="110" s="1"/>
  <c r="T85" i="110"/>
  <c r="W87" i="110" s="1" a="1"/>
  <c r="W87" i="110" s="1"/>
  <c r="B85" i="110"/>
  <c r="T78" i="110"/>
  <c r="AC80" i="110" s="1" a="1"/>
  <c r="AC80" i="110" s="1"/>
  <c r="B78" i="110"/>
  <c r="P83" i="110" s="1" a="1"/>
  <c r="T71" i="110"/>
  <c r="Y76" i="110" s="1" a="1"/>
  <c r="B71" i="110"/>
  <c r="P73" i="110" s="1"/>
  <c r="T64" i="110"/>
  <c r="X68" i="110" s="1"/>
  <c r="B64" i="110"/>
  <c r="R69" i="110" s="1"/>
  <c r="T57" i="110"/>
  <c r="Y60" i="110" s="1"/>
  <c r="B57" i="110"/>
  <c r="O60" i="110" s="1"/>
  <c r="T50" i="110"/>
  <c r="AA55" i="110" s="1"/>
  <c r="B50" i="110"/>
  <c r="P52" i="110" s="1"/>
  <c r="T43" i="110"/>
  <c r="AA48" i="110" s="1"/>
  <c r="B43" i="110"/>
  <c r="T36" i="110"/>
  <c r="W41" i="110" s="1"/>
  <c r="B36" i="110"/>
  <c r="M40" i="110" s="1"/>
  <c r="T29" i="110"/>
  <c r="X34" i="110" s="1"/>
  <c r="B29" i="110"/>
  <c r="G34" i="110" s="1"/>
  <c r="T22" i="110"/>
  <c r="AH22" i="110" s="1" a="1"/>
  <c r="B22" i="110"/>
  <c r="C26" i="110" s="1"/>
  <c r="T15" i="110"/>
  <c r="AE20" i="110" s="1"/>
  <c r="B15" i="110"/>
  <c r="T8" i="110"/>
  <c r="AH11" i="110" s="1"/>
  <c r="B8" i="110"/>
  <c r="P8" i="110" s="1"/>
  <c r="B99" i="108"/>
  <c r="T92" i="108"/>
  <c r="B92" i="108"/>
  <c r="L95" i="108" s="1" a="1"/>
  <c r="T85" i="108"/>
  <c r="AE89" i="108" s="1" a="1"/>
  <c r="B85" i="108"/>
  <c r="T78" i="108"/>
  <c r="Z83" i="108" s="1" a="1"/>
  <c r="B78" i="108"/>
  <c r="T71" i="108"/>
  <c r="B71" i="108"/>
  <c r="N76" i="108" s="1"/>
  <c r="T64" i="108"/>
  <c r="AE69" i="108" s="1"/>
  <c r="B64" i="108"/>
  <c r="C62" i="108"/>
  <c r="T57" i="108"/>
  <c r="B57" i="108"/>
  <c r="D61" i="108" s="1"/>
  <c r="T50" i="108"/>
  <c r="AF55" i="108" s="1"/>
  <c r="B50" i="108"/>
  <c r="G52" i="108" s="1"/>
  <c r="T43" i="108"/>
  <c r="AH43" i="108" s="1" a="1"/>
  <c r="B43" i="108"/>
  <c r="M47" i="108" s="1"/>
  <c r="T36" i="108"/>
  <c r="Y38" i="108" s="1"/>
  <c r="B36" i="108"/>
  <c r="P36" i="108" s="1" a="1"/>
  <c r="T29" i="108"/>
  <c r="AE32" i="108" s="1"/>
  <c r="B29" i="108"/>
  <c r="C34" i="108" s="1"/>
  <c r="T22" i="108"/>
  <c r="B22" i="108"/>
  <c r="T15" i="108"/>
  <c r="AG18" i="108" s="1"/>
  <c r="B15" i="108"/>
  <c r="M17" i="108" s="1"/>
  <c r="T8" i="108"/>
  <c r="U11" i="108" s="1"/>
  <c r="B8" i="108"/>
  <c r="J11" i="108" s="1"/>
  <c r="B99" i="109"/>
  <c r="J103" i="109" s="1"/>
  <c r="T92" i="109"/>
  <c r="AF97" i="109" s="1"/>
  <c r="B92" i="109"/>
  <c r="T85" i="109"/>
  <c r="U90" i="109" s="1"/>
  <c r="B85" i="109"/>
  <c r="K90" i="109" s="1"/>
  <c r="T78" i="109"/>
  <c r="AG83" i="109" s="1"/>
  <c r="B78" i="109"/>
  <c r="R83" i="109" s="1"/>
  <c r="T71" i="109"/>
  <c r="B71" i="109"/>
  <c r="T64" i="109"/>
  <c r="B64" i="109"/>
  <c r="N69" i="109" s="1"/>
  <c r="T57" i="109"/>
  <c r="AC62" i="109" s="1"/>
  <c r="B57" i="109"/>
  <c r="R60" i="109" s="1"/>
  <c r="T50" i="109"/>
  <c r="AF53" i="109" s="1"/>
  <c r="B50" i="109"/>
  <c r="Q52" i="109" s="1"/>
  <c r="T43" i="109"/>
  <c r="W45" i="109" s="1"/>
  <c r="B43" i="109"/>
  <c r="O47" i="109" s="1"/>
  <c r="T36" i="109"/>
  <c r="Y41" i="109" s="1"/>
  <c r="B36" i="109"/>
  <c r="G41" i="109" s="1"/>
  <c r="T29" i="109"/>
  <c r="AA34" i="109" s="1"/>
  <c r="B29" i="109"/>
  <c r="O34" i="109" s="1"/>
  <c r="T22" i="109"/>
  <c r="W27" i="109" s="1"/>
  <c r="B22" i="109"/>
  <c r="O27" i="109" s="1"/>
  <c r="T15" i="109"/>
  <c r="X20" i="109" s="1"/>
  <c r="B15" i="109"/>
  <c r="K19" i="109" s="1"/>
  <c r="T8" i="109"/>
  <c r="W12" i="109" s="1"/>
  <c r="B8" i="109"/>
  <c r="I13" i="109" s="1"/>
  <c r="T99" i="107"/>
  <c r="W103" i="107" s="1"/>
  <c r="B99" i="107"/>
  <c r="T92" i="107"/>
  <c r="AA96" i="107" s="1"/>
  <c r="B92" i="107"/>
  <c r="I97" i="107" s="1"/>
  <c r="T85" i="107"/>
  <c r="AE90" i="107" s="1"/>
  <c r="B85" i="107"/>
  <c r="C89" i="107" s="1"/>
  <c r="T78" i="107"/>
  <c r="AD83" i="107" s="1"/>
  <c r="B78" i="107"/>
  <c r="M83" i="107" s="1"/>
  <c r="T71" i="107"/>
  <c r="B71" i="107"/>
  <c r="E76" i="107" s="1"/>
  <c r="T64" i="107"/>
  <c r="AG69" i="107" s="1"/>
  <c r="B64" i="107"/>
  <c r="O66" i="107" s="1"/>
  <c r="T57" i="107"/>
  <c r="AG62" i="107" s="1"/>
  <c r="B57" i="107"/>
  <c r="T50" i="107"/>
  <c r="Z54" i="107" s="1"/>
  <c r="B50" i="107"/>
  <c r="Q55" i="107" s="1"/>
  <c r="T43" i="107"/>
  <c r="AC46" i="107" s="1"/>
  <c r="B43" i="107"/>
  <c r="Q45" i="107" s="1"/>
  <c r="T36" i="107"/>
  <c r="AE41" i="107" s="1"/>
  <c r="B36" i="107"/>
  <c r="K38" i="107" s="1"/>
  <c r="T29" i="107"/>
  <c r="V34" i="107" s="1"/>
  <c r="B29" i="107"/>
  <c r="O34" i="107" s="1"/>
  <c r="T22" i="107"/>
  <c r="U25" i="107" s="1"/>
  <c r="B22" i="107"/>
  <c r="T15" i="107"/>
  <c r="AH20" i="107" s="1"/>
  <c r="B15" i="107"/>
  <c r="Q20" i="107" s="1"/>
  <c r="T8" i="107"/>
  <c r="AG13" i="107" s="1"/>
  <c r="B8" i="107"/>
  <c r="E13" i="107" s="1"/>
  <c r="B124" i="81"/>
  <c r="B123" i="81"/>
  <c r="C123" i="81" s="1"/>
  <c r="B122" i="81"/>
  <c r="D122" i="81" s="1"/>
  <c r="B121" i="81"/>
  <c r="G121" i="81" s="1"/>
  <c r="B120" i="81"/>
  <c r="E120" i="81" s="1"/>
  <c r="B119" i="81"/>
  <c r="G119" i="81" s="1"/>
  <c r="D118" i="81"/>
  <c r="B118" i="81"/>
  <c r="E118" i="81" s="1"/>
  <c r="B117" i="81"/>
  <c r="G117" i="81" s="1"/>
  <c r="B116" i="81"/>
  <c r="C116" i="81" s="1"/>
  <c r="B115" i="81"/>
  <c r="B114" i="81"/>
  <c r="B113" i="81"/>
  <c r="C113" i="81" s="1"/>
  <c r="B112" i="81"/>
  <c r="D112" i="81" s="1"/>
  <c r="B111" i="81"/>
  <c r="C111" i="81" s="1"/>
  <c r="B110" i="81"/>
  <c r="B109" i="81"/>
  <c r="G109" i="81" s="1"/>
  <c r="B108" i="81"/>
  <c r="B107" i="81"/>
  <c r="C107" i="81" s="1"/>
  <c r="B106" i="81"/>
  <c r="D106" i="81" s="1"/>
  <c r="B105" i="81"/>
  <c r="G105" i="81" s="1"/>
  <c r="B104" i="81"/>
  <c r="D104" i="81" s="1"/>
  <c r="B103" i="81"/>
  <c r="G103" i="81" s="1"/>
  <c r="B102" i="81"/>
  <c r="E102" i="81" s="1"/>
  <c r="B101" i="81"/>
  <c r="G101" i="81" s="1"/>
  <c r="B100" i="81"/>
  <c r="C100" i="81" s="1"/>
  <c r="B99" i="81"/>
  <c r="B98" i="81"/>
  <c r="G97" i="81"/>
  <c r="E97" i="81"/>
  <c r="D97" i="81"/>
  <c r="C97" i="81"/>
  <c r="B94" i="81"/>
  <c r="I94" i="81" s="1"/>
  <c r="B93" i="81"/>
  <c r="I93" i="81" s="1"/>
  <c r="B92" i="81"/>
  <c r="B91" i="81"/>
  <c r="G91" i="81" s="1"/>
  <c r="B90" i="81"/>
  <c r="G90" i="81" s="1"/>
  <c r="B89" i="81"/>
  <c r="I89" i="81" s="1"/>
  <c r="B88" i="81"/>
  <c r="G88" i="81" s="1"/>
  <c r="B87" i="81"/>
  <c r="C87" i="81" s="1"/>
  <c r="B86" i="81"/>
  <c r="B85" i="81"/>
  <c r="I85" i="81" s="1"/>
  <c r="B84" i="81"/>
  <c r="B83" i="81"/>
  <c r="C83" i="81" s="1"/>
  <c r="B82" i="81"/>
  <c r="C82" i="81" s="1"/>
  <c r="B81" i="81"/>
  <c r="I81" i="81" s="1"/>
  <c r="G80" i="81"/>
  <c r="B80" i="81"/>
  <c r="D80" i="81" s="1"/>
  <c r="B79" i="81"/>
  <c r="C79" i="81" s="1"/>
  <c r="B78" i="81"/>
  <c r="I78" i="81" s="1"/>
  <c r="B77" i="81"/>
  <c r="I77" i="81" s="1"/>
  <c r="B76" i="81"/>
  <c r="B75" i="81"/>
  <c r="C75" i="81" s="1"/>
  <c r="B74" i="81"/>
  <c r="I74" i="81" s="1"/>
  <c r="B73" i="81"/>
  <c r="I73" i="81" s="1"/>
  <c r="B72" i="81"/>
  <c r="G72" i="81" s="1"/>
  <c r="B71" i="81"/>
  <c r="C71" i="81" s="1"/>
  <c r="B70" i="81"/>
  <c r="B69" i="81"/>
  <c r="I69" i="81" s="1"/>
  <c r="B68" i="81"/>
  <c r="I68" i="81" s="1"/>
  <c r="J67" i="81"/>
  <c r="I67" i="81"/>
  <c r="G67" i="81"/>
  <c r="F67" i="81"/>
  <c r="D67" i="81"/>
  <c r="C67" i="81"/>
  <c r="B64" i="81"/>
  <c r="I64" i="81" s="1"/>
  <c r="B63" i="81"/>
  <c r="L63" i="81" s="1"/>
  <c r="B62" i="81"/>
  <c r="B61" i="81"/>
  <c r="F61" i="81" s="1"/>
  <c r="B60" i="81"/>
  <c r="D60" i="81" s="1"/>
  <c r="B59" i="81"/>
  <c r="I59" i="81" s="1"/>
  <c r="B58" i="81"/>
  <c r="B57" i="81"/>
  <c r="F57" i="81" s="1"/>
  <c r="B56" i="81"/>
  <c r="D56" i="81" s="1"/>
  <c r="B55" i="81"/>
  <c r="F55" i="81" s="1"/>
  <c r="B54" i="81"/>
  <c r="B53" i="81"/>
  <c r="F53" i="81" s="1"/>
  <c r="B52" i="81"/>
  <c r="D52" i="81" s="1"/>
  <c r="B51" i="81"/>
  <c r="I51" i="81" s="1"/>
  <c r="B50" i="81"/>
  <c r="B49" i="81"/>
  <c r="F49" i="81" s="1"/>
  <c r="B48" i="81"/>
  <c r="D48" i="81" s="1"/>
  <c r="F47" i="81"/>
  <c r="B47" i="81"/>
  <c r="I47" i="81" s="1"/>
  <c r="B46" i="81"/>
  <c r="B45" i="81"/>
  <c r="F45" i="81" s="1"/>
  <c r="B44" i="81"/>
  <c r="D44" i="81" s="1"/>
  <c r="B43" i="81"/>
  <c r="I43" i="81" s="1"/>
  <c r="B42" i="81"/>
  <c r="B41" i="81"/>
  <c r="F41" i="81" s="1"/>
  <c r="B40" i="81"/>
  <c r="D40" i="81" s="1"/>
  <c r="B39" i="81"/>
  <c r="I39" i="81" s="1"/>
  <c r="B38" i="81"/>
  <c r="L37" i="81"/>
  <c r="K37" i="81"/>
  <c r="I37" i="81"/>
  <c r="J37" i="81" s="1"/>
  <c r="G37" i="81"/>
  <c r="F37" i="81"/>
  <c r="D37" i="81"/>
  <c r="C37" i="81"/>
  <c r="B34" i="81"/>
  <c r="H34" i="81" s="1"/>
  <c r="B33" i="81"/>
  <c r="G33" i="81" s="1"/>
  <c r="B32" i="81"/>
  <c r="B31" i="81"/>
  <c r="B30" i="81"/>
  <c r="B29" i="81"/>
  <c r="B28" i="81"/>
  <c r="D28" i="81" s="1"/>
  <c r="B27" i="81"/>
  <c r="E27" i="81" s="1"/>
  <c r="B26" i="81"/>
  <c r="B25" i="81"/>
  <c r="B24" i="81"/>
  <c r="B23" i="81"/>
  <c r="J23" i="81" s="1"/>
  <c r="B22" i="81"/>
  <c r="B21" i="81"/>
  <c r="J21" i="81" s="1"/>
  <c r="B20" i="81"/>
  <c r="K20" i="81" s="1"/>
  <c r="B19" i="81"/>
  <c r="B18" i="81"/>
  <c r="E18" i="81" s="1"/>
  <c r="B17" i="81"/>
  <c r="G17" i="81" s="1"/>
  <c r="B16" i="81"/>
  <c r="D16" i="81" s="1"/>
  <c r="B15" i="81"/>
  <c r="B14" i="81"/>
  <c r="B13" i="81"/>
  <c r="C13" i="81" s="1"/>
  <c r="B12" i="81"/>
  <c r="B11" i="81"/>
  <c r="E11" i="81" s="1"/>
  <c r="B10" i="81"/>
  <c r="B9" i="81"/>
  <c r="B8" i="81"/>
  <c r="D8" i="81" s="1"/>
  <c r="K7" i="81"/>
  <c r="J7" i="81"/>
  <c r="H7" i="81"/>
  <c r="G7" i="81"/>
  <c r="E7" i="81"/>
  <c r="D7" i="81"/>
  <c r="C7" i="81"/>
  <c r="T99" i="105"/>
  <c r="B99" i="105"/>
  <c r="T92" i="105"/>
  <c r="AH95" i="105" s="1"/>
  <c r="B92" i="105"/>
  <c r="O97" i="105" s="1"/>
  <c r="T85" i="105"/>
  <c r="AE90" i="105" s="1"/>
  <c r="B85" i="105"/>
  <c r="G90" i="105" s="1"/>
  <c r="T78" i="105"/>
  <c r="B78" i="105"/>
  <c r="Q82" i="105" s="1"/>
  <c r="T71" i="105"/>
  <c r="B71" i="105"/>
  <c r="G76" i="105" s="1"/>
  <c r="T64" i="105"/>
  <c r="W67" i="105" s="1"/>
  <c r="B64" i="105"/>
  <c r="I69" i="105" s="1"/>
  <c r="I59" i="105"/>
  <c r="T57" i="105"/>
  <c r="B57" i="105"/>
  <c r="M62" i="105" s="1"/>
  <c r="T50" i="105"/>
  <c r="AD54" i="105" s="1"/>
  <c r="B50" i="105"/>
  <c r="L52" i="105" s="1"/>
  <c r="T43" i="105"/>
  <c r="B43" i="105"/>
  <c r="T36" i="105"/>
  <c r="W38" i="105" s="1"/>
  <c r="B36" i="105"/>
  <c r="Q39" i="105" s="1"/>
  <c r="T29" i="105"/>
  <c r="AA33" i="105" s="1"/>
  <c r="B29" i="105"/>
  <c r="L31" i="105" s="1"/>
  <c r="H26" i="105"/>
  <c r="T22" i="105"/>
  <c r="AD27" i="105" s="1"/>
  <c r="B22" i="105"/>
  <c r="M27" i="105" s="1"/>
  <c r="T15" i="105"/>
  <c r="AA20" i="105" s="1"/>
  <c r="B15" i="105"/>
  <c r="R17" i="105" s="1"/>
  <c r="T8" i="105"/>
  <c r="W10" i="105" s="1"/>
  <c r="B8" i="105"/>
  <c r="Q13" i="105" s="1"/>
  <c r="T99" i="102"/>
  <c r="AD104" i="102" s="1"/>
  <c r="B99" i="102"/>
  <c r="P99" i="102" s="1"/>
  <c r="T92" i="102"/>
  <c r="AH92" i="102" s="1"/>
  <c r="B92" i="102"/>
  <c r="P97" i="102" s="1"/>
  <c r="T85" i="102"/>
  <c r="AH85" i="102" s="1"/>
  <c r="B85" i="102"/>
  <c r="P88" i="102" s="1"/>
  <c r="T78" i="102"/>
  <c r="AH78" i="102" s="1"/>
  <c r="B78" i="102"/>
  <c r="F83" i="102" s="1"/>
  <c r="T71" i="102"/>
  <c r="B71" i="102"/>
  <c r="T64" i="102"/>
  <c r="Y67" i="102" s="1"/>
  <c r="B64" i="102"/>
  <c r="T57" i="102"/>
  <c r="Y62" i="102" s="1"/>
  <c r="B57" i="102"/>
  <c r="Q62" i="102" s="1"/>
  <c r="T50" i="102"/>
  <c r="U55" i="102" s="1"/>
  <c r="B50" i="102"/>
  <c r="P55" i="102" s="1"/>
  <c r="T43" i="102"/>
  <c r="AC47" i="102" s="1"/>
  <c r="B43" i="102"/>
  <c r="P48" i="102" s="1"/>
  <c r="T36" i="102"/>
  <c r="AH41" i="102" s="1"/>
  <c r="B36" i="102"/>
  <c r="L38" i="102" s="1"/>
  <c r="T29" i="102"/>
  <c r="W34" i="102" s="1"/>
  <c r="B29" i="102"/>
  <c r="P32" i="102" s="1"/>
  <c r="T22" i="102"/>
  <c r="AG24" i="102" s="1"/>
  <c r="B22" i="102"/>
  <c r="M27" i="102" s="1"/>
  <c r="T15" i="102"/>
  <c r="AH19" i="102" s="1"/>
  <c r="B15" i="102"/>
  <c r="K18" i="102" s="1"/>
  <c r="T8" i="102"/>
  <c r="AH13" i="102" s="1"/>
  <c r="B8" i="102"/>
  <c r="AI68" i="111"/>
  <c r="Z68" i="111"/>
  <c r="S68" i="111"/>
  <c r="R68" i="111"/>
  <c r="AK68" i="111" s="1"/>
  <c r="Q68" i="111"/>
  <c r="AJ68" i="111" s="1"/>
  <c r="P68" i="111"/>
  <c r="O68" i="111"/>
  <c r="AH68" i="111" s="1"/>
  <c r="N68" i="111"/>
  <c r="AG68" i="111" s="1"/>
  <c r="M68" i="111"/>
  <c r="AF68" i="111" s="1"/>
  <c r="L68" i="111"/>
  <c r="K68" i="111"/>
  <c r="AD68" i="111" s="1"/>
  <c r="J68" i="111"/>
  <c r="AC68" i="111" s="1"/>
  <c r="I68" i="111"/>
  <c r="AB68" i="111" s="1"/>
  <c r="H68" i="111"/>
  <c r="G68" i="111"/>
  <c r="F68" i="111"/>
  <c r="Y68" i="111" s="1"/>
  <c r="E68" i="111"/>
  <c r="X68" i="111" s="1"/>
  <c r="D68" i="111"/>
  <c r="C68" i="111"/>
  <c r="V68" i="111" s="1"/>
  <c r="S67" i="111"/>
  <c r="AI67" i="111" s="1"/>
  <c r="R67" i="111"/>
  <c r="Q67" i="111"/>
  <c r="P67" i="111"/>
  <c r="O67" i="111"/>
  <c r="AH67" i="111" s="1"/>
  <c r="N67" i="111"/>
  <c r="M67" i="111"/>
  <c r="L67" i="111"/>
  <c r="K67" i="111"/>
  <c r="AD67" i="111" s="1"/>
  <c r="J67" i="111"/>
  <c r="I67" i="111"/>
  <c r="H67" i="111"/>
  <c r="G67" i="111"/>
  <c r="Z67" i="111" s="1"/>
  <c r="F67" i="111"/>
  <c r="E67" i="111"/>
  <c r="D67" i="111"/>
  <c r="C67" i="111"/>
  <c r="V67" i="111" s="1"/>
  <c r="S66" i="111"/>
  <c r="AF66" i="111" s="1"/>
  <c r="R66" i="111"/>
  <c r="Q66" i="111"/>
  <c r="P66" i="111"/>
  <c r="O66" i="111"/>
  <c r="AH66" i="111" s="1"/>
  <c r="N66" i="111"/>
  <c r="AG66" i="111" s="1"/>
  <c r="M66" i="111"/>
  <c r="L66" i="111"/>
  <c r="K66" i="111"/>
  <c r="AD66" i="111" s="1"/>
  <c r="J66" i="111"/>
  <c r="I66" i="111"/>
  <c r="AB66" i="111" s="1"/>
  <c r="H66" i="111"/>
  <c r="G66" i="111"/>
  <c r="Z66" i="111" s="1"/>
  <c r="F66" i="111"/>
  <c r="E66" i="111"/>
  <c r="X66" i="111" s="1"/>
  <c r="D66" i="111"/>
  <c r="C66" i="111"/>
  <c r="V66" i="111" s="1"/>
  <c r="S65" i="111"/>
  <c r="AK65" i="111" s="1"/>
  <c r="R65" i="111"/>
  <c r="Q65" i="111"/>
  <c r="P65" i="111"/>
  <c r="O65" i="111"/>
  <c r="AH65" i="111" s="1"/>
  <c r="N65" i="111"/>
  <c r="M65" i="111"/>
  <c r="L65" i="111"/>
  <c r="K65" i="111"/>
  <c r="AD65" i="111" s="1"/>
  <c r="J65" i="111"/>
  <c r="AC65" i="111" s="1"/>
  <c r="I65" i="111"/>
  <c r="H65" i="111"/>
  <c r="G65" i="111"/>
  <c r="Z65" i="111" s="1"/>
  <c r="F65" i="111"/>
  <c r="E65" i="111"/>
  <c r="D65" i="111"/>
  <c r="W65" i="111" s="1"/>
  <c r="C65" i="111"/>
  <c r="V65" i="111" s="1"/>
  <c r="AH64" i="111"/>
  <c r="AF64" i="111"/>
  <c r="V64" i="111"/>
  <c r="S64" i="111"/>
  <c r="R64" i="111"/>
  <c r="Q64" i="111"/>
  <c r="AJ64" i="111" s="1"/>
  <c r="P64" i="111"/>
  <c r="AI64" i="111" s="1"/>
  <c r="O64" i="111"/>
  <c r="N64" i="111"/>
  <c r="M64" i="111"/>
  <c r="L64" i="111"/>
  <c r="AE64" i="111" s="1"/>
  <c r="K64" i="111"/>
  <c r="AD64" i="111" s="1"/>
  <c r="J64" i="111"/>
  <c r="I64" i="111"/>
  <c r="AB64" i="111" s="1"/>
  <c r="H64" i="111"/>
  <c r="AA64" i="111" s="1"/>
  <c r="G64" i="111"/>
  <c r="Z64" i="111" s="1"/>
  <c r="F64" i="111"/>
  <c r="Y64" i="111" s="1"/>
  <c r="E64" i="111"/>
  <c r="X64" i="111" s="1"/>
  <c r="D64" i="111"/>
  <c r="W64" i="111" s="1"/>
  <c r="C64" i="111"/>
  <c r="S63" i="111"/>
  <c r="R63" i="111"/>
  <c r="Q63" i="111"/>
  <c r="AJ63" i="111" s="1"/>
  <c r="P63" i="111"/>
  <c r="O63" i="111"/>
  <c r="AH63" i="111" s="1"/>
  <c r="N63" i="111"/>
  <c r="M63" i="111"/>
  <c r="L63" i="111"/>
  <c r="K63" i="111"/>
  <c r="AD63" i="111" s="1"/>
  <c r="J63" i="111"/>
  <c r="I63" i="111"/>
  <c r="AB63" i="111" s="1"/>
  <c r="H63" i="111"/>
  <c r="G63" i="111"/>
  <c r="Z63" i="111" s="1"/>
  <c r="F63" i="111"/>
  <c r="Y63" i="111" s="1"/>
  <c r="E63" i="111"/>
  <c r="X63" i="111" s="1"/>
  <c r="D63" i="111"/>
  <c r="C63" i="111"/>
  <c r="V63" i="111" s="1"/>
  <c r="AH62" i="111"/>
  <c r="S62" i="111"/>
  <c r="R62" i="111"/>
  <c r="AK62" i="111" s="1"/>
  <c r="Q62" i="111"/>
  <c r="AJ62" i="111" s="1"/>
  <c r="P62" i="111"/>
  <c r="AI62" i="111" s="1"/>
  <c r="O62" i="111"/>
  <c r="N62" i="111"/>
  <c r="AG62" i="111" s="1"/>
  <c r="M62" i="111"/>
  <c r="L62" i="111"/>
  <c r="AE62" i="111" s="1"/>
  <c r="K62" i="111"/>
  <c r="AD62" i="111" s="1"/>
  <c r="J62" i="111"/>
  <c r="AC62" i="111" s="1"/>
  <c r="I62" i="111"/>
  <c r="AB62" i="111" s="1"/>
  <c r="H62" i="111"/>
  <c r="AA62" i="111" s="1"/>
  <c r="G62" i="111"/>
  <c r="Z62" i="111" s="1"/>
  <c r="F62" i="111"/>
  <c r="Y62" i="111" s="1"/>
  <c r="E62" i="111"/>
  <c r="X62" i="111" s="1"/>
  <c r="D62" i="111"/>
  <c r="W62" i="111" s="1"/>
  <c r="C62" i="111"/>
  <c r="V62" i="111" s="1"/>
  <c r="AH61" i="111"/>
  <c r="AC61" i="111"/>
  <c r="S61" i="111"/>
  <c r="R61" i="111"/>
  <c r="Q61" i="111"/>
  <c r="AJ61" i="111" s="1"/>
  <c r="P61" i="111"/>
  <c r="O61" i="111"/>
  <c r="N61" i="111"/>
  <c r="M61" i="111"/>
  <c r="AF61" i="111" s="1"/>
  <c r="L61" i="111"/>
  <c r="K61" i="111"/>
  <c r="AD61" i="111" s="1"/>
  <c r="J61" i="111"/>
  <c r="I61" i="111"/>
  <c r="AB61" i="111" s="1"/>
  <c r="H61" i="111"/>
  <c r="AA61" i="111" s="1"/>
  <c r="G61" i="111"/>
  <c r="Z61" i="111" s="1"/>
  <c r="F61" i="111"/>
  <c r="E61" i="111"/>
  <c r="X61" i="111" s="1"/>
  <c r="D61" i="111"/>
  <c r="W61" i="111" s="1"/>
  <c r="C61" i="111"/>
  <c r="V61" i="111" s="1"/>
  <c r="AI60" i="111"/>
  <c r="Z60" i="111"/>
  <c r="S60" i="111"/>
  <c r="AJ60" i="111" s="1"/>
  <c r="R60" i="111"/>
  <c r="AK60" i="111" s="1"/>
  <c r="Q60" i="111"/>
  <c r="P60" i="111"/>
  <c r="O60" i="111"/>
  <c r="AH60" i="111" s="1"/>
  <c r="N60" i="111"/>
  <c r="AG60" i="111" s="1"/>
  <c r="M60" i="111"/>
  <c r="AF60" i="111" s="1"/>
  <c r="L60" i="111"/>
  <c r="K60" i="111"/>
  <c r="AD60" i="111" s="1"/>
  <c r="J60" i="111"/>
  <c r="AC60" i="111" s="1"/>
  <c r="I60" i="111"/>
  <c r="H60" i="111"/>
  <c r="G60" i="111"/>
  <c r="F60" i="111"/>
  <c r="Y60" i="111" s="1"/>
  <c r="E60" i="111"/>
  <c r="X60" i="111" s="1"/>
  <c r="D60" i="111"/>
  <c r="C60" i="111"/>
  <c r="V60" i="111" s="1"/>
  <c r="S59" i="111"/>
  <c r="AI59" i="111" s="1"/>
  <c r="R59" i="111"/>
  <c r="Q59" i="111"/>
  <c r="P59" i="111"/>
  <c r="O59" i="111"/>
  <c r="AH59" i="111" s="1"/>
  <c r="N59" i="111"/>
  <c r="M59" i="111"/>
  <c r="L59" i="111"/>
  <c r="K59" i="111"/>
  <c r="AD59" i="111" s="1"/>
  <c r="J59" i="111"/>
  <c r="I59" i="111"/>
  <c r="H59" i="111"/>
  <c r="G59" i="111"/>
  <c r="Z59" i="111" s="1"/>
  <c r="F59" i="111"/>
  <c r="E59" i="111"/>
  <c r="D59" i="111"/>
  <c r="C59" i="111"/>
  <c r="V59" i="111" s="1"/>
  <c r="S58" i="111"/>
  <c r="AF58" i="111" s="1"/>
  <c r="R58" i="111"/>
  <c r="Q58" i="111"/>
  <c r="AJ58" i="111" s="1"/>
  <c r="P58" i="111"/>
  <c r="O58" i="111"/>
  <c r="AH58" i="111" s="1"/>
  <c r="N58" i="111"/>
  <c r="M58" i="111"/>
  <c r="L58" i="111"/>
  <c r="K58" i="111"/>
  <c r="AD58" i="111" s="1"/>
  <c r="J58" i="111"/>
  <c r="I58" i="111"/>
  <c r="AB58" i="111" s="1"/>
  <c r="H58" i="111"/>
  <c r="G58" i="111"/>
  <c r="Z58" i="111" s="1"/>
  <c r="F58" i="111"/>
  <c r="E58" i="111"/>
  <c r="X58" i="111" s="1"/>
  <c r="D58" i="111"/>
  <c r="C58" i="111"/>
  <c r="V58" i="111" s="1"/>
  <c r="S57" i="111"/>
  <c r="AK57" i="111" s="1"/>
  <c r="R57" i="111"/>
  <c r="Q57" i="111"/>
  <c r="P57" i="111"/>
  <c r="O57" i="111"/>
  <c r="AH57" i="111" s="1"/>
  <c r="N57" i="111"/>
  <c r="M57" i="111"/>
  <c r="L57" i="111"/>
  <c r="K57" i="111"/>
  <c r="AD57" i="111" s="1"/>
  <c r="J57" i="111"/>
  <c r="AC57" i="111" s="1"/>
  <c r="I57" i="111"/>
  <c r="H57" i="111"/>
  <c r="G57" i="111"/>
  <c r="Z57" i="111" s="1"/>
  <c r="F57" i="111"/>
  <c r="E57" i="111"/>
  <c r="D57" i="111"/>
  <c r="W57" i="111" s="1"/>
  <c r="C57" i="111"/>
  <c r="V57" i="111" s="1"/>
  <c r="AF56" i="111"/>
  <c r="V56" i="111"/>
  <c r="S56" i="111"/>
  <c r="R56" i="111"/>
  <c r="Q56" i="111"/>
  <c r="AJ56" i="111" s="1"/>
  <c r="P56" i="111"/>
  <c r="AI56" i="111" s="1"/>
  <c r="O56" i="111"/>
  <c r="AH56" i="111" s="1"/>
  <c r="N56" i="111"/>
  <c r="M56" i="111"/>
  <c r="L56" i="111"/>
  <c r="AE56" i="111" s="1"/>
  <c r="K56" i="111"/>
  <c r="AD56" i="111" s="1"/>
  <c r="J56" i="111"/>
  <c r="I56" i="111"/>
  <c r="AB56" i="111" s="1"/>
  <c r="H56" i="111"/>
  <c r="AA56" i="111" s="1"/>
  <c r="G56" i="111"/>
  <c r="Z56" i="111" s="1"/>
  <c r="F56" i="111"/>
  <c r="E56" i="111"/>
  <c r="X56" i="111" s="1"/>
  <c r="D56" i="111"/>
  <c r="W56" i="111" s="1"/>
  <c r="C56" i="111"/>
  <c r="S52" i="111"/>
  <c r="R52" i="111"/>
  <c r="Q52" i="111"/>
  <c r="AJ52" i="111" s="1"/>
  <c r="P52" i="111"/>
  <c r="O52" i="111"/>
  <c r="AH52" i="111" s="1"/>
  <c r="N52" i="111"/>
  <c r="M52" i="111"/>
  <c r="L52" i="111"/>
  <c r="K52" i="111"/>
  <c r="AD52" i="111" s="1"/>
  <c r="J52" i="111"/>
  <c r="I52" i="111"/>
  <c r="AB52" i="111" s="1"/>
  <c r="H52" i="111"/>
  <c r="G52" i="111"/>
  <c r="Z52" i="111" s="1"/>
  <c r="F52" i="111"/>
  <c r="Y52" i="111" s="1"/>
  <c r="E52" i="111"/>
  <c r="X52" i="111" s="1"/>
  <c r="D52" i="111"/>
  <c r="C52" i="111"/>
  <c r="V52" i="111" s="1"/>
  <c r="AH51" i="111"/>
  <c r="V51" i="111"/>
  <c r="S51" i="111"/>
  <c r="R51" i="111"/>
  <c r="AK51" i="111" s="1"/>
  <c r="Q51" i="111"/>
  <c r="AJ51" i="111" s="1"/>
  <c r="P51" i="111"/>
  <c r="AI51" i="111" s="1"/>
  <c r="O51" i="111"/>
  <c r="N51" i="111"/>
  <c r="AG51" i="111" s="1"/>
  <c r="M51" i="111"/>
  <c r="L51" i="111"/>
  <c r="AE51" i="111" s="1"/>
  <c r="K51" i="111"/>
  <c r="AD51" i="111" s="1"/>
  <c r="J51" i="111"/>
  <c r="AC51" i="111" s="1"/>
  <c r="I51" i="111"/>
  <c r="AB51" i="111" s="1"/>
  <c r="H51" i="111"/>
  <c r="AA51" i="111" s="1"/>
  <c r="G51" i="111"/>
  <c r="Z51" i="111" s="1"/>
  <c r="F51" i="111"/>
  <c r="Y51" i="111" s="1"/>
  <c r="E51" i="111"/>
  <c r="X51" i="111" s="1"/>
  <c r="D51" i="111"/>
  <c r="W51" i="111" s="1"/>
  <c r="C51" i="111"/>
  <c r="AH50" i="111"/>
  <c r="AC50" i="111"/>
  <c r="S50" i="111"/>
  <c r="R50" i="111"/>
  <c r="Q50" i="111"/>
  <c r="AJ50" i="111" s="1"/>
  <c r="P50" i="111"/>
  <c r="O50" i="111"/>
  <c r="N50" i="111"/>
  <c r="M50" i="111"/>
  <c r="AF50" i="111" s="1"/>
  <c r="L50" i="111"/>
  <c r="K50" i="111"/>
  <c r="AD50" i="111" s="1"/>
  <c r="J50" i="111"/>
  <c r="I50" i="111"/>
  <c r="AB50" i="111" s="1"/>
  <c r="H50" i="111"/>
  <c r="AA50" i="111" s="1"/>
  <c r="G50" i="111"/>
  <c r="Z50" i="111" s="1"/>
  <c r="F50" i="111"/>
  <c r="E50" i="111"/>
  <c r="X50" i="111" s="1"/>
  <c r="D50" i="111"/>
  <c r="W50" i="111" s="1"/>
  <c r="C50" i="111"/>
  <c r="V50" i="111" s="1"/>
  <c r="AI49" i="111"/>
  <c r="Z49" i="111"/>
  <c r="S49" i="111"/>
  <c r="R49" i="111"/>
  <c r="AK49" i="111" s="1"/>
  <c r="Q49" i="111"/>
  <c r="AJ49" i="111" s="1"/>
  <c r="P49" i="111"/>
  <c r="O49" i="111"/>
  <c r="AH49" i="111" s="1"/>
  <c r="N49" i="111"/>
  <c r="AG49" i="111" s="1"/>
  <c r="M49" i="111"/>
  <c r="AF49" i="111" s="1"/>
  <c r="L49" i="111"/>
  <c r="K49" i="111"/>
  <c r="AD49" i="111" s="1"/>
  <c r="J49" i="111"/>
  <c r="AC49" i="111" s="1"/>
  <c r="I49" i="111"/>
  <c r="AB49" i="111" s="1"/>
  <c r="H49" i="111"/>
  <c r="G49" i="111"/>
  <c r="F49" i="111"/>
  <c r="Y49" i="111" s="1"/>
  <c r="E49" i="111"/>
  <c r="X49" i="111" s="1"/>
  <c r="D49" i="111"/>
  <c r="C49" i="111"/>
  <c r="V49" i="111" s="1"/>
  <c r="S48" i="111"/>
  <c r="AI48" i="111" s="1"/>
  <c r="R48" i="111"/>
  <c r="Q48" i="111"/>
  <c r="P48" i="111"/>
  <c r="O48" i="111"/>
  <c r="AH48" i="111" s="1"/>
  <c r="N48" i="111"/>
  <c r="M48" i="111"/>
  <c r="L48" i="111"/>
  <c r="K48" i="111"/>
  <c r="AD48" i="111" s="1"/>
  <c r="J48" i="111"/>
  <c r="I48" i="111"/>
  <c r="H48" i="111"/>
  <c r="G48" i="111"/>
  <c r="Z48" i="111" s="1"/>
  <c r="F48" i="111"/>
  <c r="E48" i="111"/>
  <c r="D48" i="111"/>
  <c r="C48" i="111"/>
  <c r="V48" i="111" s="1"/>
  <c r="S47" i="111"/>
  <c r="AF47" i="111" s="1"/>
  <c r="R47" i="111"/>
  <c r="Q47" i="111"/>
  <c r="P47" i="111"/>
  <c r="O47" i="111"/>
  <c r="AH47" i="111" s="1"/>
  <c r="N47" i="111"/>
  <c r="AG47" i="111" s="1"/>
  <c r="M47" i="111"/>
  <c r="L47" i="111"/>
  <c r="K47" i="111"/>
  <c r="AD47" i="111" s="1"/>
  <c r="J47" i="111"/>
  <c r="I47" i="111"/>
  <c r="H47" i="111"/>
  <c r="G47" i="111"/>
  <c r="Z47" i="111" s="1"/>
  <c r="F47" i="111"/>
  <c r="E47" i="111"/>
  <c r="X47" i="111" s="1"/>
  <c r="D47" i="111"/>
  <c r="C47" i="111"/>
  <c r="V47" i="111" s="1"/>
  <c r="S46" i="111"/>
  <c r="AK46" i="111" s="1"/>
  <c r="R46" i="111"/>
  <c r="Q46" i="111"/>
  <c r="P46" i="111"/>
  <c r="O46" i="111"/>
  <c r="AH46" i="111" s="1"/>
  <c r="N46" i="111"/>
  <c r="M46" i="111"/>
  <c r="L46" i="111"/>
  <c r="K46" i="111"/>
  <c r="AD46" i="111" s="1"/>
  <c r="J46" i="111"/>
  <c r="I46" i="111"/>
  <c r="H46" i="111"/>
  <c r="G46" i="111"/>
  <c r="Z46" i="111" s="1"/>
  <c r="F46" i="111"/>
  <c r="E46" i="111"/>
  <c r="D46" i="111"/>
  <c r="W46" i="111" s="1"/>
  <c r="C46" i="111"/>
  <c r="V46" i="111" s="1"/>
  <c r="AF45" i="111"/>
  <c r="V45" i="111"/>
  <c r="S45" i="111"/>
  <c r="AJ45" i="111" s="1"/>
  <c r="R45" i="111"/>
  <c r="Q45" i="111"/>
  <c r="P45" i="111"/>
  <c r="AI45" i="111" s="1"/>
  <c r="O45" i="111"/>
  <c r="AH45" i="111" s="1"/>
  <c r="N45" i="111"/>
  <c r="M45" i="111"/>
  <c r="L45" i="111"/>
  <c r="AE45" i="111" s="1"/>
  <c r="K45" i="111"/>
  <c r="AD45" i="111" s="1"/>
  <c r="J45" i="111"/>
  <c r="I45" i="111"/>
  <c r="H45" i="111"/>
  <c r="AA45" i="111" s="1"/>
  <c r="G45" i="111"/>
  <c r="Z45" i="111" s="1"/>
  <c r="F45" i="111"/>
  <c r="E45" i="111"/>
  <c r="X45" i="111" s="1"/>
  <c r="D45" i="111"/>
  <c r="W45" i="111" s="1"/>
  <c r="C45" i="111"/>
  <c r="S44" i="111"/>
  <c r="R44" i="111"/>
  <c r="Q44" i="111"/>
  <c r="AJ44" i="111" s="1"/>
  <c r="P44" i="111"/>
  <c r="O44" i="111"/>
  <c r="AH44" i="111" s="1"/>
  <c r="N44" i="111"/>
  <c r="M44" i="111"/>
  <c r="L44" i="111"/>
  <c r="K44" i="111"/>
  <c r="AD44" i="111" s="1"/>
  <c r="J44" i="111"/>
  <c r="I44" i="111"/>
  <c r="AB44" i="111" s="1"/>
  <c r="H44" i="111"/>
  <c r="G44" i="111"/>
  <c r="Z44" i="111" s="1"/>
  <c r="F44" i="111"/>
  <c r="E44" i="111"/>
  <c r="X44" i="111" s="1"/>
  <c r="D44" i="111"/>
  <c r="C44" i="111"/>
  <c r="V44" i="111" s="1"/>
  <c r="AH43" i="111"/>
  <c r="AG43" i="111"/>
  <c r="V43" i="111"/>
  <c r="S43" i="111"/>
  <c r="R43" i="111"/>
  <c r="Q43" i="111"/>
  <c r="AJ43" i="111" s="1"/>
  <c r="P43" i="111"/>
  <c r="AI43" i="111" s="1"/>
  <c r="O43" i="111"/>
  <c r="N43" i="111"/>
  <c r="M43" i="111"/>
  <c r="L43" i="111"/>
  <c r="AE43" i="111" s="1"/>
  <c r="K43" i="111"/>
  <c r="AD43" i="111" s="1"/>
  <c r="J43" i="111"/>
  <c r="I43" i="111"/>
  <c r="AB43" i="111" s="1"/>
  <c r="H43" i="111"/>
  <c r="AA43" i="111" s="1"/>
  <c r="G43" i="111"/>
  <c r="Z43" i="111" s="1"/>
  <c r="F43" i="111"/>
  <c r="E43" i="111"/>
  <c r="X43" i="111" s="1"/>
  <c r="D43" i="111"/>
  <c r="W43" i="111" s="1"/>
  <c r="C43" i="111"/>
  <c r="AC42" i="111"/>
  <c r="S42" i="111"/>
  <c r="AK42" i="111" s="1"/>
  <c r="R42" i="111"/>
  <c r="Q42" i="111"/>
  <c r="AJ42" i="111" s="1"/>
  <c r="P42" i="111"/>
  <c r="O42" i="111"/>
  <c r="AH42" i="111" s="1"/>
  <c r="N42" i="111"/>
  <c r="M42" i="111"/>
  <c r="AF42" i="111" s="1"/>
  <c r="L42" i="111"/>
  <c r="K42" i="111"/>
  <c r="AD42" i="111" s="1"/>
  <c r="J42" i="111"/>
  <c r="I42" i="111"/>
  <c r="AB42" i="111" s="1"/>
  <c r="H42" i="111"/>
  <c r="AA42" i="111" s="1"/>
  <c r="G42" i="111"/>
  <c r="Z42" i="111" s="1"/>
  <c r="F42" i="111"/>
  <c r="E42" i="111"/>
  <c r="X42" i="111" s="1"/>
  <c r="D42" i="111"/>
  <c r="W42" i="111" s="1"/>
  <c r="C42" i="111"/>
  <c r="V42" i="111" s="1"/>
  <c r="AI41" i="111"/>
  <c r="AH41" i="111"/>
  <c r="Z41" i="111"/>
  <c r="V41" i="111"/>
  <c r="S41" i="111"/>
  <c r="R41" i="111"/>
  <c r="AK41" i="111" s="1"/>
  <c r="Q41" i="111"/>
  <c r="AJ41" i="111" s="1"/>
  <c r="P41" i="111"/>
  <c r="O41" i="111"/>
  <c r="N41" i="111"/>
  <c r="AG41" i="111" s="1"/>
  <c r="M41" i="111"/>
  <c r="AF41" i="111" s="1"/>
  <c r="L41" i="111"/>
  <c r="AE41" i="111" s="1"/>
  <c r="K41" i="111"/>
  <c r="AD41" i="111" s="1"/>
  <c r="J41" i="111"/>
  <c r="AC41" i="111" s="1"/>
  <c r="I41" i="111"/>
  <c r="AB41" i="111" s="1"/>
  <c r="H41" i="111"/>
  <c r="AA41" i="111" s="1"/>
  <c r="G41" i="111"/>
  <c r="F41" i="111"/>
  <c r="Y41" i="111" s="1"/>
  <c r="E41" i="111"/>
  <c r="X41" i="111" s="1"/>
  <c r="D41" i="111"/>
  <c r="W41" i="111" s="1"/>
  <c r="C41" i="111"/>
  <c r="S40" i="111"/>
  <c r="AI40" i="111" s="1"/>
  <c r="R40" i="111"/>
  <c r="Q40" i="111"/>
  <c r="P40" i="111"/>
  <c r="O40" i="111"/>
  <c r="AH40" i="111" s="1"/>
  <c r="N40" i="111"/>
  <c r="M40" i="111"/>
  <c r="L40" i="111"/>
  <c r="K40" i="111"/>
  <c r="AD40" i="111" s="1"/>
  <c r="J40" i="111"/>
  <c r="I40" i="111"/>
  <c r="H40" i="111"/>
  <c r="G40" i="111"/>
  <c r="Z40" i="111" s="1"/>
  <c r="F40" i="111"/>
  <c r="E40" i="111"/>
  <c r="D40" i="111"/>
  <c r="C40" i="111"/>
  <c r="V40" i="111" s="1"/>
  <c r="S35" i="111"/>
  <c r="AF35" i="111" s="1"/>
  <c r="R35" i="111"/>
  <c r="Q35" i="111"/>
  <c r="P35" i="111"/>
  <c r="O35" i="111"/>
  <c r="AH35" i="111" s="1"/>
  <c r="N35" i="111"/>
  <c r="M35" i="111"/>
  <c r="L35" i="111"/>
  <c r="K35" i="111"/>
  <c r="AD35" i="111" s="1"/>
  <c r="J35" i="111"/>
  <c r="I35" i="111"/>
  <c r="H35" i="111"/>
  <c r="G35" i="111"/>
  <c r="Z35" i="111" s="1"/>
  <c r="F35" i="111"/>
  <c r="E35" i="111"/>
  <c r="D35" i="111"/>
  <c r="C35" i="111"/>
  <c r="V35" i="111" s="1"/>
  <c r="AH34" i="111"/>
  <c r="S34" i="111"/>
  <c r="AK34" i="111" s="1"/>
  <c r="R34" i="111"/>
  <c r="Q34" i="111"/>
  <c r="P34" i="111"/>
  <c r="O34" i="111"/>
  <c r="N34" i="111"/>
  <c r="M34" i="111"/>
  <c r="L34" i="111"/>
  <c r="K34" i="111"/>
  <c r="AD34" i="111" s="1"/>
  <c r="J34" i="111"/>
  <c r="I34" i="111"/>
  <c r="H34" i="111"/>
  <c r="G34" i="111"/>
  <c r="Z34" i="111" s="1"/>
  <c r="F34" i="111"/>
  <c r="E34" i="111"/>
  <c r="D34" i="111"/>
  <c r="W34" i="111" s="1"/>
  <c r="C34" i="111"/>
  <c r="V34" i="111" s="1"/>
  <c r="S33" i="111"/>
  <c r="AJ33" i="111" s="1"/>
  <c r="R33" i="111"/>
  <c r="Q33" i="111"/>
  <c r="P33" i="111"/>
  <c r="O33" i="111"/>
  <c r="AH33" i="111" s="1"/>
  <c r="N33" i="111"/>
  <c r="M33" i="111"/>
  <c r="L33" i="111"/>
  <c r="K33" i="111"/>
  <c r="AD33" i="111" s="1"/>
  <c r="J33" i="111"/>
  <c r="I33" i="111"/>
  <c r="H33" i="111"/>
  <c r="G33" i="111"/>
  <c r="Z33" i="111" s="1"/>
  <c r="F33" i="111"/>
  <c r="E33" i="111"/>
  <c r="D33" i="111"/>
  <c r="C33" i="111"/>
  <c r="V33" i="111" s="1"/>
  <c r="S32" i="111"/>
  <c r="R32" i="111"/>
  <c r="Q32" i="111"/>
  <c r="P32" i="111"/>
  <c r="O32" i="111"/>
  <c r="AH32" i="111" s="1"/>
  <c r="N32" i="111"/>
  <c r="M32" i="111"/>
  <c r="L32" i="111"/>
  <c r="K32" i="111"/>
  <c r="AD32" i="111" s="1"/>
  <c r="J32" i="111"/>
  <c r="I32" i="111"/>
  <c r="AB32" i="111" s="1"/>
  <c r="H32" i="111"/>
  <c r="G32" i="111"/>
  <c r="Z32" i="111" s="1"/>
  <c r="F32" i="111"/>
  <c r="E32" i="111"/>
  <c r="X32" i="111" s="1"/>
  <c r="D32" i="111"/>
  <c r="C32" i="111"/>
  <c r="V32" i="111" s="1"/>
  <c r="AD31" i="111"/>
  <c r="S31" i="111"/>
  <c r="R31" i="111"/>
  <c r="Q31" i="111"/>
  <c r="AJ31" i="111" s="1"/>
  <c r="P31" i="111"/>
  <c r="O31" i="111"/>
  <c r="AH31" i="111" s="1"/>
  <c r="N31" i="111"/>
  <c r="M31" i="111"/>
  <c r="L31" i="111"/>
  <c r="K31" i="111"/>
  <c r="J31" i="111"/>
  <c r="AC31" i="111" s="1"/>
  <c r="I31" i="111"/>
  <c r="AB31" i="111" s="1"/>
  <c r="H31" i="111"/>
  <c r="G31" i="111"/>
  <c r="Z31" i="111" s="1"/>
  <c r="F31" i="111"/>
  <c r="Y31" i="111" s="1"/>
  <c r="E31" i="111"/>
  <c r="X31" i="111" s="1"/>
  <c r="D31" i="111"/>
  <c r="C31" i="111"/>
  <c r="V31" i="111" s="1"/>
  <c r="AC30" i="111"/>
  <c r="S30" i="111"/>
  <c r="AK30" i="111" s="1"/>
  <c r="R30" i="111"/>
  <c r="Q30" i="111"/>
  <c r="AJ30" i="111" s="1"/>
  <c r="P30" i="111"/>
  <c r="O30" i="111"/>
  <c r="AH30" i="111" s="1"/>
  <c r="N30" i="111"/>
  <c r="M30" i="111"/>
  <c r="AF30" i="111" s="1"/>
  <c r="L30" i="111"/>
  <c r="K30" i="111"/>
  <c r="AD30" i="111" s="1"/>
  <c r="J30" i="111"/>
  <c r="I30" i="111"/>
  <c r="AB30" i="111" s="1"/>
  <c r="H30" i="111"/>
  <c r="G30" i="111"/>
  <c r="Z30" i="111" s="1"/>
  <c r="F30" i="111"/>
  <c r="E30" i="111"/>
  <c r="X30" i="111" s="1"/>
  <c r="D30" i="111"/>
  <c r="W30" i="111" s="1"/>
  <c r="C30" i="111"/>
  <c r="V30" i="111" s="1"/>
  <c r="AI29" i="111"/>
  <c r="Z29" i="111"/>
  <c r="S29" i="111"/>
  <c r="AF29" i="111" s="1"/>
  <c r="R29" i="111"/>
  <c r="AK29" i="111" s="1"/>
  <c r="Q29" i="111"/>
  <c r="P29" i="111"/>
  <c r="O29" i="111"/>
  <c r="AH29" i="111" s="1"/>
  <c r="N29" i="111"/>
  <c r="AG29" i="111" s="1"/>
  <c r="M29" i="111"/>
  <c r="L29" i="111"/>
  <c r="AE29" i="111" s="1"/>
  <c r="K29" i="111"/>
  <c r="AD29" i="111" s="1"/>
  <c r="J29" i="111"/>
  <c r="AC29" i="111" s="1"/>
  <c r="I29" i="111"/>
  <c r="H29" i="111"/>
  <c r="AA29" i="111" s="1"/>
  <c r="G29" i="111"/>
  <c r="F29" i="111"/>
  <c r="Y29" i="111" s="1"/>
  <c r="E29" i="111"/>
  <c r="X29" i="111" s="1"/>
  <c r="D29" i="111"/>
  <c r="W29" i="111" s="1"/>
  <c r="C29" i="111"/>
  <c r="V29" i="111" s="1"/>
  <c r="S28" i="111"/>
  <c r="AI28" i="111" s="1"/>
  <c r="R28" i="111"/>
  <c r="Q28" i="111"/>
  <c r="P28" i="111"/>
  <c r="O28" i="111"/>
  <c r="AH28" i="111" s="1"/>
  <c r="N28" i="111"/>
  <c r="M28" i="111"/>
  <c r="L28" i="111"/>
  <c r="K28" i="111"/>
  <c r="AD28" i="111" s="1"/>
  <c r="J28" i="111"/>
  <c r="I28" i="111"/>
  <c r="H28" i="111"/>
  <c r="G28" i="111"/>
  <c r="Z28" i="111" s="1"/>
  <c r="F28" i="111"/>
  <c r="E28" i="111"/>
  <c r="D28" i="111"/>
  <c r="C28" i="111"/>
  <c r="V28" i="111" s="1"/>
  <c r="S27" i="111"/>
  <c r="R27" i="111"/>
  <c r="AK27" i="111" s="1"/>
  <c r="Q27" i="111"/>
  <c r="AJ27" i="111" s="1"/>
  <c r="P27" i="111"/>
  <c r="O27" i="111"/>
  <c r="AH27" i="111" s="1"/>
  <c r="N27" i="111"/>
  <c r="AG27" i="111" s="1"/>
  <c r="M27" i="111"/>
  <c r="L27" i="111"/>
  <c r="K27" i="111"/>
  <c r="AD27" i="111" s="1"/>
  <c r="J27" i="111"/>
  <c r="AC27" i="111" s="1"/>
  <c r="I27" i="111"/>
  <c r="AB27" i="111" s="1"/>
  <c r="H27" i="111"/>
  <c r="G27" i="111"/>
  <c r="Z27" i="111" s="1"/>
  <c r="F27" i="111"/>
  <c r="Y27" i="111" s="1"/>
  <c r="E27" i="111"/>
  <c r="D27" i="111"/>
  <c r="C27" i="111"/>
  <c r="V27" i="111" s="1"/>
  <c r="AC26" i="111"/>
  <c r="S26" i="111"/>
  <c r="AK26" i="111" s="1"/>
  <c r="R26" i="111"/>
  <c r="Q26" i="111"/>
  <c r="AJ26" i="111" s="1"/>
  <c r="P26" i="111"/>
  <c r="O26" i="111"/>
  <c r="AH26" i="111" s="1"/>
  <c r="N26" i="111"/>
  <c r="M26" i="111"/>
  <c r="AF26" i="111" s="1"/>
  <c r="L26" i="111"/>
  <c r="K26" i="111"/>
  <c r="AD26" i="111" s="1"/>
  <c r="J26" i="111"/>
  <c r="I26" i="111"/>
  <c r="AB26" i="111" s="1"/>
  <c r="H26" i="111"/>
  <c r="G26" i="111"/>
  <c r="Z26" i="111" s="1"/>
  <c r="F26" i="111"/>
  <c r="E26" i="111"/>
  <c r="X26" i="111" s="1"/>
  <c r="D26" i="111"/>
  <c r="W26" i="111" s="1"/>
  <c r="C26" i="111"/>
  <c r="V26" i="111" s="1"/>
  <c r="AH25" i="111"/>
  <c r="S25" i="111"/>
  <c r="AI25" i="111" s="1"/>
  <c r="R25" i="111"/>
  <c r="Q25" i="111"/>
  <c r="AJ25" i="111" s="1"/>
  <c r="P25" i="111"/>
  <c r="O25" i="111"/>
  <c r="N25" i="111"/>
  <c r="M25" i="111"/>
  <c r="AF25" i="111" s="1"/>
  <c r="L25" i="111"/>
  <c r="K25" i="111"/>
  <c r="AD25" i="111" s="1"/>
  <c r="J25" i="111"/>
  <c r="AC25" i="111" s="1"/>
  <c r="I25" i="111"/>
  <c r="AB25" i="111" s="1"/>
  <c r="H25" i="111"/>
  <c r="G25" i="111"/>
  <c r="Z25" i="111" s="1"/>
  <c r="F25" i="111"/>
  <c r="Y25" i="111" s="1"/>
  <c r="E25" i="111"/>
  <c r="X25" i="111" s="1"/>
  <c r="D25" i="111"/>
  <c r="C25" i="111"/>
  <c r="V25" i="111" s="1"/>
  <c r="S24" i="111"/>
  <c r="R24" i="111"/>
  <c r="Q24" i="111"/>
  <c r="P24" i="111"/>
  <c r="O24" i="111"/>
  <c r="AH24" i="111" s="1"/>
  <c r="N24" i="111"/>
  <c r="AG24" i="111" s="1"/>
  <c r="M24" i="111"/>
  <c r="L24" i="111"/>
  <c r="K24" i="111"/>
  <c r="AD24" i="111" s="1"/>
  <c r="J24" i="111"/>
  <c r="I24" i="111"/>
  <c r="H24" i="111"/>
  <c r="G24" i="111"/>
  <c r="Z24" i="111" s="1"/>
  <c r="F24" i="111"/>
  <c r="Y24" i="111" s="1"/>
  <c r="E24" i="111"/>
  <c r="D24" i="111"/>
  <c r="C24" i="111"/>
  <c r="V24" i="111" s="1"/>
  <c r="AJ23" i="111"/>
  <c r="AD23" i="111"/>
  <c r="V23" i="111"/>
  <c r="S23" i="111"/>
  <c r="R23" i="111"/>
  <c r="AK23" i="111" s="1"/>
  <c r="Q23" i="111"/>
  <c r="P23" i="111"/>
  <c r="AI23" i="111" s="1"/>
  <c r="O23" i="111"/>
  <c r="AH23" i="111" s="1"/>
  <c r="N23" i="111"/>
  <c r="AG23" i="111" s="1"/>
  <c r="M23" i="111"/>
  <c r="L23" i="111"/>
  <c r="AE23" i="111" s="1"/>
  <c r="K23" i="111"/>
  <c r="J23" i="111"/>
  <c r="AC23" i="111" s="1"/>
  <c r="I23" i="111"/>
  <c r="AB23" i="111" s="1"/>
  <c r="H23" i="111"/>
  <c r="AA23" i="111" s="1"/>
  <c r="G23" i="111"/>
  <c r="Z23" i="111" s="1"/>
  <c r="F23" i="111"/>
  <c r="Y23" i="111" s="1"/>
  <c r="E23" i="111"/>
  <c r="D23" i="111"/>
  <c r="W23" i="111" s="1"/>
  <c r="C23" i="111"/>
  <c r="AH18" i="111"/>
  <c r="S18" i="111"/>
  <c r="R18" i="111"/>
  <c r="Q18" i="111"/>
  <c r="AJ18" i="111" s="1"/>
  <c r="P18" i="111"/>
  <c r="AI18" i="111" s="1"/>
  <c r="O18" i="111"/>
  <c r="N18" i="111"/>
  <c r="M18" i="111"/>
  <c r="AF18" i="111" s="1"/>
  <c r="L18" i="111"/>
  <c r="K18" i="111"/>
  <c r="AD18" i="111" s="1"/>
  <c r="J18" i="111"/>
  <c r="AC18" i="111" s="1"/>
  <c r="I18" i="111"/>
  <c r="AB18" i="111" s="1"/>
  <c r="H18" i="111"/>
  <c r="AA18" i="111" s="1"/>
  <c r="G18" i="111"/>
  <c r="Z18" i="111" s="1"/>
  <c r="F18" i="111"/>
  <c r="E18" i="111"/>
  <c r="X18" i="111" s="1"/>
  <c r="D18" i="111"/>
  <c r="W18" i="111" s="1"/>
  <c r="C18" i="111"/>
  <c r="V18" i="111" s="1"/>
  <c r="AH17" i="111"/>
  <c r="AF17" i="111"/>
  <c r="Z17" i="111"/>
  <c r="V17" i="111"/>
  <c r="S17" i="111"/>
  <c r="R17" i="111"/>
  <c r="AK17" i="111" s="1"/>
  <c r="Q17" i="111"/>
  <c r="AJ17" i="111" s="1"/>
  <c r="P17" i="111"/>
  <c r="AI17" i="111" s="1"/>
  <c r="O17" i="111"/>
  <c r="N17" i="111"/>
  <c r="AG17" i="111" s="1"/>
  <c r="M17" i="111"/>
  <c r="L17" i="111"/>
  <c r="AE17" i="111" s="1"/>
  <c r="K17" i="111"/>
  <c r="AD17" i="111" s="1"/>
  <c r="J17" i="111"/>
  <c r="AC17" i="111" s="1"/>
  <c r="I17" i="111"/>
  <c r="AB17" i="111" s="1"/>
  <c r="H17" i="111"/>
  <c r="AA17" i="111" s="1"/>
  <c r="G17" i="111"/>
  <c r="F17" i="111"/>
  <c r="Y17" i="111" s="1"/>
  <c r="E17" i="111"/>
  <c r="X17" i="111" s="1"/>
  <c r="D17" i="111"/>
  <c r="W17" i="111" s="1"/>
  <c r="C17" i="111"/>
  <c r="S16" i="111"/>
  <c r="AI16" i="111" s="1"/>
  <c r="R16" i="111"/>
  <c r="Q16" i="111"/>
  <c r="AJ16" i="111" s="1"/>
  <c r="P16" i="111"/>
  <c r="O16" i="111"/>
  <c r="AH16" i="111" s="1"/>
  <c r="N16" i="111"/>
  <c r="M16" i="111"/>
  <c r="L16" i="111"/>
  <c r="K16" i="111"/>
  <c r="AD16" i="111" s="1"/>
  <c r="J16" i="111"/>
  <c r="I16" i="111"/>
  <c r="AB16" i="111" s="1"/>
  <c r="H16" i="111"/>
  <c r="G16" i="111"/>
  <c r="Z16" i="111" s="1"/>
  <c r="F16" i="111"/>
  <c r="E16" i="111"/>
  <c r="X16" i="111" s="1"/>
  <c r="D16" i="111"/>
  <c r="C16" i="111"/>
  <c r="V16" i="111" s="1"/>
  <c r="S15" i="111"/>
  <c r="X15" i="111" s="1"/>
  <c r="R15" i="111"/>
  <c r="Q15" i="111"/>
  <c r="AJ15" i="111" s="1"/>
  <c r="P15" i="111"/>
  <c r="O15" i="111"/>
  <c r="AH15" i="111" s="1"/>
  <c r="N15" i="111"/>
  <c r="M15" i="111"/>
  <c r="L15" i="111"/>
  <c r="K15" i="111"/>
  <c r="AD15" i="111" s="1"/>
  <c r="J15" i="111"/>
  <c r="I15" i="111"/>
  <c r="AB15" i="111" s="1"/>
  <c r="H15" i="111"/>
  <c r="G15" i="111"/>
  <c r="Z15" i="111" s="1"/>
  <c r="F15" i="111"/>
  <c r="E15" i="111"/>
  <c r="D15" i="111"/>
  <c r="C15" i="111"/>
  <c r="V15" i="111" s="1"/>
  <c r="S14" i="111"/>
  <c r="AK14" i="111" s="1"/>
  <c r="R14" i="111"/>
  <c r="Q14" i="111"/>
  <c r="P14" i="111"/>
  <c r="O14" i="111"/>
  <c r="AH14" i="111" s="1"/>
  <c r="N14" i="111"/>
  <c r="M14" i="111"/>
  <c r="L14" i="111"/>
  <c r="K14" i="111"/>
  <c r="AD14" i="111" s="1"/>
  <c r="J14" i="111"/>
  <c r="I14" i="111"/>
  <c r="H14" i="111"/>
  <c r="G14" i="111"/>
  <c r="Z14" i="111" s="1"/>
  <c r="F14" i="111"/>
  <c r="E14" i="111"/>
  <c r="D14" i="111"/>
  <c r="W14" i="111" s="1"/>
  <c r="C14" i="111"/>
  <c r="V14" i="111" s="1"/>
  <c r="S13" i="111"/>
  <c r="R13" i="111"/>
  <c r="Q13" i="111"/>
  <c r="P13" i="111"/>
  <c r="AI13" i="111" s="1"/>
  <c r="O13" i="111"/>
  <c r="AH13" i="111" s="1"/>
  <c r="N13" i="111"/>
  <c r="M13" i="111"/>
  <c r="AF13" i="111" s="1"/>
  <c r="L13" i="111"/>
  <c r="K13" i="111"/>
  <c r="AD13" i="111" s="1"/>
  <c r="J13" i="111"/>
  <c r="I13" i="111"/>
  <c r="AB13" i="111" s="1"/>
  <c r="H13" i="111"/>
  <c r="G13" i="111"/>
  <c r="Z13" i="111" s="1"/>
  <c r="F13" i="111"/>
  <c r="E13" i="111"/>
  <c r="X13" i="111" s="1"/>
  <c r="D13" i="111"/>
  <c r="C13" i="111"/>
  <c r="V13" i="111" s="1"/>
  <c r="S12" i="111"/>
  <c r="R12" i="111"/>
  <c r="Q12" i="111"/>
  <c r="AJ12" i="111" s="1"/>
  <c r="P12" i="111"/>
  <c r="O12" i="111"/>
  <c r="AH12" i="111" s="1"/>
  <c r="N12" i="111"/>
  <c r="AG12" i="111" s="1"/>
  <c r="M12" i="111"/>
  <c r="L12" i="111"/>
  <c r="K12" i="111"/>
  <c r="AD12" i="111" s="1"/>
  <c r="J12" i="111"/>
  <c r="I12" i="111"/>
  <c r="AB12" i="111" s="1"/>
  <c r="H12" i="111"/>
  <c r="G12" i="111"/>
  <c r="Z12" i="111" s="1"/>
  <c r="F12" i="111"/>
  <c r="Y12" i="111" s="1"/>
  <c r="E12" i="111"/>
  <c r="X12" i="111" s="1"/>
  <c r="D12" i="111"/>
  <c r="C12" i="111"/>
  <c r="V12" i="111" s="1"/>
  <c r="AJ11" i="111"/>
  <c r="AD11" i="111"/>
  <c r="V11" i="111"/>
  <c r="S11" i="111"/>
  <c r="X11" i="111" s="1"/>
  <c r="R11" i="111"/>
  <c r="AK11" i="111" s="1"/>
  <c r="Q11" i="111"/>
  <c r="P11" i="111"/>
  <c r="AI11" i="111" s="1"/>
  <c r="O11" i="111"/>
  <c r="AH11" i="111" s="1"/>
  <c r="N11" i="111"/>
  <c r="AG11" i="111" s="1"/>
  <c r="M11" i="111"/>
  <c r="L11" i="111"/>
  <c r="AE11" i="111" s="1"/>
  <c r="K11" i="111"/>
  <c r="J11" i="111"/>
  <c r="AC11" i="111" s="1"/>
  <c r="I11" i="111"/>
  <c r="AB11" i="111" s="1"/>
  <c r="H11" i="111"/>
  <c r="AA11" i="111" s="1"/>
  <c r="G11" i="111"/>
  <c r="Z11" i="111" s="1"/>
  <c r="F11" i="111"/>
  <c r="Y11" i="111" s="1"/>
  <c r="E11" i="111"/>
  <c r="D11" i="111"/>
  <c r="W11" i="111" s="1"/>
  <c r="C11" i="111"/>
  <c r="AH10" i="111"/>
  <c r="S10" i="111"/>
  <c r="R10" i="111"/>
  <c r="Q10" i="111"/>
  <c r="P10" i="111"/>
  <c r="AI10" i="111" s="1"/>
  <c r="O10" i="111"/>
  <c r="N10" i="111"/>
  <c r="M10" i="111"/>
  <c r="L10" i="111"/>
  <c r="K10" i="111"/>
  <c r="AD10" i="111" s="1"/>
  <c r="J10" i="111"/>
  <c r="AC10" i="111" s="1"/>
  <c r="I10" i="111"/>
  <c r="H10" i="111"/>
  <c r="AA10" i="111" s="1"/>
  <c r="G10" i="111"/>
  <c r="Z10" i="111" s="1"/>
  <c r="F10" i="111"/>
  <c r="E10" i="111"/>
  <c r="D10" i="111"/>
  <c r="W10" i="111" s="1"/>
  <c r="C10" i="111"/>
  <c r="V10" i="111" s="1"/>
  <c r="AF9" i="111"/>
  <c r="Z9" i="111"/>
  <c r="V9" i="111"/>
  <c r="S9" i="111"/>
  <c r="R9" i="111"/>
  <c r="AK9" i="111" s="1"/>
  <c r="Q9" i="111"/>
  <c r="P9" i="111"/>
  <c r="AI9" i="111" s="1"/>
  <c r="O9" i="111"/>
  <c r="AH9" i="111" s="1"/>
  <c r="N9" i="111"/>
  <c r="AG9" i="111" s="1"/>
  <c r="M9" i="111"/>
  <c r="L9" i="111"/>
  <c r="AE9" i="111" s="1"/>
  <c r="K9" i="111"/>
  <c r="AD9" i="111" s="1"/>
  <c r="J9" i="111"/>
  <c r="AC9" i="111" s="1"/>
  <c r="I9" i="111"/>
  <c r="H9" i="111"/>
  <c r="AA9" i="111" s="1"/>
  <c r="G9" i="111"/>
  <c r="F9" i="111"/>
  <c r="Y9" i="111" s="1"/>
  <c r="E9" i="111"/>
  <c r="X9" i="111" s="1"/>
  <c r="D9" i="111"/>
  <c r="W9" i="111" s="1"/>
  <c r="C9" i="111"/>
  <c r="S8" i="111"/>
  <c r="AI8" i="111" s="1"/>
  <c r="R8" i="111"/>
  <c r="Q8" i="111"/>
  <c r="AJ8" i="111" s="1"/>
  <c r="P8" i="111"/>
  <c r="O8" i="111"/>
  <c r="AH8" i="111" s="1"/>
  <c r="N8" i="111"/>
  <c r="M8" i="111"/>
  <c r="L8" i="111"/>
  <c r="K8" i="111"/>
  <c r="AD8" i="111" s="1"/>
  <c r="J8" i="111"/>
  <c r="I8" i="111"/>
  <c r="AB8" i="111" s="1"/>
  <c r="H8" i="111"/>
  <c r="G8" i="111"/>
  <c r="Z8" i="111" s="1"/>
  <c r="F8" i="111"/>
  <c r="E8" i="111"/>
  <c r="X8" i="111" s="1"/>
  <c r="D8" i="111"/>
  <c r="C8" i="111"/>
  <c r="V8" i="111" s="1"/>
  <c r="AB7" i="111"/>
  <c r="S7" i="111"/>
  <c r="R7" i="111"/>
  <c r="Q7" i="111"/>
  <c r="AJ7" i="111" s="1"/>
  <c r="P7" i="111"/>
  <c r="O7" i="111"/>
  <c r="AH7" i="111" s="1"/>
  <c r="N7" i="111"/>
  <c r="M7" i="111"/>
  <c r="L7" i="111"/>
  <c r="K7" i="111"/>
  <c r="AD7" i="111" s="1"/>
  <c r="J7" i="111"/>
  <c r="I7" i="111"/>
  <c r="H7" i="111"/>
  <c r="G7" i="111"/>
  <c r="Z7" i="111" s="1"/>
  <c r="F7" i="111"/>
  <c r="E7" i="111"/>
  <c r="D7" i="111"/>
  <c r="C7" i="111"/>
  <c r="V7" i="111" s="1"/>
  <c r="AC6" i="111"/>
  <c r="S6" i="111"/>
  <c r="AK6" i="111" s="1"/>
  <c r="R6" i="111"/>
  <c r="Q6" i="111"/>
  <c r="AJ6" i="111" s="1"/>
  <c r="P6" i="111"/>
  <c r="O6" i="111"/>
  <c r="AH6" i="111" s="1"/>
  <c r="N6" i="111"/>
  <c r="M6" i="111"/>
  <c r="AF6" i="111" s="1"/>
  <c r="L6" i="111"/>
  <c r="K6" i="111"/>
  <c r="AD6" i="111" s="1"/>
  <c r="J6" i="111"/>
  <c r="I6" i="111"/>
  <c r="AB6" i="111" s="1"/>
  <c r="H6" i="111"/>
  <c r="G6" i="111"/>
  <c r="Z6" i="111" s="1"/>
  <c r="F6" i="111"/>
  <c r="E6" i="111"/>
  <c r="X6" i="111" s="1"/>
  <c r="D6" i="111"/>
  <c r="W6" i="111" s="1"/>
  <c r="C6" i="111"/>
  <c r="V6" i="111" s="1"/>
  <c r="T212" i="100"/>
  <c r="S212" i="100"/>
  <c r="R212" i="100"/>
  <c r="Q212" i="100"/>
  <c r="P212" i="100"/>
  <c r="O212" i="100"/>
  <c r="N212" i="100"/>
  <c r="M212" i="100"/>
  <c r="L212" i="100"/>
  <c r="K212" i="100"/>
  <c r="J212" i="100"/>
  <c r="I212" i="100"/>
  <c r="H212" i="100"/>
  <c r="G212" i="100"/>
  <c r="F212" i="100"/>
  <c r="E212" i="100"/>
  <c r="D212" i="100"/>
  <c r="T211" i="100"/>
  <c r="S211" i="100"/>
  <c r="R211" i="100"/>
  <c r="Q211" i="100"/>
  <c r="P211" i="100"/>
  <c r="O211" i="100"/>
  <c r="N211" i="100"/>
  <c r="M211" i="100"/>
  <c r="L211" i="100"/>
  <c r="K211" i="100"/>
  <c r="J211" i="100"/>
  <c r="I211" i="100"/>
  <c r="H211" i="100"/>
  <c r="G211" i="100"/>
  <c r="F211" i="100"/>
  <c r="E211" i="100"/>
  <c r="D211" i="100"/>
  <c r="T210" i="100"/>
  <c r="AO210" i="100" s="1"/>
  <c r="S210" i="100"/>
  <c r="R210" i="100"/>
  <c r="Q210" i="100"/>
  <c r="P210" i="100"/>
  <c r="O210" i="100"/>
  <c r="N210" i="100"/>
  <c r="M210" i="100"/>
  <c r="L210" i="100"/>
  <c r="AG210" i="100" s="1"/>
  <c r="K210" i="100"/>
  <c r="J210" i="100"/>
  <c r="I210" i="100"/>
  <c r="H210" i="100"/>
  <c r="G210" i="100"/>
  <c r="F210" i="100"/>
  <c r="E210" i="100"/>
  <c r="D210" i="100"/>
  <c r="Y210" i="100" s="1"/>
  <c r="T209" i="100"/>
  <c r="S209" i="100"/>
  <c r="R209" i="100"/>
  <c r="Q209" i="100"/>
  <c r="P209" i="100"/>
  <c r="O209" i="100"/>
  <c r="N209" i="100"/>
  <c r="M209" i="100"/>
  <c r="L209" i="100"/>
  <c r="K209" i="100"/>
  <c r="J209" i="100"/>
  <c r="AE209" i="100" s="1"/>
  <c r="I209" i="100"/>
  <c r="H209" i="100"/>
  <c r="G209" i="100"/>
  <c r="F209" i="100"/>
  <c r="E209" i="100"/>
  <c r="D209" i="100"/>
  <c r="AG208" i="100"/>
  <c r="T208" i="100"/>
  <c r="AO208" i="100" s="1"/>
  <c r="S208" i="100"/>
  <c r="R208" i="100"/>
  <c r="Q208" i="100"/>
  <c r="P208" i="100"/>
  <c r="O208" i="100"/>
  <c r="N208" i="100"/>
  <c r="M208" i="100"/>
  <c r="L208" i="100"/>
  <c r="K208" i="100"/>
  <c r="J208" i="100"/>
  <c r="I208" i="100"/>
  <c r="H208" i="100"/>
  <c r="G208" i="100"/>
  <c r="F208" i="100"/>
  <c r="E208" i="100"/>
  <c r="D208" i="100"/>
  <c r="Y208" i="100" s="1"/>
  <c r="AO207" i="100"/>
  <c r="AG207" i="100"/>
  <c r="T207" i="100"/>
  <c r="AO209" i="100" s="1"/>
  <c r="S207" i="100"/>
  <c r="AN207" i="100" s="1"/>
  <c r="R207" i="100"/>
  <c r="AM207" i="100" s="1"/>
  <c r="Q207" i="100"/>
  <c r="P207" i="100"/>
  <c r="AK207" i="100" s="1"/>
  <c r="O207" i="100"/>
  <c r="AJ207" i="100" s="1"/>
  <c r="N207" i="100"/>
  <c r="AI210" i="100" s="1"/>
  <c r="M207" i="100"/>
  <c r="L207" i="100"/>
  <c r="AG211" i="100" s="1"/>
  <c r="K207" i="100"/>
  <c r="AF207" i="100" s="1"/>
  <c r="J207" i="100"/>
  <c r="AE207" i="100" s="1"/>
  <c r="I207" i="100"/>
  <c r="H207" i="100"/>
  <c r="AC210" i="100" s="1"/>
  <c r="G207" i="100"/>
  <c r="AB207" i="100" s="1"/>
  <c r="F207" i="100"/>
  <c r="E207" i="100"/>
  <c r="D207" i="100"/>
  <c r="Y207" i="100" s="1"/>
  <c r="T206" i="100"/>
  <c r="S206" i="100"/>
  <c r="R206" i="100"/>
  <c r="Q206" i="100"/>
  <c r="P206" i="100"/>
  <c r="O206" i="100"/>
  <c r="N206" i="100"/>
  <c r="M206" i="100"/>
  <c r="L206" i="100"/>
  <c r="K206" i="100"/>
  <c r="J206" i="100"/>
  <c r="I206" i="100"/>
  <c r="H206" i="100"/>
  <c r="G206" i="100"/>
  <c r="F206" i="100"/>
  <c r="E206" i="100"/>
  <c r="D206" i="100"/>
  <c r="T205" i="100"/>
  <c r="AO205" i="100" s="1"/>
  <c r="S205" i="100"/>
  <c r="R205" i="100"/>
  <c r="Q205" i="100"/>
  <c r="P205" i="100"/>
  <c r="O205" i="100"/>
  <c r="N205" i="100"/>
  <c r="M205" i="100"/>
  <c r="L205" i="100"/>
  <c r="K205" i="100"/>
  <c r="J205" i="100"/>
  <c r="I205" i="100"/>
  <c r="H205" i="100"/>
  <c r="G205" i="100"/>
  <c r="F205" i="100"/>
  <c r="E205" i="100"/>
  <c r="D205" i="100"/>
  <c r="Y205" i="100" s="1"/>
  <c r="T204" i="100"/>
  <c r="AO204" i="100" s="1"/>
  <c r="N204" i="100"/>
  <c r="F204" i="100"/>
  <c r="E204" i="100"/>
  <c r="D204" i="100"/>
  <c r="Y203" i="100"/>
  <c r="T203" i="100"/>
  <c r="AO203" i="100" s="1"/>
  <c r="E203" i="100"/>
  <c r="D203" i="100"/>
  <c r="AO202" i="100"/>
  <c r="Y202" i="100"/>
  <c r="T202" i="100"/>
  <c r="S202" i="100"/>
  <c r="R202" i="100"/>
  <c r="Q202" i="100"/>
  <c r="S203" i="100" s="1"/>
  <c r="P202" i="100"/>
  <c r="R203" i="100" s="1"/>
  <c r="O202" i="100"/>
  <c r="Q204" i="100" s="1"/>
  <c r="N202" i="100"/>
  <c r="P204" i="100" s="1"/>
  <c r="M202" i="100"/>
  <c r="O203" i="100" s="1"/>
  <c r="L202" i="100"/>
  <c r="N203" i="100" s="1"/>
  <c r="K202" i="100"/>
  <c r="M204" i="100" s="1"/>
  <c r="J202" i="100"/>
  <c r="L204" i="100" s="1"/>
  <c r="I202" i="100"/>
  <c r="K203" i="100" s="1"/>
  <c r="H202" i="100"/>
  <c r="J204" i="100" s="1"/>
  <c r="G202" i="100"/>
  <c r="I204" i="100" s="1"/>
  <c r="F202" i="100"/>
  <c r="H204" i="100" s="1"/>
  <c r="E202" i="100"/>
  <c r="G203" i="100" s="1"/>
  <c r="D202" i="100"/>
  <c r="F203" i="100" s="1"/>
  <c r="T201" i="100"/>
  <c r="AO201" i="100" s="1"/>
  <c r="S201" i="100"/>
  <c r="R201" i="100"/>
  <c r="Q201" i="100"/>
  <c r="P201" i="100"/>
  <c r="O201" i="100"/>
  <c r="N201" i="100"/>
  <c r="M201" i="100"/>
  <c r="L201" i="100"/>
  <c r="K201" i="100"/>
  <c r="J201" i="100"/>
  <c r="I201" i="100"/>
  <c r="H201" i="100"/>
  <c r="G201" i="100"/>
  <c r="F201" i="100"/>
  <c r="E201" i="100"/>
  <c r="D201" i="100"/>
  <c r="T200" i="100"/>
  <c r="AO200" i="100" s="1"/>
  <c r="S200" i="100"/>
  <c r="R200" i="100"/>
  <c r="Q200" i="100"/>
  <c r="P200" i="100"/>
  <c r="O200" i="100"/>
  <c r="N200" i="100"/>
  <c r="M200" i="100"/>
  <c r="L200" i="100"/>
  <c r="K200" i="100"/>
  <c r="J200" i="100"/>
  <c r="I200" i="100"/>
  <c r="H200" i="100"/>
  <c r="G200" i="100"/>
  <c r="F200" i="100"/>
  <c r="E200" i="100"/>
  <c r="D200" i="100"/>
  <c r="T199" i="100"/>
  <c r="E199" i="100"/>
  <c r="D199" i="100"/>
  <c r="T198" i="100"/>
  <c r="E198" i="100"/>
  <c r="Z198" i="100" s="1"/>
  <c r="D198" i="100"/>
  <c r="T197" i="100"/>
  <c r="AO198" i="100" s="1"/>
  <c r="S197" i="100"/>
  <c r="R197" i="100"/>
  <c r="Q197" i="100"/>
  <c r="S199" i="100" s="1"/>
  <c r="P197" i="100"/>
  <c r="R199" i="100" s="1"/>
  <c r="O197" i="100"/>
  <c r="Q198" i="100" s="1"/>
  <c r="N197" i="100"/>
  <c r="P198" i="100" s="1"/>
  <c r="M197" i="100"/>
  <c r="O199" i="100" s="1"/>
  <c r="L197" i="100"/>
  <c r="N199" i="100" s="1"/>
  <c r="K197" i="100"/>
  <c r="M198" i="100" s="1"/>
  <c r="J197" i="100"/>
  <c r="L198" i="100" s="1"/>
  <c r="I197" i="100"/>
  <c r="K199" i="100" s="1"/>
  <c r="H197" i="100"/>
  <c r="J199" i="100" s="1"/>
  <c r="G197" i="100"/>
  <c r="I198" i="100" s="1"/>
  <c r="F197" i="100"/>
  <c r="H198" i="100" s="1"/>
  <c r="E197" i="100"/>
  <c r="G199" i="100" s="1"/>
  <c r="D197" i="100"/>
  <c r="T196" i="100"/>
  <c r="S196" i="100"/>
  <c r="R196" i="100"/>
  <c r="Q196" i="100"/>
  <c r="P196" i="100"/>
  <c r="O196" i="100"/>
  <c r="N196" i="100"/>
  <c r="AI196" i="100" s="1"/>
  <c r="M196" i="100"/>
  <c r="L196" i="100"/>
  <c r="K196" i="100"/>
  <c r="J196" i="100"/>
  <c r="I196" i="100"/>
  <c r="H196" i="100"/>
  <c r="G196" i="100"/>
  <c r="F196" i="100"/>
  <c r="AA196" i="100" s="1"/>
  <c r="E196" i="100"/>
  <c r="D196" i="100"/>
  <c r="AM195" i="100"/>
  <c r="T195" i="100"/>
  <c r="S195" i="100"/>
  <c r="R195" i="100"/>
  <c r="Q195" i="100"/>
  <c r="P195" i="100"/>
  <c r="O195" i="100"/>
  <c r="N195" i="100"/>
  <c r="AI195" i="100" s="1"/>
  <c r="M195" i="100"/>
  <c r="L195" i="100"/>
  <c r="K195" i="100"/>
  <c r="J195" i="100"/>
  <c r="I195" i="100"/>
  <c r="H195" i="100"/>
  <c r="G195" i="100"/>
  <c r="F195" i="100"/>
  <c r="E195" i="100"/>
  <c r="D195" i="100"/>
  <c r="T194" i="100"/>
  <c r="S194" i="100"/>
  <c r="R194" i="100"/>
  <c r="Q194" i="100"/>
  <c r="P194" i="100"/>
  <c r="O194" i="100"/>
  <c r="N194" i="100"/>
  <c r="AI194" i="100" s="1"/>
  <c r="M194" i="100"/>
  <c r="L194" i="100"/>
  <c r="K194" i="100"/>
  <c r="J194" i="100"/>
  <c r="I194" i="100"/>
  <c r="H194" i="100"/>
  <c r="G194" i="100"/>
  <c r="F194" i="100"/>
  <c r="E194" i="100"/>
  <c r="D194" i="100"/>
  <c r="T193" i="100"/>
  <c r="AO193" i="100" s="1"/>
  <c r="S193" i="100"/>
  <c r="AN193" i="100" s="1"/>
  <c r="R193" i="100"/>
  <c r="Q193" i="100"/>
  <c r="P193" i="100"/>
  <c r="AK193" i="100" s="1"/>
  <c r="O193" i="100"/>
  <c r="AJ193" i="100" s="1"/>
  <c r="N193" i="100"/>
  <c r="M193" i="100"/>
  <c r="L193" i="100"/>
  <c r="AG193" i="100" s="1"/>
  <c r="K193" i="100"/>
  <c r="AF193" i="100" s="1"/>
  <c r="J193" i="100"/>
  <c r="AE193" i="100" s="1"/>
  <c r="I193" i="100"/>
  <c r="H193" i="100"/>
  <c r="AC193" i="100" s="1"/>
  <c r="G193" i="100"/>
  <c r="AB193" i="100" s="1"/>
  <c r="F193" i="100"/>
  <c r="E193" i="100"/>
  <c r="D193" i="100"/>
  <c r="Y193" i="100" s="1"/>
  <c r="AI192" i="100"/>
  <c r="AA192" i="100"/>
  <c r="T192" i="100"/>
  <c r="S192" i="100"/>
  <c r="R192" i="100"/>
  <c r="AM193" i="100" s="1"/>
  <c r="Q192" i="100"/>
  <c r="AL192" i="100" s="1"/>
  <c r="P192" i="100"/>
  <c r="O192" i="100"/>
  <c r="N192" i="100"/>
  <c r="M192" i="100"/>
  <c r="AH192" i="100" s="1"/>
  <c r="L192" i="100"/>
  <c r="K192" i="100"/>
  <c r="J192" i="100"/>
  <c r="AE192" i="100" s="1"/>
  <c r="I192" i="100"/>
  <c r="AD192" i="100" s="1"/>
  <c r="H192" i="100"/>
  <c r="G192" i="100"/>
  <c r="F192" i="100"/>
  <c r="AA194" i="100" s="1"/>
  <c r="E192" i="100"/>
  <c r="Z192" i="100" s="1"/>
  <c r="D192" i="100"/>
  <c r="T191" i="100"/>
  <c r="S191" i="100"/>
  <c r="R191" i="100"/>
  <c r="AM191" i="100" s="1"/>
  <c r="Q191" i="100"/>
  <c r="P191" i="100"/>
  <c r="AK191" i="100" s="1"/>
  <c r="O191" i="100"/>
  <c r="N191" i="100"/>
  <c r="AI191" i="100" s="1"/>
  <c r="M191" i="100"/>
  <c r="L191" i="100"/>
  <c r="K191" i="100"/>
  <c r="J191" i="100"/>
  <c r="AE191" i="100" s="1"/>
  <c r="I191" i="100"/>
  <c r="H191" i="100"/>
  <c r="AC191" i="100" s="1"/>
  <c r="G191" i="100"/>
  <c r="F191" i="100"/>
  <c r="AA191" i="100" s="1"/>
  <c r="E191" i="100"/>
  <c r="D191" i="100"/>
  <c r="T190" i="100"/>
  <c r="AO190" i="100" s="1"/>
  <c r="S190" i="100"/>
  <c r="R190" i="100"/>
  <c r="AM190" i="100" s="1"/>
  <c r="Q190" i="100"/>
  <c r="P190" i="100"/>
  <c r="O190" i="100"/>
  <c r="N190" i="100"/>
  <c r="AI190" i="100" s="1"/>
  <c r="M190" i="100"/>
  <c r="L190" i="100"/>
  <c r="AG190" i="100" s="1"/>
  <c r="K190" i="100"/>
  <c r="J190" i="100"/>
  <c r="AE190" i="100" s="1"/>
  <c r="I190" i="100"/>
  <c r="H190" i="100"/>
  <c r="G190" i="100"/>
  <c r="F190" i="100"/>
  <c r="AA190" i="100" s="1"/>
  <c r="E190" i="100"/>
  <c r="D190" i="100"/>
  <c r="Y190" i="100" s="1"/>
  <c r="T189" i="100"/>
  <c r="S189" i="100"/>
  <c r="R189" i="100"/>
  <c r="AM189" i="100" s="1"/>
  <c r="Q189" i="100"/>
  <c r="P189" i="100"/>
  <c r="O189" i="100"/>
  <c r="N189" i="100"/>
  <c r="AI189" i="100" s="1"/>
  <c r="M189" i="100"/>
  <c r="L189" i="100"/>
  <c r="K189" i="100"/>
  <c r="J189" i="100"/>
  <c r="I189" i="100"/>
  <c r="H189" i="100"/>
  <c r="AC189" i="100" s="1"/>
  <c r="G189" i="100"/>
  <c r="F189" i="100"/>
  <c r="E189" i="100"/>
  <c r="D189" i="100"/>
  <c r="AO188" i="100"/>
  <c r="AE188" i="100"/>
  <c r="T188" i="100"/>
  <c r="S188" i="100"/>
  <c r="R188" i="100"/>
  <c r="AM188" i="100" s="1"/>
  <c r="Q188" i="100"/>
  <c r="P188" i="100"/>
  <c r="O188" i="100"/>
  <c r="N188" i="100"/>
  <c r="M188" i="100"/>
  <c r="L188" i="100"/>
  <c r="AG188" i="100" s="1"/>
  <c r="K188" i="100"/>
  <c r="J188" i="100"/>
  <c r="I188" i="100"/>
  <c r="H188" i="100"/>
  <c r="G188" i="100"/>
  <c r="F188" i="100"/>
  <c r="AA188" i="100" s="1"/>
  <c r="E188" i="100"/>
  <c r="D188" i="100"/>
  <c r="Y188" i="100" s="1"/>
  <c r="AM187" i="100"/>
  <c r="AI187" i="100"/>
  <c r="AC187" i="100"/>
  <c r="T187" i="100"/>
  <c r="AO187" i="100" s="1"/>
  <c r="S187" i="100"/>
  <c r="AN187" i="100" s="1"/>
  <c r="R187" i="100"/>
  <c r="Q187" i="100"/>
  <c r="AL187" i="100" s="1"/>
  <c r="P187" i="100"/>
  <c r="AK189" i="100" s="1"/>
  <c r="O187" i="100"/>
  <c r="AJ187" i="100" s="1"/>
  <c r="N187" i="100"/>
  <c r="AI188" i="100" s="1"/>
  <c r="M187" i="100"/>
  <c r="AH187" i="100" s="1"/>
  <c r="L187" i="100"/>
  <c r="AG187" i="100" s="1"/>
  <c r="K187" i="100"/>
  <c r="AF187" i="100" s="1"/>
  <c r="J187" i="100"/>
  <c r="AE187" i="100" s="1"/>
  <c r="I187" i="100"/>
  <c r="AD187" i="100" s="1"/>
  <c r="H187" i="100"/>
  <c r="G187" i="100"/>
  <c r="AB187" i="100" s="1"/>
  <c r="F187" i="100"/>
  <c r="AA189" i="100" s="1"/>
  <c r="E187" i="100"/>
  <c r="Z187" i="100" s="1"/>
  <c r="D187" i="100"/>
  <c r="Y187" i="100" s="1"/>
  <c r="T186" i="100"/>
  <c r="S186" i="100"/>
  <c r="R186" i="100"/>
  <c r="AM186" i="100" s="1"/>
  <c r="Q186" i="100"/>
  <c r="P186" i="100"/>
  <c r="O186" i="100"/>
  <c r="N186" i="100"/>
  <c r="AI186" i="100" s="1"/>
  <c r="M186" i="100"/>
  <c r="L186" i="100"/>
  <c r="K186" i="100"/>
  <c r="J186" i="100"/>
  <c r="AE186" i="100" s="1"/>
  <c r="I186" i="100"/>
  <c r="H186" i="100"/>
  <c r="AC186" i="100" s="1"/>
  <c r="G186" i="100"/>
  <c r="F186" i="100"/>
  <c r="AA186" i="100" s="1"/>
  <c r="E186" i="100"/>
  <c r="D186" i="100"/>
  <c r="T185" i="100"/>
  <c r="AO185" i="100" s="1"/>
  <c r="S185" i="100"/>
  <c r="R185" i="100"/>
  <c r="Q185" i="100"/>
  <c r="P185" i="100"/>
  <c r="O185" i="100"/>
  <c r="N185" i="100"/>
  <c r="AI185" i="100" s="1"/>
  <c r="M185" i="100"/>
  <c r="L185" i="100"/>
  <c r="AG185" i="100" s="1"/>
  <c r="K185" i="100"/>
  <c r="J185" i="100"/>
  <c r="AE185" i="100" s="1"/>
  <c r="I185" i="100"/>
  <c r="H185" i="100"/>
  <c r="AC185" i="100" s="1"/>
  <c r="G185" i="100"/>
  <c r="F185" i="100"/>
  <c r="AA185" i="100" s="1"/>
  <c r="E185" i="100"/>
  <c r="D185" i="100"/>
  <c r="Y185" i="100" s="1"/>
  <c r="T184" i="100"/>
  <c r="S184" i="100"/>
  <c r="R184" i="100"/>
  <c r="AM184" i="100" s="1"/>
  <c r="Q184" i="100"/>
  <c r="P184" i="100"/>
  <c r="O184" i="100"/>
  <c r="N184" i="100"/>
  <c r="AI184" i="100" s="1"/>
  <c r="M184" i="100"/>
  <c r="L184" i="100"/>
  <c r="K184" i="100"/>
  <c r="J184" i="100"/>
  <c r="AE184" i="100" s="1"/>
  <c r="I184" i="100"/>
  <c r="H184" i="100"/>
  <c r="AC184" i="100" s="1"/>
  <c r="G184" i="100"/>
  <c r="F184" i="100"/>
  <c r="AA184" i="100" s="1"/>
  <c r="E184" i="100"/>
  <c r="D184" i="100"/>
  <c r="T183" i="100"/>
  <c r="AO183" i="100" s="1"/>
  <c r="S183" i="100"/>
  <c r="R183" i="100"/>
  <c r="Q183" i="100"/>
  <c r="P183" i="100"/>
  <c r="O183" i="100"/>
  <c r="AJ183" i="100" s="1"/>
  <c r="N183" i="100"/>
  <c r="AI183" i="100" s="1"/>
  <c r="M183" i="100"/>
  <c r="L183" i="100"/>
  <c r="AG183" i="100" s="1"/>
  <c r="K183" i="100"/>
  <c r="AF183" i="100" s="1"/>
  <c r="J183" i="100"/>
  <c r="AE183" i="100" s="1"/>
  <c r="I183" i="100"/>
  <c r="H183" i="100"/>
  <c r="AC183" i="100" s="1"/>
  <c r="G183" i="100"/>
  <c r="AB183" i="100" s="1"/>
  <c r="F183" i="100"/>
  <c r="AA183" i="100" s="1"/>
  <c r="E183" i="100"/>
  <c r="D183" i="100"/>
  <c r="Y183" i="100" s="1"/>
  <c r="AO182" i="100"/>
  <c r="AG182" i="100"/>
  <c r="Y182" i="100"/>
  <c r="T182" i="100"/>
  <c r="AO186" i="100" s="1"/>
  <c r="S182" i="100"/>
  <c r="AN182" i="100" s="1"/>
  <c r="R182" i="100"/>
  <c r="AM185" i="100" s="1"/>
  <c r="Q182" i="100"/>
  <c r="AL182" i="100" s="1"/>
  <c r="P182" i="100"/>
  <c r="AK186" i="100" s="1"/>
  <c r="O182" i="100"/>
  <c r="N182" i="100"/>
  <c r="AI182" i="100" s="1"/>
  <c r="M182" i="100"/>
  <c r="AH182" i="100" s="1"/>
  <c r="L182" i="100"/>
  <c r="AG186" i="100" s="1"/>
  <c r="K182" i="100"/>
  <c r="J182" i="100"/>
  <c r="AE182" i="100" s="1"/>
  <c r="I182" i="100"/>
  <c r="AD182" i="100" s="1"/>
  <c r="H182" i="100"/>
  <c r="AC182" i="100" s="1"/>
  <c r="G182" i="100"/>
  <c r="F182" i="100"/>
  <c r="AA182" i="100" s="1"/>
  <c r="E182" i="100"/>
  <c r="Z182" i="100" s="1"/>
  <c r="D182" i="100"/>
  <c r="Y186" i="100" s="1"/>
  <c r="AK181" i="100"/>
  <c r="AC181" i="100"/>
  <c r="T181" i="100"/>
  <c r="AO181" i="100" s="1"/>
  <c r="S181" i="100"/>
  <c r="R181" i="100"/>
  <c r="Q181" i="100"/>
  <c r="P181" i="100"/>
  <c r="O181" i="100"/>
  <c r="N181" i="100"/>
  <c r="AI181" i="100" s="1"/>
  <c r="M181" i="100"/>
  <c r="L181" i="100"/>
  <c r="AG181" i="100" s="1"/>
  <c r="K181" i="100"/>
  <c r="J181" i="100"/>
  <c r="AE181" i="100" s="1"/>
  <c r="I181" i="100"/>
  <c r="H181" i="100"/>
  <c r="G181" i="100"/>
  <c r="F181" i="100"/>
  <c r="AA181" i="100" s="1"/>
  <c r="E181" i="100"/>
  <c r="D181" i="100"/>
  <c r="Y181" i="100" s="1"/>
  <c r="AO180" i="100"/>
  <c r="AG180" i="100"/>
  <c r="Y180" i="100"/>
  <c r="T180" i="100"/>
  <c r="S180" i="100"/>
  <c r="R180" i="100"/>
  <c r="Q180" i="100"/>
  <c r="AL180" i="100" s="1"/>
  <c r="P180" i="100"/>
  <c r="AK180" i="100" s="1"/>
  <c r="O180" i="100"/>
  <c r="N180" i="100"/>
  <c r="AI180" i="100" s="1"/>
  <c r="M180" i="100"/>
  <c r="AH180" i="100" s="1"/>
  <c r="L180" i="100"/>
  <c r="K180" i="100"/>
  <c r="J180" i="100"/>
  <c r="I180" i="100"/>
  <c r="AD180" i="100" s="1"/>
  <c r="H180" i="100"/>
  <c r="AC180" i="100" s="1"/>
  <c r="G180" i="100"/>
  <c r="F180" i="100"/>
  <c r="AA180" i="100" s="1"/>
  <c r="E180" i="100"/>
  <c r="Z180" i="100" s="1"/>
  <c r="D180" i="100"/>
  <c r="AK179" i="100"/>
  <c r="AC179" i="100"/>
  <c r="T179" i="100"/>
  <c r="AO179" i="100" s="1"/>
  <c r="S179" i="100"/>
  <c r="AN179" i="100" s="1"/>
  <c r="R179" i="100"/>
  <c r="AM179" i="100" s="1"/>
  <c r="Q179" i="100"/>
  <c r="P179" i="100"/>
  <c r="O179" i="100"/>
  <c r="AJ179" i="100" s="1"/>
  <c r="N179" i="100"/>
  <c r="AI179" i="100" s="1"/>
  <c r="M179" i="100"/>
  <c r="L179" i="100"/>
  <c r="AG179" i="100" s="1"/>
  <c r="K179" i="100"/>
  <c r="AF179" i="100" s="1"/>
  <c r="J179" i="100"/>
  <c r="AE179" i="100" s="1"/>
  <c r="I179" i="100"/>
  <c r="H179" i="100"/>
  <c r="G179" i="100"/>
  <c r="AB179" i="100" s="1"/>
  <c r="F179" i="100"/>
  <c r="AA179" i="100" s="1"/>
  <c r="E179" i="100"/>
  <c r="D179" i="100"/>
  <c r="Y179" i="100" s="1"/>
  <c r="AO178" i="100"/>
  <c r="AG178" i="100"/>
  <c r="Y178" i="100"/>
  <c r="T178" i="100"/>
  <c r="S178" i="100"/>
  <c r="R178" i="100"/>
  <c r="Q178" i="100"/>
  <c r="AL178" i="100" s="1"/>
  <c r="P178" i="100"/>
  <c r="AK178" i="100" s="1"/>
  <c r="O178" i="100"/>
  <c r="N178" i="100"/>
  <c r="AI178" i="100" s="1"/>
  <c r="M178" i="100"/>
  <c r="L178" i="100"/>
  <c r="K178" i="100"/>
  <c r="J178" i="100"/>
  <c r="I178" i="100"/>
  <c r="H178" i="100"/>
  <c r="AC178" i="100" s="1"/>
  <c r="G178" i="100"/>
  <c r="F178" i="100"/>
  <c r="AA178" i="100" s="1"/>
  <c r="E178" i="100"/>
  <c r="D178" i="100"/>
  <c r="AK177" i="100"/>
  <c r="AC177" i="100"/>
  <c r="T177" i="100"/>
  <c r="AO177" i="100" s="1"/>
  <c r="S177" i="100"/>
  <c r="R177" i="100"/>
  <c r="AM181" i="100" s="1"/>
  <c r="Q177" i="100"/>
  <c r="P177" i="100"/>
  <c r="O177" i="100"/>
  <c r="N177" i="100"/>
  <c r="AI177" i="100" s="1"/>
  <c r="M177" i="100"/>
  <c r="L177" i="100"/>
  <c r="AG177" i="100" s="1"/>
  <c r="K177" i="100"/>
  <c r="J177" i="100"/>
  <c r="AE177" i="100" s="1"/>
  <c r="I177" i="100"/>
  <c r="H177" i="100"/>
  <c r="G177" i="100"/>
  <c r="F177" i="100"/>
  <c r="AA177" i="100" s="1"/>
  <c r="E177" i="100"/>
  <c r="D177" i="100"/>
  <c r="Y177" i="100" s="1"/>
  <c r="T176" i="100"/>
  <c r="S176" i="100"/>
  <c r="R176" i="100"/>
  <c r="Q176" i="100"/>
  <c r="P176" i="100"/>
  <c r="O176" i="100"/>
  <c r="N176" i="100"/>
  <c r="AI176" i="100" s="1"/>
  <c r="M176" i="100"/>
  <c r="L176" i="100"/>
  <c r="K176" i="100"/>
  <c r="J176" i="100"/>
  <c r="I176" i="100"/>
  <c r="H176" i="100"/>
  <c r="G176" i="100"/>
  <c r="F176" i="100"/>
  <c r="E176" i="100"/>
  <c r="D176" i="100"/>
  <c r="T175" i="100"/>
  <c r="S175" i="100"/>
  <c r="R175" i="100"/>
  <c r="AM175" i="100" s="1"/>
  <c r="Q175" i="100"/>
  <c r="P175" i="100"/>
  <c r="O175" i="100"/>
  <c r="N175" i="100"/>
  <c r="M175" i="100"/>
  <c r="L175" i="100"/>
  <c r="K175" i="100"/>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AO173" i="100" s="1"/>
  <c r="S173" i="100"/>
  <c r="R173" i="100"/>
  <c r="AM173" i="100" s="1"/>
  <c r="Q173" i="100"/>
  <c r="P173" i="100"/>
  <c r="O173" i="100"/>
  <c r="N173" i="100"/>
  <c r="AI173" i="100" s="1"/>
  <c r="M173" i="100"/>
  <c r="L173" i="100"/>
  <c r="K173" i="100"/>
  <c r="J173" i="100"/>
  <c r="AE173" i="100" s="1"/>
  <c r="I173" i="100"/>
  <c r="H173" i="100"/>
  <c r="G173" i="100"/>
  <c r="F173" i="100"/>
  <c r="AA173" i="100" s="1"/>
  <c r="E173" i="100"/>
  <c r="D173" i="100"/>
  <c r="AM172" i="100"/>
  <c r="AE172" i="100"/>
  <c r="T172" i="100"/>
  <c r="AO172" i="100" s="1"/>
  <c r="S172" i="100"/>
  <c r="R172" i="100"/>
  <c r="AM176" i="100" s="1"/>
  <c r="Q172" i="100"/>
  <c r="P172" i="100"/>
  <c r="AK172" i="100" s="1"/>
  <c r="O172" i="100"/>
  <c r="N172" i="100"/>
  <c r="AI172" i="100" s="1"/>
  <c r="M172" i="100"/>
  <c r="L172" i="100"/>
  <c r="AG174" i="100" s="1"/>
  <c r="K172" i="100"/>
  <c r="J172" i="100"/>
  <c r="AE176" i="100" s="1"/>
  <c r="I172" i="100"/>
  <c r="H172" i="100"/>
  <c r="AC172" i="100" s="1"/>
  <c r="G172" i="100"/>
  <c r="F172" i="100"/>
  <c r="AA172" i="100" s="1"/>
  <c r="E172" i="100"/>
  <c r="D172" i="100"/>
  <c r="Y176" i="100" s="1"/>
  <c r="T171" i="100"/>
  <c r="S171" i="100"/>
  <c r="R171" i="100"/>
  <c r="Q171" i="100"/>
  <c r="P171" i="100"/>
  <c r="O171" i="100"/>
  <c r="N171" i="100"/>
  <c r="AI171" i="100" s="1"/>
  <c r="M171" i="100"/>
  <c r="L171" i="100"/>
  <c r="K171" i="100"/>
  <c r="J171" i="100"/>
  <c r="I171" i="100"/>
  <c r="H171" i="100"/>
  <c r="G171" i="100"/>
  <c r="F171" i="100"/>
  <c r="AA171" i="100" s="1"/>
  <c r="E171" i="100"/>
  <c r="D171" i="100"/>
  <c r="T170" i="100"/>
  <c r="AO170" i="100" s="1"/>
  <c r="S170" i="100"/>
  <c r="R170" i="100"/>
  <c r="Q170" i="100"/>
  <c r="P170" i="100"/>
  <c r="O170" i="100"/>
  <c r="N170" i="100"/>
  <c r="M170" i="100"/>
  <c r="L170" i="100"/>
  <c r="AG170" i="100" s="1"/>
  <c r="K170" i="100"/>
  <c r="J170" i="100"/>
  <c r="I170" i="100"/>
  <c r="H170" i="100"/>
  <c r="G170" i="100"/>
  <c r="F170" i="100"/>
  <c r="E170" i="100"/>
  <c r="D170" i="100"/>
  <c r="Y170" i="100" s="1"/>
  <c r="T169" i="100"/>
  <c r="S169" i="100"/>
  <c r="R169" i="100"/>
  <c r="AM169" i="100" s="1"/>
  <c r="Q169" i="100"/>
  <c r="P169" i="100"/>
  <c r="O169" i="100"/>
  <c r="N169" i="100"/>
  <c r="AI169" i="100" s="1"/>
  <c r="M169" i="100"/>
  <c r="L169" i="100"/>
  <c r="K169" i="100"/>
  <c r="J169" i="100"/>
  <c r="AE169" i="100" s="1"/>
  <c r="I169" i="100"/>
  <c r="H169" i="100"/>
  <c r="G169" i="100"/>
  <c r="F169" i="100"/>
  <c r="AA169" i="100" s="1"/>
  <c r="E169" i="100"/>
  <c r="D169" i="100"/>
  <c r="AM168" i="100"/>
  <c r="T168" i="100"/>
  <c r="AO168" i="100" s="1"/>
  <c r="S168" i="100"/>
  <c r="R168" i="100"/>
  <c r="Q168" i="100"/>
  <c r="P168" i="100"/>
  <c r="AK168" i="100" s="1"/>
  <c r="O168" i="100"/>
  <c r="N168" i="100"/>
  <c r="M168" i="100"/>
  <c r="L168" i="100"/>
  <c r="AG168" i="100" s="1"/>
  <c r="K168" i="100"/>
  <c r="J168" i="100"/>
  <c r="I168" i="100"/>
  <c r="H168" i="100"/>
  <c r="AC168" i="100" s="1"/>
  <c r="G168" i="100"/>
  <c r="F168" i="100"/>
  <c r="E168" i="100"/>
  <c r="D168" i="100"/>
  <c r="Y168" i="100" s="1"/>
  <c r="AA167" i="100"/>
  <c r="T167" i="100"/>
  <c r="S167" i="100"/>
  <c r="R167" i="100"/>
  <c r="Q167" i="100"/>
  <c r="P167" i="100"/>
  <c r="O167" i="100"/>
  <c r="N167" i="100"/>
  <c r="AI167" i="100" s="1"/>
  <c r="M167" i="100"/>
  <c r="L167" i="100"/>
  <c r="K167" i="100"/>
  <c r="J167" i="100"/>
  <c r="I167" i="100"/>
  <c r="H167" i="100"/>
  <c r="G167" i="100"/>
  <c r="F167" i="100"/>
  <c r="E167" i="100"/>
  <c r="D167" i="100"/>
  <c r="T166" i="100"/>
  <c r="AO166" i="100" s="1"/>
  <c r="S166" i="100"/>
  <c r="R166" i="100"/>
  <c r="Q166" i="100"/>
  <c r="P166" i="100"/>
  <c r="O166" i="100"/>
  <c r="N166" i="100"/>
  <c r="M166" i="100"/>
  <c r="L166" i="100"/>
  <c r="K166" i="100"/>
  <c r="J166" i="100"/>
  <c r="I166" i="100"/>
  <c r="H166" i="100"/>
  <c r="G166" i="100"/>
  <c r="F166" i="100"/>
  <c r="E166" i="100"/>
  <c r="D166" i="100"/>
  <c r="Y166" i="100" s="1"/>
  <c r="T165" i="100"/>
  <c r="S165" i="100"/>
  <c r="R165" i="100"/>
  <c r="Q165" i="100"/>
  <c r="P165" i="100"/>
  <c r="O165" i="100"/>
  <c r="N165" i="100"/>
  <c r="AI165" i="100" s="1"/>
  <c r="M165" i="100"/>
  <c r="L165" i="100"/>
  <c r="K165" i="100"/>
  <c r="J165" i="100"/>
  <c r="I165" i="100"/>
  <c r="H165" i="100"/>
  <c r="G165" i="100"/>
  <c r="F165" i="100"/>
  <c r="AA165" i="100" s="1"/>
  <c r="E165" i="100"/>
  <c r="D165" i="100"/>
  <c r="AK164" i="100"/>
  <c r="Y164" i="100"/>
  <c r="T164" i="100"/>
  <c r="AO164" i="100" s="1"/>
  <c r="S164" i="100"/>
  <c r="R164" i="100"/>
  <c r="Q164" i="100"/>
  <c r="P164" i="100"/>
  <c r="O164" i="100"/>
  <c r="N164" i="100"/>
  <c r="M164" i="100"/>
  <c r="L164" i="100"/>
  <c r="AG164" i="100" s="1"/>
  <c r="K164" i="100"/>
  <c r="J164" i="100"/>
  <c r="I164" i="100"/>
  <c r="H164" i="100"/>
  <c r="AC164" i="100" s="1"/>
  <c r="G164" i="100"/>
  <c r="F164" i="100"/>
  <c r="E164" i="100"/>
  <c r="D164" i="100"/>
  <c r="AI163" i="100"/>
  <c r="Y163" i="100"/>
  <c r="T163" i="100"/>
  <c r="S163" i="100"/>
  <c r="R163" i="100"/>
  <c r="AM163" i="100" s="1"/>
  <c r="Q163" i="100"/>
  <c r="P163" i="100"/>
  <c r="O163" i="100"/>
  <c r="N163" i="100"/>
  <c r="M163" i="100"/>
  <c r="L163" i="100"/>
  <c r="K163" i="100"/>
  <c r="J163" i="100"/>
  <c r="AE163" i="100" s="1"/>
  <c r="I163" i="100"/>
  <c r="H163" i="100"/>
  <c r="G163" i="100"/>
  <c r="F163" i="100"/>
  <c r="AA163" i="100" s="1"/>
  <c r="E163" i="100"/>
  <c r="D163" i="100"/>
  <c r="AM162" i="100"/>
  <c r="AK162" i="100"/>
  <c r="AE162" i="100"/>
  <c r="Y162" i="100"/>
  <c r="T162" i="100"/>
  <c r="AO163" i="100" s="1"/>
  <c r="S162" i="100"/>
  <c r="AN162" i="100" s="1"/>
  <c r="R162" i="100"/>
  <c r="Q162" i="100"/>
  <c r="P162" i="100"/>
  <c r="AK163" i="100" s="1"/>
  <c r="O162" i="100"/>
  <c r="AJ162" i="100" s="1"/>
  <c r="N162" i="100"/>
  <c r="AI162" i="100" s="1"/>
  <c r="M162" i="100"/>
  <c r="L162" i="100"/>
  <c r="AG166" i="100" s="1"/>
  <c r="K162" i="100"/>
  <c r="AF162" i="100" s="1"/>
  <c r="J162" i="100"/>
  <c r="I162" i="100"/>
  <c r="H162" i="100"/>
  <c r="AC163" i="100" s="1"/>
  <c r="G162" i="100"/>
  <c r="AB162" i="100" s="1"/>
  <c r="F162" i="100"/>
  <c r="AA162" i="100" s="1"/>
  <c r="E162" i="100"/>
  <c r="D162" i="100"/>
  <c r="AI161" i="100"/>
  <c r="T161" i="100"/>
  <c r="S161" i="100"/>
  <c r="R161" i="100"/>
  <c r="Q161" i="100"/>
  <c r="P161" i="100"/>
  <c r="O161" i="100"/>
  <c r="N161" i="100"/>
  <c r="M161" i="100"/>
  <c r="L161" i="100"/>
  <c r="K161" i="100"/>
  <c r="J161" i="100"/>
  <c r="I161" i="100"/>
  <c r="H161" i="100"/>
  <c r="G161" i="100"/>
  <c r="F161" i="100"/>
  <c r="AA161" i="100" s="1"/>
  <c r="E161" i="100"/>
  <c r="D161" i="100"/>
  <c r="AK160" i="100"/>
  <c r="Y160" i="100"/>
  <c r="T160" i="100"/>
  <c r="AO160" i="100" s="1"/>
  <c r="S160" i="100"/>
  <c r="R160" i="100"/>
  <c r="Q160" i="100"/>
  <c r="P160" i="100"/>
  <c r="O160" i="100"/>
  <c r="N160" i="100"/>
  <c r="M160" i="100"/>
  <c r="L160" i="100"/>
  <c r="AG160" i="100" s="1"/>
  <c r="K160" i="100"/>
  <c r="J160" i="100"/>
  <c r="I160" i="100"/>
  <c r="H160" i="100"/>
  <c r="AC160" i="100" s="1"/>
  <c r="G160" i="100"/>
  <c r="F160" i="100"/>
  <c r="E160" i="100"/>
  <c r="D160" i="100"/>
  <c r="AI159" i="100"/>
  <c r="Y159" i="100"/>
  <c r="T159" i="100"/>
  <c r="S159" i="100"/>
  <c r="R159" i="100"/>
  <c r="Q159" i="100"/>
  <c r="P159" i="100"/>
  <c r="O159" i="100"/>
  <c r="N159" i="100"/>
  <c r="M159" i="100"/>
  <c r="L159" i="100"/>
  <c r="K159" i="100"/>
  <c r="J159" i="100"/>
  <c r="I159" i="100"/>
  <c r="H159" i="100"/>
  <c r="G159" i="100"/>
  <c r="F159" i="100"/>
  <c r="AA159" i="100" s="1"/>
  <c r="E159" i="100"/>
  <c r="D159" i="100"/>
  <c r="AK158" i="100"/>
  <c r="AE158" i="100"/>
  <c r="Y158" i="100"/>
  <c r="T158" i="100"/>
  <c r="S158" i="100"/>
  <c r="R158" i="100"/>
  <c r="Q158" i="100"/>
  <c r="P158" i="100"/>
  <c r="O158" i="100"/>
  <c r="N158" i="100"/>
  <c r="M158" i="100"/>
  <c r="L158" i="100"/>
  <c r="AG158" i="100" s="1"/>
  <c r="K158" i="100"/>
  <c r="J158" i="100"/>
  <c r="I158" i="100"/>
  <c r="H158" i="100"/>
  <c r="AC158" i="100" s="1"/>
  <c r="G158" i="100"/>
  <c r="F158" i="100"/>
  <c r="E158" i="100"/>
  <c r="D158" i="100"/>
  <c r="AO157" i="100"/>
  <c r="AI157" i="100"/>
  <c r="Y157" i="100"/>
  <c r="T157" i="100"/>
  <c r="AO161" i="100" s="1"/>
  <c r="S157" i="100"/>
  <c r="R157" i="100"/>
  <c r="AM157" i="100" s="1"/>
  <c r="Q157" i="100"/>
  <c r="AL157" i="100" s="1"/>
  <c r="P157" i="100"/>
  <c r="AK161" i="100" s="1"/>
  <c r="O157" i="100"/>
  <c r="N157" i="100"/>
  <c r="M157" i="100"/>
  <c r="AH157" i="100" s="1"/>
  <c r="L157" i="100"/>
  <c r="AG161" i="100" s="1"/>
  <c r="K157" i="100"/>
  <c r="J157" i="100"/>
  <c r="AE157" i="100" s="1"/>
  <c r="I157" i="100"/>
  <c r="AD157" i="100" s="1"/>
  <c r="H157" i="100"/>
  <c r="AC161" i="100" s="1"/>
  <c r="G157" i="100"/>
  <c r="F157" i="100"/>
  <c r="AA157" i="100" s="1"/>
  <c r="E157" i="100"/>
  <c r="Z157" i="100" s="1"/>
  <c r="D157" i="100"/>
  <c r="Y161" i="100" s="1"/>
  <c r="AK156" i="100"/>
  <c r="T156" i="100"/>
  <c r="S156" i="100"/>
  <c r="R156" i="100"/>
  <c r="AM156" i="100" s="1"/>
  <c r="Q156" i="100"/>
  <c r="P156" i="100"/>
  <c r="O156" i="100"/>
  <c r="N156" i="100"/>
  <c r="AI156" i="100" s="1"/>
  <c r="M156" i="100"/>
  <c r="L156" i="100"/>
  <c r="K156" i="100"/>
  <c r="J156" i="100"/>
  <c r="AE156" i="100" s="1"/>
  <c r="I156" i="100"/>
  <c r="H156" i="100"/>
  <c r="G156" i="100"/>
  <c r="F156" i="100"/>
  <c r="AA156" i="100" s="1"/>
  <c r="E156" i="100"/>
  <c r="D156" i="100"/>
  <c r="AO155" i="100"/>
  <c r="AG155" i="100"/>
  <c r="Y155" i="100"/>
  <c r="T155" i="100"/>
  <c r="S155" i="100"/>
  <c r="R155" i="100"/>
  <c r="Q155" i="100"/>
  <c r="P155" i="100"/>
  <c r="AK155" i="100" s="1"/>
  <c r="O155" i="100"/>
  <c r="N155" i="100"/>
  <c r="AI155" i="100" s="1"/>
  <c r="M155" i="100"/>
  <c r="L155" i="100"/>
  <c r="K155" i="100"/>
  <c r="J155" i="100"/>
  <c r="I155" i="100"/>
  <c r="H155" i="100"/>
  <c r="AC155" i="100" s="1"/>
  <c r="G155" i="100"/>
  <c r="F155" i="100"/>
  <c r="AA155" i="100" s="1"/>
  <c r="E155" i="100"/>
  <c r="D155" i="100"/>
  <c r="AK154" i="100"/>
  <c r="AC154" i="100"/>
  <c r="T154" i="100"/>
  <c r="S154" i="100"/>
  <c r="R154" i="100"/>
  <c r="AM154" i="100" s="1"/>
  <c r="Q154" i="100"/>
  <c r="P154" i="100"/>
  <c r="O154" i="100"/>
  <c r="N154" i="100"/>
  <c r="AI154" i="100" s="1"/>
  <c r="M154" i="100"/>
  <c r="L154" i="100"/>
  <c r="K154" i="100"/>
  <c r="J154" i="100"/>
  <c r="AE154" i="100" s="1"/>
  <c r="I154" i="100"/>
  <c r="H154" i="100"/>
  <c r="G154" i="100"/>
  <c r="F154" i="100"/>
  <c r="AA154" i="100" s="1"/>
  <c r="E154" i="100"/>
  <c r="D154" i="100"/>
  <c r="AO153" i="100"/>
  <c r="AG153" i="100"/>
  <c r="Y153" i="100"/>
  <c r="T153" i="100"/>
  <c r="AO152" i="100" s="1"/>
  <c r="S153" i="100"/>
  <c r="R153" i="100"/>
  <c r="Q153" i="100"/>
  <c r="AL153" i="100" s="1"/>
  <c r="P153" i="100"/>
  <c r="AK153" i="100" s="1"/>
  <c r="O153" i="100"/>
  <c r="N153" i="100"/>
  <c r="AI153" i="100" s="1"/>
  <c r="M153" i="100"/>
  <c r="AH153" i="100" s="1"/>
  <c r="L153" i="100"/>
  <c r="AG152" i="100" s="1"/>
  <c r="K153" i="100"/>
  <c r="J153" i="100"/>
  <c r="I153" i="100"/>
  <c r="AD153" i="100" s="1"/>
  <c r="H153" i="100"/>
  <c r="AC153" i="100" s="1"/>
  <c r="G153" i="100"/>
  <c r="F153" i="100"/>
  <c r="AA153" i="100" s="1"/>
  <c r="E153" i="100"/>
  <c r="Z153" i="100" s="1"/>
  <c r="D153" i="100"/>
  <c r="Y152" i="100" s="1"/>
  <c r="AK152" i="100"/>
  <c r="AC152" i="100"/>
  <c r="T152" i="100"/>
  <c r="AO156" i="100" s="1"/>
  <c r="S152" i="100"/>
  <c r="AN152" i="100" s="1"/>
  <c r="R152" i="100"/>
  <c r="AM152" i="100" s="1"/>
  <c r="Q152" i="100"/>
  <c r="P152" i="100"/>
  <c r="O152" i="100"/>
  <c r="AJ152" i="100" s="1"/>
  <c r="N152" i="100"/>
  <c r="AI152" i="100" s="1"/>
  <c r="M152" i="100"/>
  <c r="L152" i="100"/>
  <c r="AG156" i="100" s="1"/>
  <c r="K152" i="100"/>
  <c r="AF152" i="100" s="1"/>
  <c r="J152" i="100"/>
  <c r="AE152" i="100" s="1"/>
  <c r="I152" i="100"/>
  <c r="H152" i="100"/>
  <c r="G152" i="100"/>
  <c r="AB152" i="100" s="1"/>
  <c r="F152" i="100"/>
  <c r="AA152" i="100" s="1"/>
  <c r="E152" i="100"/>
  <c r="D152" i="100"/>
  <c r="Y156" i="100" s="1"/>
  <c r="T151" i="100"/>
  <c r="S151" i="100"/>
  <c r="R151" i="100"/>
  <c r="Q151" i="100"/>
  <c r="P151" i="100"/>
  <c r="AK151" i="100" s="1"/>
  <c r="O151" i="100"/>
  <c r="N151" i="100"/>
  <c r="AI151" i="100" s="1"/>
  <c r="M151" i="100"/>
  <c r="L151" i="100"/>
  <c r="K151" i="100"/>
  <c r="J151" i="100"/>
  <c r="I151" i="100"/>
  <c r="H151" i="100"/>
  <c r="AC151" i="100" s="1"/>
  <c r="G151" i="100"/>
  <c r="F151" i="100"/>
  <c r="AA151" i="100" s="1"/>
  <c r="E151" i="100"/>
  <c r="D151" i="100"/>
  <c r="T150" i="100"/>
  <c r="S150" i="100"/>
  <c r="R150" i="100"/>
  <c r="AM150" i="100" s="1"/>
  <c r="Q150" i="100"/>
  <c r="P150" i="100"/>
  <c r="O150" i="100"/>
  <c r="N150" i="100"/>
  <c r="AI150" i="100" s="1"/>
  <c r="M150" i="100"/>
  <c r="L150" i="100"/>
  <c r="K150" i="100"/>
  <c r="J150" i="100"/>
  <c r="AE150" i="100" s="1"/>
  <c r="I150" i="100"/>
  <c r="H150" i="100"/>
  <c r="G150" i="100"/>
  <c r="F150" i="100"/>
  <c r="AA150" i="100" s="1"/>
  <c r="E150" i="100"/>
  <c r="D150" i="100"/>
  <c r="T149" i="100"/>
  <c r="S149" i="100"/>
  <c r="R149" i="100"/>
  <c r="Q149" i="100"/>
  <c r="P149" i="100"/>
  <c r="AK149" i="100" s="1"/>
  <c r="O149" i="100"/>
  <c r="N149" i="100"/>
  <c r="AI149" i="100" s="1"/>
  <c r="M149" i="100"/>
  <c r="L149" i="100"/>
  <c r="K149" i="100"/>
  <c r="J149" i="100"/>
  <c r="I149" i="100"/>
  <c r="H149" i="100"/>
  <c r="AC149" i="100" s="1"/>
  <c r="G149" i="100"/>
  <c r="F149" i="100"/>
  <c r="AA149" i="100" s="1"/>
  <c r="E149" i="100"/>
  <c r="D149" i="100"/>
  <c r="AK148" i="100"/>
  <c r="AC148" i="100"/>
  <c r="T148" i="100"/>
  <c r="S148" i="100"/>
  <c r="AN148" i="100" s="1"/>
  <c r="R148" i="100"/>
  <c r="AM148" i="100" s="1"/>
  <c r="Q148" i="100"/>
  <c r="P148" i="100"/>
  <c r="O148" i="100"/>
  <c r="AJ148" i="100" s="1"/>
  <c r="N148" i="100"/>
  <c r="AI148" i="100" s="1"/>
  <c r="M148" i="100"/>
  <c r="L148" i="100"/>
  <c r="K148" i="100"/>
  <c r="AF148" i="100" s="1"/>
  <c r="J148" i="100"/>
  <c r="AE148" i="100" s="1"/>
  <c r="I148" i="100"/>
  <c r="H148" i="100"/>
  <c r="G148" i="100"/>
  <c r="AB148" i="100" s="1"/>
  <c r="F148" i="100"/>
  <c r="AA148" i="100" s="1"/>
  <c r="E148" i="100"/>
  <c r="D148" i="100"/>
  <c r="AO147" i="100"/>
  <c r="AM147" i="100"/>
  <c r="AG147" i="100"/>
  <c r="AE147" i="100"/>
  <c r="Y147" i="100"/>
  <c r="T147" i="100"/>
  <c r="AO150" i="100" s="1"/>
  <c r="S147" i="100"/>
  <c r="R147" i="100"/>
  <c r="AM151" i="100" s="1"/>
  <c r="Q147" i="100"/>
  <c r="AL147" i="100" s="1"/>
  <c r="P147" i="100"/>
  <c r="AK147" i="100" s="1"/>
  <c r="O147" i="100"/>
  <c r="N147" i="100"/>
  <c r="AI147" i="100" s="1"/>
  <c r="M147" i="100"/>
  <c r="AH147" i="100" s="1"/>
  <c r="L147" i="100"/>
  <c r="AG150" i="100" s="1"/>
  <c r="K147" i="100"/>
  <c r="J147" i="100"/>
  <c r="AE151" i="100" s="1"/>
  <c r="I147" i="100"/>
  <c r="AD147" i="100" s="1"/>
  <c r="H147" i="100"/>
  <c r="AC147" i="100" s="1"/>
  <c r="G147" i="100"/>
  <c r="F147" i="100"/>
  <c r="AA147" i="100" s="1"/>
  <c r="E147" i="100"/>
  <c r="Z147" i="100" s="1"/>
  <c r="D147" i="100"/>
  <c r="Y150" i="100" s="1"/>
  <c r="T142" i="100"/>
  <c r="S142" i="100" a="1"/>
  <c r="S142" i="100"/>
  <c r="R142" i="100" a="1"/>
  <c r="R142" i="100" s="1"/>
  <c r="Q142" i="100" a="1"/>
  <c r="Q142" i="100"/>
  <c r="P142" i="100" a="1"/>
  <c r="P142" i="100" s="1"/>
  <c r="O142" i="100" a="1"/>
  <c r="O142" i="100"/>
  <c r="N142" i="100" a="1"/>
  <c r="N142" i="100" s="1"/>
  <c r="M142" i="100" a="1"/>
  <c r="M142" i="100"/>
  <c r="L142" i="100" a="1"/>
  <c r="L142" i="100" s="1"/>
  <c r="K142" i="100" a="1"/>
  <c r="K142" i="100"/>
  <c r="J142" i="100" a="1"/>
  <c r="J142" i="100" s="1"/>
  <c r="I142" i="100" a="1"/>
  <c r="I142" i="100"/>
  <c r="H142" i="100" a="1"/>
  <c r="H142" i="100" s="1"/>
  <c r="G142" i="100" a="1"/>
  <c r="G142" i="100"/>
  <c r="F142" i="100" a="1"/>
  <c r="F142" i="100" s="1"/>
  <c r="E142" i="100" a="1"/>
  <c r="E142" i="100"/>
  <c r="D142" i="100" a="1"/>
  <c r="D142" i="100" s="1"/>
  <c r="T141" i="100" a="1"/>
  <c r="T141" i="100" s="1"/>
  <c r="S141" i="100" a="1"/>
  <c r="S141" i="100"/>
  <c r="R141" i="100" a="1"/>
  <c r="R141" i="100" s="1"/>
  <c r="Q141" i="100" a="1"/>
  <c r="Q141" i="100"/>
  <c r="P141" i="100" a="1"/>
  <c r="P141" i="100" s="1"/>
  <c r="O141" i="100" a="1"/>
  <c r="O141" i="100"/>
  <c r="N141" i="100" a="1"/>
  <c r="N141" i="100" s="1"/>
  <c r="M141" i="100" a="1"/>
  <c r="M141" i="100"/>
  <c r="L141" i="100" a="1"/>
  <c r="L141" i="100" s="1"/>
  <c r="K141" i="100" a="1"/>
  <c r="K141" i="100"/>
  <c r="J141" i="100" a="1"/>
  <c r="J141" i="100" s="1"/>
  <c r="I141" i="100" a="1"/>
  <c r="I141" i="100"/>
  <c r="H141" i="100" a="1"/>
  <c r="H141" i="100" s="1"/>
  <c r="G141" i="100" a="1"/>
  <c r="G141" i="100"/>
  <c r="F141" i="100" a="1"/>
  <c r="F141" i="100" s="1"/>
  <c r="E141" i="100" a="1"/>
  <c r="E141" i="100"/>
  <c r="D141" i="100" a="1"/>
  <c r="D141" i="100" s="1"/>
  <c r="T140" i="100"/>
  <c r="AO140" i="100" s="1"/>
  <c r="S140" i="100"/>
  <c r="R140" i="100"/>
  <c r="Q140" i="100"/>
  <c r="P140" i="100"/>
  <c r="O140" i="100"/>
  <c r="N140" i="100"/>
  <c r="M140" i="100"/>
  <c r="L140" i="100"/>
  <c r="K140" i="100"/>
  <c r="J140" i="100"/>
  <c r="I140" i="100"/>
  <c r="H140" i="100"/>
  <c r="G140" i="100"/>
  <c r="F140" i="100"/>
  <c r="E140" i="100"/>
  <c r="D140" i="100"/>
  <c r="T139" i="100"/>
  <c r="S139" i="100" a="1"/>
  <c r="S139" i="100"/>
  <c r="R139" i="100" a="1"/>
  <c r="R139" i="100" s="1"/>
  <c r="Q139" i="100" a="1"/>
  <c r="Q139" i="100"/>
  <c r="P139" i="100" a="1"/>
  <c r="P139" i="100" s="1"/>
  <c r="O139" i="100" a="1"/>
  <c r="O139" i="100"/>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AA139" i="100" s="1"/>
  <c r="E139" i="100" a="1"/>
  <c r="E139" i="100" s="1"/>
  <c r="D139" i="100" a="1"/>
  <c r="D139" i="100" s="1"/>
  <c r="T138" i="100"/>
  <c r="S138" i="100" a="1"/>
  <c r="S138" i="100" s="1"/>
  <c r="AN138" i="100" s="1"/>
  <c r="R138" i="100" a="1"/>
  <c r="R138" i="100" s="1"/>
  <c r="Q138" i="100" a="1"/>
  <c r="Q138" i="100" s="1"/>
  <c r="P138" i="100" a="1"/>
  <c r="P138" i="100" s="1"/>
  <c r="AK138" i="100" s="1"/>
  <c r="O138" i="100" a="1"/>
  <c r="O138" i="100" s="1"/>
  <c r="AJ138" i="100" s="1"/>
  <c r="N138" i="100" a="1"/>
  <c r="N138" i="100" s="1"/>
  <c r="M138" i="100" a="1"/>
  <c r="M138" i="100" s="1"/>
  <c r="L138" i="100" a="1"/>
  <c r="L138" i="100" s="1"/>
  <c r="AG138" i="100" s="1"/>
  <c r="K138" i="100" a="1"/>
  <c r="K138" i="100" s="1"/>
  <c r="J138" i="100" a="1"/>
  <c r="J138" i="100" s="1"/>
  <c r="I138" i="100" a="1"/>
  <c r="I138" i="100" s="1"/>
  <c r="H138" i="100" a="1"/>
  <c r="H138" i="100" s="1"/>
  <c r="AC138" i="100" s="1"/>
  <c r="G138" i="100" a="1"/>
  <c r="G138" i="100" s="1"/>
  <c r="F138" i="100" a="1"/>
  <c r="F138" i="100" s="1"/>
  <c r="E138" i="100" a="1"/>
  <c r="E138" i="100" s="1"/>
  <c r="D138" i="100" a="1"/>
  <c r="D138" i="100" s="1"/>
  <c r="Y138" i="100" s="1"/>
  <c r="T137" i="100"/>
  <c r="S137" i="100" a="1"/>
  <c r="S137" i="100" s="1"/>
  <c r="R137" i="100" a="1"/>
  <c r="R137" i="100" s="1"/>
  <c r="Q137" i="100" a="1"/>
  <c r="Q137" i="100" s="1"/>
  <c r="AL137" i="100" s="1"/>
  <c r="P137" i="100" a="1"/>
  <c r="P137" i="100" s="1"/>
  <c r="O137" i="100" a="1"/>
  <c r="O137" i="100" s="1"/>
  <c r="N137" i="100" a="1"/>
  <c r="N137" i="100" s="1"/>
  <c r="AI137" i="100" s="1"/>
  <c r="M137" i="100" a="1"/>
  <c r="M137" i="100" s="1"/>
  <c r="L137" i="100" a="1"/>
  <c r="L137" i="100" s="1"/>
  <c r="K137" i="100" a="1"/>
  <c r="K137" i="100" s="1"/>
  <c r="J137" i="100" a="1"/>
  <c r="J137" i="100" s="1"/>
  <c r="I137" i="100" a="1"/>
  <c r="I137" i="100" s="1"/>
  <c r="H137" i="100" a="1"/>
  <c r="H137" i="100" s="1"/>
  <c r="G137" i="100" a="1"/>
  <c r="G137" i="100" s="1"/>
  <c r="F137" i="100" a="1"/>
  <c r="F137" i="100" s="1"/>
  <c r="AA137" i="100" s="1"/>
  <c r="E137" i="100" a="1"/>
  <c r="E137" i="100" s="1"/>
  <c r="D137" i="100" a="1"/>
  <c r="D137" i="100" s="1"/>
  <c r="T136" i="100" a="1"/>
  <c r="T136" i="100" s="1"/>
  <c r="S136" i="100" a="1"/>
  <c r="S136" i="100" s="1"/>
  <c r="R136" i="100" a="1"/>
  <c r="R136" i="100" s="1"/>
  <c r="Q136" i="100" a="1"/>
  <c r="Q136" i="100" s="1"/>
  <c r="P136" i="100" a="1"/>
  <c r="P136" i="100" s="1"/>
  <c r="O136" i="100" a="1"/>
  <c r="O136" i="100" s="1"/>
  <c r="N136" i="100" a="1"/>
  <c r="N136" i="100" s="1"/>
  <c r="M136" i="100" a="1"/>
  <c r="M136" i="100" s="1"/>
  <c r="L136" i="100" a="1"/>
  <c r="L136" i="100" s="1"/>
  <c r="K136" i="100" a="1"/>
  <c r="K136" i="100" s="1"/>
  <c r="J136" i="100" a="1"/>
  <c r="J136" i="100" s="1"/>
  <c r="I136" i="100" a="1"/>
  <c r="I136" i="100" s="1"/>
  <c r="H136" i="100" a="1"/>
  <c r="H136" i="100" s="1"/>
  <c r="G136" i="100" a="1"/>
  <c r="G136" i="100" s="1"/>
  <c r="F136" i="100" a="1"/>
  <c r="F136" i="100" s="1"/>
  <c r="E136" i="100" a="1"/>
  <c r="E136" i="100" s="1"/>
  <c r="D136" i="100" a="1"/>
  <c r="D136" i="100" s="1"/>
  <c r="T135" i="100" a="1"/>
  <c r="T135" i="100" s="1"/>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s="1"/>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s="1"/>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s="1"/>
  <c r="K133" i="100" a="1"/>
  <c r="K133" i="100" s="1"/>
  <c r="AF133" i="100" s="1"/>
  <c r="J133" i="100" a="1"/>
  <c r="J133" i="100" s="1"/>
  <c r="I133" i="100" a="1"/>
  <c r="I133" i="100" s="1"/>
  <c r="H133" i="100" a="1"/>
  <c r="H133" i="100" s="1"/>
  <c r="G133" i="100" a="1"/>
  <c r="G133" i="100" s="1"/>
  <c r="F133" i="100" a="1"/>
  <c r="F133" i="100" s="1"/>
  <c r="E133" i="100" a="1"/>
  <c r="E133" i="100" s="1"/>
  <c r="Z133" i="100" s="1"/>
  <c r="D133" i="100" a="1"/>
  <c r="D133" i="100" s="1"/>
  <c r="AM132" i="100"/>
  <c r="T132" i="100"/>
  <c r="S132" i="100" a="1"/>
  <c r="S132" i="100"/>
  <c r="AN133" i="100" s="1"/>
  <c r="R132" i="100" a="1"/>
  <c r="R132" i="100"/>
  <c r="Q132" i="100" a="1"/>
  <c r="Q132" i="100"/>
  <c r="P132" i="100" a="1"/>
  <c r="P132" i="100"/>
  <c r="O132" i="100" a="1"/>
  <c r="O132" i="100"/>
  <c r="N132" i="100" a="1"/>
  <c r="N132" i="100"/>
  <c r="M132" i="100" a="1"/>
  <c r="M132" i="100"/>
  <c r="L132" i="100" a="1"/>
  <c r="L132" i="100"/>
  <c r="K132" i="100" a="1"/>
  <c r="K132" i="100"/>
  <c r="J132" i="100" a="1"/>
  <c r="J132" i="100"/>
  <c r="AE132" i="100" s="1"/>
  <c r="I132" i="100" a="1"/>
  <c r="I132" i="100"/>
  <c r="H132" i="100" a="1"/>
  <c r="H132" i="100"/>
  <c r="G132" i="100" a="1"/>
  <c r="G132" i="100"/>
  <c r="F132" i="100" a="1"/>
  <c r="F132" i="100"/>
  <c r="E132" i="100" a="1"/>
  <c r="E132" i="100"/>
  <c r="D132" i="100" a="1"/>
  <c r="D132" i="100"/>
  <c r="T131" i="100" a="1"/>
  <c r="T131" i="100"/>
  <c r="S131" i="100" a="1"/>
  <c r="S131" i="100"/>
  <c r="R131" i="100" a="1"/>
  <c r="R131" i="100"/>
  <c r="Q131" i="100" a="1"/>
  <c r="Q131" i="100"/>
  <c r="P131" i="100" a="1"/>
  <c r="P131" i="100"/>
  <c r="O131" i="100" a="1"/>
  <c r="O131" i="100"/>
  <c r="N131" i="100" a="1"/>
  <c r="N131" i="100"/>
  <c r="M131" i="100" a="1"/>
  <c r="M131" i="100"/>
  <c r="L131" i="100" a="1"/>
  <c r="L131" i="100"/>
  <c r="K131" i="100" a="1"/>
  <c r="K131" i="100"/>
  <c r="J131" i="100" a="1"/>
  <c r="J131" i="100"/>
  <c r="I131" i="100" a="1"/>
  <c r="I131" i="100"/>
  <c r="H131" i="100" a="1"/>
  <c r="H131" i="100"/>
  <c r="G131" i="100" a="1"/>
  <c r="G131" i="100"/>
  <c r="F131" i="100" a="1"/>
  <c r="F131" i="100"/>
  <c r="E131" i="100" a="1"/>
  <c r="E131" i="100"/>
  <c r="D131" i="100" a="1"/>
  <c r="D131" i="100"/>
  <c r="T130" i="100" a="1"/>
  <c r="T130" i="100"/>
  <c r="S130" i="100" a="1"/>
  <c r="S130" i="100"/>
  <c r="R130" i="100" a="1"/>
  <c r="R130" i="100"/>
  <c r="Q130" i="100" a="1"/>
  <c r="Q130" i="100"/>
  <c r="P130" i="100" a="1"/>
  <c r="P130" i="100"/>
  <c r="O130" i="100" a="1"/>
  <c r="O130" i="100"/>
  <c r="N130" i="100" a="1"/>
  <c r="N130" i="100"/>
  <c r="M130" i="100" a="1"/>
  <c r="M130" i="100"/>
  <c r="L130" i="100" a="1"/>
  <c r="L130" i="100"/>
  <c r="K130" i="100" a="1"/>
  <c r="K130" i="100"/>
  <c r="J130" i="100" a="1"/>
  <c r="J130" i="100"/>
  <c r="I130" i="100" a="1"/>
  <c r="I130" i="100"/>
  <c r="H130" i="100" a="1"/>
  <c r="H130" i="100"/>
  <c r="G130" i="100" a="1"/>
  <c r="G130" i="100"/>
  <c r="F130" i="100" a="1"/>
  <c r="F130" i="100"/>
  <c r="E130" i="100" a="1"/>
  <c r="E130" i="100"/>
  <c r="D130" i="100" a="1"/>
  <c r="D130" i="100"/>
  <c r="T129" i="100" a="1"/>
  <c r="T129" i="100"/>
  <c r="S129" i="100" a="1"/>
  <c r="S129" i="100"/>
  <c r="R129" i="100" a="1"/>
  <c r="R129" i="100"/>
  <c r="Q129" i="100" a="1"/>
  <c r="Q129" i="100"/>
  <c r="P129" i="100" a="1"/>
  <c r="P129" i="100"/>
  <c r="O129" i="100" a="1"/>
  <c r="O129" i="100"/>
  <c r="N129" i="100" a="1"/>
  <c r="N129" i="100"/>
  <c r="M129" i="100" a="1"/>
  <c r="M129" i="100"/>
  <c r="L129" i="100" a="1"/>
  <c r="L129" i="100"/>
  <c r="K129" i="100" a="1"/>
  <c r="K129" i="100"/>
  <c r="J129" i="100" a="1"/>
  <c r="J129" i="100"/>
  <c r="I129" i="100" a="1"/>
  <c r="I129" i="100"/>
  <c r="H129" i="100" a="1"/>
  <c r="H129" i="100"/>
  <c r="G129" i="100" a="1"/>
  <c r="G129" i="100"/>
  <c r="F129" i="100" a="1"/>
  <c r="F129" i="100"/>
  <c r="E129" i="100" a="1"/>
  <c r="E129" i="100"/>
  <c r="D129" i="100" a="1"/>
  <c r="D129" i="100"/>
  <c r="T128" i="100" a="1"/>
  <c r="T128" i="100"/>
  <c r="S128" i="100" a="1"/>
  <c r="S128" i="100"/>
  <c r="R128" i="100" a="1"/>
  <c r="R128" i="100"/>
  <c r="Q128" i="100" a="1"/>
  <c r="Q128" i="100"/>
  <c r="P128" i="100" a="1"/>
  <c r="P128" i="100"/>
  <c r="O128" i="100" a="1"/>
  <c r="O128" i="100"/>
  <c r="N128" i="100" a="1"/>
  <c r="N128" i="100" s="1"/>
  <c r="M128" i="100" a="1"/>
  <c r="M128" i="100"/>
  <c r="L128" i="100" a="1"/>
  <c r="L128" i="100" s="1"/>
  <c r="K128" i="100" a="1"/>
  <c r="K128" i="100"/>
  <c r="J128" i="100" a="1"/>
  <c r="J128" i="100" s="1"/>
  <c r="I128" i="100" a="1"/>
  <c r="I128" i="100"/>
  <c r="H128" i="100" a="1"/>
  <c r="H128" i="100" s="1"/>
  <c r="G128" i="100" a="1"/>
  <c r="G128" i="100"/>
  <c r="F128" i="100" a="1"/>
  <c r="F128" i="100" s="1"/>
  <c r="E128" i="100" a="1"/>
  <c r="E128" i="100"/>
  <c r="D128" i="100" a="1"/>
  <c r="D128" i="100" s="1"/>
  <c r="T127" i="100"/>
  <c r="S127" i="100" a="1"/>
  <c r="S127" i="100"/>
  <c r="R127" i="100" a="1"/>
  <c r="R127" i="100" s="1"/>
  <c r="Q127" i="100" a="1"/>
  <c r="Q127" i="100" s="1"/>
  <c r="P127" i="100" a="1"/>
  <c r="P127" i="100" s="1"/>
  <c r="O127" i="100" a="1"/>
  <c r="O127" i="100"/>
  <c r="N127" i="100" a="1"/>
  <c r="N127" i="100" s="1"/>
  <c r="M127" i="100" a="1"/>
  <c r="M127" i="100" s="1"/>
  <c r="L127" i="100" a="1"/>
  <c r="L127" i="100" s="1"/>
  <c r="K127" i="100" a="1"/>
  <c r="K127" i="100"/>
  <c r="J127" i="100" a="1"/>
  <c r="J127" i="100" s="1"/>
  <c r="I127" i="100" a="1"/>
  <c r="I127" i="100" s="1"/>
  <c r="H127" i="100" a="1"/>
  <c r="H127" i="100" s="1"/>
  <c r="G127" i="100" a="1"/>
  <c r="G127" i="100"/>
  <c r="F127" i="100" a="1"/>
  <c r="F127" i="100" s="1"/>
  <c r="E127" i="100" a="1"/>
  <c r="E127" i="100" s="1"/>
  <c r="D127" i="100" a="1"/>
  <c r="D127" i="100" s="1"/>
  <c r="T126" i="100" a="1"/>
  <c r="T126" i="100"/>
  <c r="S126" i="100" a="1"/>
  <c r="S126" i="100" s="1"/>
  <c r="R126" i="100" a="1"/>
  <c r="R126" i="100" s="1"/>
  <c r="Q126" i="100" a="1"/>
  <c r="Q126" i="100" s="1"/>
  <c r="P126" i="100" a="1"/>
  <c r="P126" i="100"/>
  <c r="O126" i="100" a="1"/>
  <c r="O126" i="100" s="1"/>
  <c r="N126" i="100" a="1"/>
  <c r="N126" i="100" s="1"/>
  <c r="M126" i="100" a="1"/>
  <c r="M126" i="100" s="1"/>
  <c r="L126" i="100" a="1"/>
  <c r="L126" i="100"/>
  <c r="K126" i="100" a="1"/>
  <c r="K126" i="100" s="1"/>
  <c r="J126" i="100" a="1"/>
  <c r="J126" i="100" s="1"/>
  <c r="I126" i="100" a="1"/>
  <c r="I126" i="100" s="1"/>
  <c r="H126" i="100" a="1"/>
  <c r="H126" i="100" s="1"/>
  <c r="G126" i="100" a="1"/>
  <c r="G126" i="100" s="1"/>
  <c r="F126" i="100" a="1"/>
  <c r="F126" i="100" s="1"/>
  <c r="E126" i="100" a="1"/>
  <c r="E126" i="100" s="1"/>
  <c r="D126" i="100" a="1"/>
  <c r="D126" i="100" s="1"/>
  <c r="T125" i="100" a="1"/>
  <c r="T125" i="100" s="1"/>
  <c r="S125" i="100" a="1"/>
  <c r="S125" i="100"/>
  <c r="R125" i="100" a="1"/>
  <c r="R125" i="100" s="1"/>
  <c r="Q125" i="100" a="1"/>
  <c r="Q125" i="100"/>
  <c r="P125" i="100" a="1"/>
  <c r="P125" i="100" s="1"/>
  <c r="O125" i="100" a="1"/>
  <c r="O125" i="100"/>
  <c r="N125" i="100" a="1"/>
  <c r="N125" i="100" s="1"/>
  <c r="M125" i="100" a="1"/>
  <c r="M125" i="100"/>
  <c r="L125" i="100" a="1"/>
  <c r="L125" i="100" s="1"/>
  <c r="K125" i="100" a="1"/>
  <c r="K125" i="100"/>
  <c r="J125" i="100" a="1"/>
  <c r="J125" i="100" s="1"/>
  <c r="I125" i="100" a="1"/>
  <c r="I125" i="100"/>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AK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c r="S123" i="100" a="1"/>
  <c r="S123" i="100"/>
  <c r="R123" i="100" a="1"/>
  <c r="R123" i="100"/>
  <c r="Q123" i="100" a="1"/>
  <c r="Q123" i="100"/>
  <c r="P123" i="100" a="1"/>
  <c r="P123" i="100"/>
  <c r="O123" i="100" a="1"/>
  <c r="O123" i="100"/>
  <c r="N123" i="100" a="1"/>
  <c r="N123" i="100"/>
  <c r="M123" i="100" a="1"/>
  <c r="M123" i="100"/>
  <c r="L123" i="100" a="1"/>
  <c r="L123" i="100"/>
  <c r="K123" i="100" a="1"/>
  <c r="K123" i="100"/>
  <c r="J123" i="100" a="1"/>
  <c r="J123" i="100"/>
  <c r="I123" i="100" a="1"/>
  <c r="I123" i="100"/>
  <c r="H123" i="100" a="1"/>
  <c r="H123" i="100"/>
  <c r="G123" i="100" a="1"/>
  <c r="G123" i="100"/>
  <c r="F123" i="100" a="1"/>
  <c r="F123" i="100"/>
  <c r="E123" i="100" a="1"/>
  <c r="E123" i="100"/>
  <c r="D123" i="100" a="1"/>
  <c r="D123" i="100"/>
  <c r="T122" i="100" a="1"/>
  <c r="T122" i="100"/>
  <c r="S122" i="100" a="1"/>
  <c r="S122" i="100"/>
  <c r="R122" i="100" a="1"/>
  <c r="R122" i="100"/>
  <c r="AM122" i="100" s="1"/>
  <c r="Q122" i="100" a="1"/>
  <c r="Q122" i="100"/>
  <c r="P122" i="100" a="1"/>
  <c r="P122" i="100"/>
  <c r="O122" i="100" a="1"/>
  <c r="O122" i="100" s="1"/>
  <c r="AJ122" i="100" s="1"/>
  <c r="N122" i="100" a="1"/>
  <c r="N122" i="100"/>
  <c r="M122" i="100" a="1"/>
  <c r="M122" i="100" s="1"/>
  <c r="L122" i="100" a="1"/>
  <c r="L122" i="100"/>
  <c r="K122" i="100" a="1"/>
  <c r="K122" i="100" s="1"/>
  <c r="J122" i="100" a="1"/>
  <c r="J122" i="100"/>
  <c r="I122" i="100" a="1"/>
  <c r="I122" i="100" s="1"/>
  <c r="AD122" i="100" s="1"/>
  <c r="H122" i="100" a="1"/>
  <c r="H122" i="100"/>
  <c r="G122" i="100" a="1"/>
  <c r="G122" i="100" s="1"/>
  <c r="AB122" i="100" s="1"/>
  <c r="F122" i="100" a="1"/>
  <c r="F122" i="100"/>
  <c r="E122" i="100" a="1"/>
  <c r="E122" i="100" s="1"/>
  <c r="Z125" i="100" s="1"/>
  <c r="D122" i="100" a="1"/>
  <c r="D122" i="100" s="1"/>
  <c r="T121" i="100" a="1"/>
  <c r="T121" i="100" s="1"/>
  <c r="S121" i="100" a="1"/>
  <c r="S121" i="100" s="1"/>
  <c r="R121" i="100" a="1"/>
  <c r="R121" i="100" s="1"/>
  <c r="Q121" i="100" a="1"/>
  <c r="Q121" i="100" s="1"/>
  <c r="P121" i="100" a="1"/>
  <c r="P121" i="100" s="1"/>
  <c r="O121" i="100" a="1"/>
  <c r="O121" i="100" s="1"/>
  <c r="N121" i="100" a="1"/>
  <c r="N121" i="100" s="1"/>
  <c r="M121" i="100" a="1"/>
  <c r="M121" i="100" s="1"/>
  <c r="L121" i="100" a="1"/>
  <c r="L121" i="100" s="1"/>
  <c r="K121" i="100" a="1"/>
  <c r="K121" i="100" s="1"/>
  <c r="J121" i="100" a="1"/>
  <c r="J121" i="100" s="1"/>
  <c r="I121" i="100" a="1"/>
  <c r="I121" i="100" s="1"/>
  <c r="H121" i="100" a="1"/>
  <c r="H121" i="100" s="1"/>
  <c r="G121" i="100" a="1"/>
  <c r="G121" i="100" s="1"/>
  <c r="F121" i="100" a="1"/>
  <c r="F121" i="100" s="1"/>
  <c r="E121" i="100" a="1"/>
  <c r="E121" i="100" s="1"/>
  <c r="D121" i="100" a="1"/>
  <c r="D121" i="100" s="1"/>
  <c r="T120" i="100" a="1"/>
  <c r="T120" i="100" s="1"/>
  <c r="S120" i="100" a="1"/>
  <c r="S120" i="100" s="1"/>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s="1"/>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AO117" i="100" s="1"/>
  <c r="S118" i="100" a="1"/>
  <c r="S118" i="100" s="1"/>
  <c r="R118" i="100" a="1"/>
  <c r="R118" i="100" s="1"/>
  <c r="Q118" i="100" a="1"/>
  <c r="Q118" i="100" s="1"/>
  <c r="P118" i="100" a="1"/>
  <c r="P118" i="100" s="1"/>
  <c r="O118" i="100" a="1"/>
  <c r="O118" i="100" s="1"/>
  <c r="N118" i="100" a="1"/>
  <c r="N118" i="100" s="1"/>
  <c r="M118" i="100" a="1"/>
  <c r="M118" i="100" s="1"/>
  <c r="L118" i="100" a="1"/>
  <c r="L118" i="100" s="1"/>
  <c r="K118" i="100" a="1"/>
  <c r="K118" i="100" s="1"/>
  <c r="J118" i="100" a="1"/>
  <c r="J118" i="100" s="1"/>
  <c r="I118" i="100" a="1"/>
  <c r="I118" i="100" s="1"/>
  <c r="H118" i="100" a="1"/>
  <c r="H118" i="100" s="1"/>
  <c r="G118" i="100" a="1"/>
  <c r="G118" i="100" s="1"/>
  <c r="F118" i="100" a="1"/>
  <c r="F118" i="100" s="1"/>
  <c r="E118" i="100" a="1"/>
  <c r="E118" i="100" s="1"/>
  <c r="D118" i="100" a="1"/>
  <c r="D118" i="100" s="1"/>
  <c r="T117" i="100"/>
  <c r="S117" i="100" a="1"/>
  <c r="S117" i="100" s="1"/>
  <c r="AN121" i="100" s="1"/>
  <c r="R117" i="100" a="1"/>
  <c r="R117" i="100" s="1"/>
  <c r="Q117" i="100" a="1"/>
  <c r="Q117" i="100" s="1"/>
  <c r="AL117" i="100" s="1"/>
  <c r="P117" i="100" a="1"/>
  <c r="P117" i="100" s="1"/>
  <c r="AK121" i="100" s="1"/>
  <c r="O117" i="100" a="1"/>
  <c r="O117" i="100" s="1"/>
  <c r="AJ119" i="100" s="1"/>
  <c r="N117" i="100" a="1"/>
  <c r="N117" i="100" s="1"/>
  <c r="M117" i="100" a="1"/>
  <c r="M117" i="100" s="1"/>
  <c r="AH121" i="100" s="1"/>
  <c r="L117" i="100" a="1"/>
  <c r="L117" i="100" s="1"/>
  <c r="AG117" i="100" s="1"/>
  <c r="K117" i="100" a="1"/>
  <c r="K117" i="100" s="1"/>
  <c r="AF120" i="100" s="1"/>
  <c r="J117" i="100" a="1"/>
  <c r="J117" i="100" s="1"/>
  <c r="I117" i="100" a="1"/>
  <c r="I117" i="100" s="1"/>
  <c r="AD119" i="100" s="1"/>
  <c r="H117" i="100" a="1"/>
  <c r="H117" i="100" s="1"/>
  <c r="AC121" i="100" s="1"/>
  <c r="G117" i="100" a="1"/>
  <c r="G117" i="100" s="1"/>
  <c r="AB117" i="100" s="1"/>
  <c r="F117" i="100" a="1"/>
  <c r="F117" i="100" s="1"/>
  <c r="E117" i="100" a="1"/>
  <c r="E117" i="100" s="1"/>
  <c r="Z119" i="100" s="1"/>
  <c r="D117" i="100" a="1"/>
  <c r="D117" i="100" s="1"/>
  <c r="Y121" i="100" s="1"/>
  <c r="T116" i="100" a="1"/>
  <c r="T116" i="100" s="1"/>
  <c r="S116" i="100" a="1"/>
  <c r="S116" i="100" s="1"/>
  <c r="R116" i="100" a="1"/>
  <c r="R116" i="100" s="1"/>
  <c r="Q116" i="100" a="1"/>
  <c r="Q116" i="100" s="1"/>
  <c r="P116" i="100" a="1"/>
  <c r="P116" i="100" s="1"/>
  <c r="O116" i="100" a="1"/>
  <c r="O116" i="100" s="1"/>
  <c r="N116" i="100" a="1"/>
  <c r="N116" i="100" s="1"/>
  <c r="M116" i="100" a="1"/>
  <c r="M116" i="100" s="1"/>
  <c r="L116" i="100" a="1"/>
  <c r="L116" i="100" s="1"/>
  <c r="K116" i="100" a="1"/>
  <c r="K116" i="100" s="1"/>
  <c r="J116" i="100" a="1"/>
  <c r="J116" i="100" s="1"/>
  <c r="I116" i="100" a="1"/>
  <c r="I116" i="100" s="1"/>
  <c r="H116" i="100" a="1"/>
  <c r="H116" i="100" s="1"/>
  <c r="G116" i="100" a="1"/>
  <c r="G116" i="100" s="1"/>
  <c r="F116" i="100" a="1"/>
  <c r="F116" i="100" s="1"/>
  <c r="E116" i="100" a="1"/>
  <c r="E116" i="100" s="1"/>
  <c r="D116" i="100" a="1"/>
  <c r="D116" i="100" s="1"/>
  <c r="T115" i="100" a="1"/>
  <c r="T115" i="100" s="1"/>
  <c r="S115" i="100" a="1"/>
  <c r="S115" i="100" s="1"/>
  <c r="R115" i="100" a="1"/>
  <c r="R115" i="100" s="1"/>
  <c r="Q115" i="100" a="1"/>
  <c r="Q115" i="100" s="1"/>
  <c r="P115" i="100" a="1"/>
  <c r="P115" i="100" s="1"/>
  <c r="AK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s="1"/>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AO113" i="100" s="1"/>
  <c r="S113" i="100" a="1"/>
  <c r="S113" i="100" s="1"/>
  <c r="R113" i="100" a="1"/>
  <c r="R113" i="100" s="1"/>
  <c r="Q113" i="100" a="1"/>
  <c r="Q113" i="100" s="1"/>
  <c r="P113" i="100" a="1"/>
  <c r="P113" i="100" s="1"/>
  <c r="O113" i="100" a="1"/>
  <c r="O113" i="100" s="1"/>
  <c r="AJ113" i="100" s="1"/>
  <c r="N113" i="100" a="1"/>
  <c r="N113" i="100" s="1"/>
  <c r="AI113" i="100" s="1"/>
  <c r="M113" i="100" a="1"/>
  <c r="M113" i="100" s="1"/>
  <c r="L113" i="100" a="1"/>
  <c r="L113" i="100" s="1"/>
  <c r="K113" i="100" a="1"/>
  <c r="K113" i="100" s="1"/>
  <c r="AF113" i="100" s="1"/>
  <c r="J113" i="100" a="1"/>
  <c r="J113" i="100" s="1"/>
  <c r="I113" i="100" a="1"/>
  <c r="I113" i="100" s="1"/>
  <c r="H113" i="100" a="1"/>
  <c r="H113" i="100" s="1"/>
  <c r="G113" i="100" a="1"/>
  <c r="G113" i="100" s="1"/>
  <c r="F113" i="100" a="1"/>
  <c r="F113" i="100" s="1"/>
  <c r="E113" i="100" a="1"/>
  <c r="E113" i="100" s="1"/>
  <c r="D113" i="100" a="1"/>
  <c r="D113" i="100" s="1"/>
  <c r="T112" i="100"/>
  <c r="S112" i="100" a="1"/>
  <c r="S112" i="100" s="1"/>
  <c r="R112" i="100" a="1"/>
  <c r="R112" i="100" s="1"/>
  <c r="AM115" i="100" s="1"/>
  <c r="Q112" i="100" a="1"/>
  <c r="Q112" i="100" s="1"/>
  <c r="AL112" i="100" s="1"/>
  <c r="P112" i="100" a="1"/>
  <c r="P112" i="100" s="1"/>
  <c r="O112" i="100" a="1"/>
  <c r="O112" i="100" s="1"/>
  <c r="N112" i="100" a="1"/>
  <c r="N112" i="100" s="1"/>
  <c r="AI112" i="100" s="1"/>
  <c r="M112" i="100" a="1"/>
  <c r="M112" i="100" s="1"/>
  <c r="AH112" i="100" s="1"/>
  <c r="L112" i="100" a="1"/>
  <c r="L112" i="100" s="1"/>
  <c r="K112" i="100" a="1"/>
  <c r="K112" i="100" s="1"/>
  <c r="J112" i="100" a="1"/>
  <c r="J112" i="100" s="1"/>
  <c r="I112" i="100" a="1"/>
  <c r="I112" i="100" s="1"/>
  <c r="AD116" i="100" s="1"/>
  <c r="H112" i="100" a="1"/>
  <c r="H112" i="100" s="1"/>
  <c r="G112" i="100" a="1"/>
  <c r="G112" i="100" s="1"/>
  <c r="F112" i="100" a="1"/>
  <c r="F112" i="100" s="1"/>
  <c r="AA112" i="100" s="1"/>
  <c r="E112" i="100" a="1"/>
  <c r="E112" i="100" s="1"/>
  <c r="Z115" i="100" s="1"/>
  <c r="D112" i="100" a="1"/>
  <c r="D112" i="100" s="1"/>
  <c r="T111" i="100" a="1"/>
  <c r="T111" i="100" s="1"/>
  <c r="S111" i="100" a="1"/>
  <c r="S111" i="100" s="1"/>
  <c r="R111" i="100" a="1"/>
  <c r="R111" i="100" s="1"/>
  <c r="Q111" i="100" a="1"/>
  <c r="Q111" i="100" s="1"/>
  <c r="P111" i="100" a="1"/>
  <c r="P111" i="100" s="1"/>
  <c r="O111" i="100" a="1"/>
  <c r="O111" i="100" s="1"/>
  <c r="N111" i="100" a="1"/>
  <c r="N111" i="100" s="1"/>
  <c r="M111" i="100" a="1"/>
  <c r="M111" i="100" s="1"/>
  <c r="L111" i="100" a="1"/>
  <c r="L111" i="100" s="1"/>
  <c r="K111" i="100" a="1"/>
  <c r="K111" i="100" s="1"/>
  <c r="J111" i="100" a="1"/>
  <c r="J111" i="100" s="1"/>
  <c r="I111" i="100" a="1"/>
  <c r="I111" i="100" s="1"/>
  <c r="H111" i="100" a="1"/>
  <c r="H111" i="100" s="1"/>
  <c r="G111" i="100" a="1"/>
  <c r="G111" i="100" s="1"/>
  <c r="F111" i="100" a="1"/>
  <c r="F111" i="100" s="1"/>
  <c r="E111" i="100" a="1"/>
  <c r="E111" i="100" s="1"/>
  <c r="D111" i="100" a="1"/>
  <c r="D111" i="100" s="1"/>
  <c r="T110" i="100" a="1"/>
  <c r="T110" i="100" s="1"/>
  <c r="S110" i="100"/>
  <c r="R110" i="100"/>
  <c r="Q110" i="100"/>
  <c r="P110" i="100"/>
  <c r="O110" i="100"/>
  <c r="N110" i="100"/>
  <c r="M110" i="100"/>
  <c r="L110" i="100"/>
  <c r="K110" i="100"/>
  <c r="J110" i="100"/>
  <c r="I110" i="100"/>
  <c r="H110" i="100" a="1"/>
  <c r="H110" i="100"/>
  <c r="G110" i="100"/>
  <c r="F110" i="100"/>
  <c r="E110" i="100"/>
  <c r="D110" i="100"/>
  <c r="T109" i="100" a="1"/>
  <c r="T109" i="100"/>
  <c r="S109" i="100" a="1"/>
  <c r="S109" i="100"/>
  <c r="R109" i="100" a="1"/>
  <c r="R109" i="100"/>
  <c r="Q109" i="100" a="1"/>
  <c r="Q109" i="100"/>
  <c r="P109" i="100" a="1"/>
  <c r="P109" i="100"/>
  <c r="O109" i="100" a="1"/>
  <c r="O109" i="100"/>
  <c r="N109" i="100" a="1"/>
  <c r="N109" i="100"/>
  <c r="M109" i="100" a="1"/>
  <c r="M109" i="100"/>
  <c r="L109" i="100" a="1"/>
  <c r="L109" i="100"/>
  <c r="K109" i="100" a="1"/>
  <c r="K109" i="100"/>
  <c r="J109" i="100" a="1"/>
  <c r="J109" i="100"/>
  <c r="I109" i="100" a="1"/>
  <c r="I109" i="100"/>
  <c r="H109" i="100" a="1"/>
  <c r="H109" i="100"/>
  <c r="G109" i="100" a="1"/>
  <c r="G109" i="100"/>
  <c r="F109" i="100" a="1"/>
  <c r="F109" i="100"/>
  <c r="E109" i="100" a="1"/>
  <c r="E109" i="100"/>
  <c r="D109" i="100" a="1"/>
  <c r="D109" i="100"/>
  <c r="T108" i="100" a="1"/>
  <c r="T108" i="100"/>
  <c r="AO107" i="100" s="1"/>
  <c r="S108" i="100" a="1"/>
  <c r="S108" i="100"/>
  <c r="R108" i="100" a="1"/>
  <c r="R108" i="100"/>
  <c r="AM110" i="100" s="1"/>
  <c r="Q108" i="100" a="1"/>
  <c r="Q108" i="100"/>
  <c r="P108" i="100" a="1"/>
  <c r="P108" i="100"/>
  <c r="AK107" i="100" s="1"/>
  <c r="O108" i="100" a="1"/>
  <c r="O108" i="100"/>
  <c r="N108" i="100" a="1"/>
  <c r="N108" i="100"/>
  <c r="AI108" i="100" s="1"/>
  <c r="M108" i="100" a="1"/>
  <c r="M108" i="100"/>
  <c r="L108" i="100" a="1"/>
  <c r="L108" i="100"/>
  <c r="AG110" i="100" s="1"/>
  <c r="K108" i="100" a="1"/>
  <c r="K108" i="100"/>
  <c r="J108" i="100" a="1"/>
  <c r="J108" i="100"/>
  <c r="AE108" i="100" s="1"/>
  <c r="I108" i="100" a="1"/>
  <c r="I108" i="100"/>
  <c r="H108" i="100" a="1"/>
  <c r="H108" i="100"/>
  <c r="G108" i="100" a="1"/>
  <c r="G108" i="100"/>
  <c r="F108" i="100" a="1"/>
  <c r="F108" i="100"/>
  <c r="AA108" i="100" s="1"/>
  <c r="E108" i="100" a="1"/>
  <c r="E108" i="100"/>
  <c r="D108" i="100" a="1"/>
  <c r="D108" i="100"/>
  <c r="T107" i="100"/>
  <c r="S107" i="100" a="1"/>
  <c r="S107" i="100" s="1"/>
  <c r="R107" i="100" a="1"/>
  <c r="R107" i="100" s="1"/>
  <c r="Q107" i="100" a="1"/>
  <c r="Q107" i="100" s="1"/>
  <c r="AL107" i="100" s="1"/>
  <c r="P107" i="100" a="1"/>
  <c r="P107" i="100" s="1"/>
  <c r="O107" i="100" a="1"/>
  <c r="O107" i="100" s="1"/>
  <c r="N107" i="100" a="1"/>
  <c r="N107" i="100" s="1"/>
  <c r="M107" i="100" a="1"/>
  <c r="M107" i="100" s="1"/>
  <c r="AH111" i="100" s="1"/>
  <c r="L107" i="100" a="1"/>
  <c r="L107" i="100" s="1"/>
  <c r="K107" i="100" a="1"/>
  <c r="K107" i="100" s="1"/>
  <c r="AF109" i="100" s="1"/>
  <c r="J107" i="100" a="1"/>
  <c r="J107" i="100" s="1"/>
  <c r="I107" i="100" a="1"/>
  <c r="I107" i="100" s="1"/>
  <c r="AD107" i="100" s="1"/>
  <c r="H107" i="100" a="1"/>
  <c r="H107" i="100" s="1"/>
  <c r="AC107" i="100" s="1"/>
  <c r="G107" i="100" a="1"/>
  <c r="G107" i="100" s="1"/>
  <c r="AB110" i="100" s="1"/>
  <c r="F107" i="100" a="1"/>
  <c r="F107" i="100" s="1"/>
  <c r="E107" i="100" a="1"/>
  <c r="E107" i="100" s="1"/>
  <c r="Z107" i="100" s="1"/>
  <c r="D107" i="100" a="1"/>
  <c r="D107" i="100" s="1"/>
  <c r="Y111" i="100" s="1"/>
  <c r="T106" i="100" a="1"/>
  <c r="T106" i="100" s="1"/>
  <c r="S106" i="100" a="1"/>
  <c r="S106" i="100" s="1"/>
  <c r="R106" i="100" a="1"/>
  <c r="R106" i="100" s="1"/>
  <c r="Q106" i="100" a="1"/>
  <c r="Q106" i="100" s="1"/>
  <c r="P106" i="100" a="1"/>
  <c r="P106" i="100" s="1"/>
  <c r="O106" i="100" a="1"/>
  <c r="O106" i="100" s="1"/>
  <c r="N106" i="100" a="1"/>
  <c r="N106" i="100" s="1"/>
  <c r="M106" i="100" a="1"/>
  <c r="M106" i="100" s="1"/>
  <c r="L106" i="100" a="1"/>
  <c r="L106" i="100" s="1"/>
  <c r="K106" i="100" a="1"/>
  <c r="K106" i="100" s="1"/>
  <c r="J106" i="100" a="1"/>
  <c r="J106" i="100" s="1"/>
  <c r="I106" i="100" a="1"/>
  <c r="I106" i="100" s="1"/>
  <c r="H106" i="100" a="1"/>
  <c r="H106" i="100" s="1"/>
  <c r="G106" i="100" a="1"/>
  <c r="G106" i="100" s="1"/>
  <c r="F106" i="100" a="1"/>
  <c r="F106" i="100" s="1"/>
  <c r="E106" i="100" a="1"/>
  <c r="E106" i="100" s="1"/>
  <c r="D106" i="100" a="1"/>
  <c r="D106" i="100" s="1"/>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s="1"/>
  <c r="F105" i="100" a="1"/>
  <c r="F105" i="100" s="1"/>
  <c r="E105" i="100" a="1"/>
  <c r="E105" i="100" s="1"/>
  <c r="D105" i="100" a="1"/>
  <c r="D105" i="100" s="1"/>
  <c r="T104" i="100" a="1"/>
  <c r="T104" i="100" s="1"/>
  <c r="S104" i="100" a="1"/>
  <c r="S104" i="100" s="1"/>
  <c r="R104" i="100" a="1"/>
  <c r="R104" i="100" s="1"/>
  <c r="AM104" i="100" s="1"/>
  <c r="Q104" i="100" a="1"/>
  <c r="Q104" i="100" s="1"/>
  <c r="P104" i="100" a="1"/>
  <c r="P104" i="100" s="1"/>
  <c r="O104" i="100" a="1"/>
  <c r="O104" i="100" s="1"/>
  <c r="N104" i="100" a="1"/>
  <c r="N104" i="100" s="1"/>
  <c r="AI104" i="100" s="1"/>
  <c r="M104" i="100" a="1"/>
  <c r="M104" i="100" s="1"/>
  <c r="L104" i="100" a="1"/>
  <c r="L104" i="100" s="1"/>
  <c r="K104" i="100" a="1"/>
  <c r="K104" i="100" s="1"/>
  <c r="J104" i="100" a="1"/>
  <c r="J104" i="100" s="1"/>
  <c r="AE104" i="100" s="1"/>
  <c r="I104" i="100" a="1"/>
  <c r="I104" i="100" s="1"/>
  <c r="H104" i="100" a="1"/>
  <c r="H104" i="100" s="1"/>
  <c r="G104" i="100" a="1"/>
  <c r="G104" i="100" s="1"/>
  <c r="F104" i="100" a="1"/>
  <c r="F104" i="100" s="1"/>
  <c r="E104" i="100" a="1"/>
  <c r="E104" i="100" s="1"/>
  <c r="D104" i="100" a="1"/>
  <c r="D104" i="100" s="1"/>
  <c r="T103" i="100" a="1"/>
  <c r="T103" i="100" s="1"/>
  <c r="S103" i="100" a="1"/>
  <c r="S103" i="100" s="1"/>
  <c r="R103" i="100" a="1"/>
  <c r="R103" i="100" s="1"/>
  <c r="Q103" i="100" a="1"/>
  <c r="Q103" i="100" s="1"/>
  <c r="P103" i="100" a="1"/>
  <c r="P103" i="100" s="1"/>
  <c r="O103" i="100" a="1"/>
  <c r="O103" i="100" s="1"/>
  <c r="N103" i="100" a="1"/>
  <c r="N103" i="100" s="1"/>
  <c r="M103" i="100" a="1"/>
  <c r="M103" i="100" s="1"/>
  <c r="L103" i="100" a="1"/>
  <c r="L103" i="100" s="1"/>
  <c r="K103" i="100" a="1"/>
  <c r="K103" i="100" s="1"/>
  <c r="J103" i="100" a="1"/>
  <c r="J103" i="100" s="1"/>
  <c r="I103" i="100" a="1"/>
  <c r="I103" i="100" s="1"/>
  <c r="H103" i="100" a="1"/>
  <c r="H103" i="100" s="1"/>
  <c r="G103" i="100" a="1"/>
  <c r="G103" i="100" s="1"/>
  <c r="AB106" i="100" s="1"/>
  <c r="F103" i="100" a="1"/>
  <c r="F103" i="100" s="1"/>
  <c r="AA103" i="100" s="1"/>
  <c r="E103" i="100" a="1"/>
  <c r="E103" i="100"/>
  <c r="D103" i="100" a="1"/>
  <c r="D103" i="100" s="1"/>
  <c r="T102" i="100"/>
  <c r="S102" i="100" a="1"/>
  <c r="S102" i="100"/>
  <c r="AN104" i="100" s="1"/>
  <c r="R102" i="100" a="1"/>
  <c r="R102" i="100"/>
  <c r="Q102" i="100" a="1"/>
  <c r="Q102" i="100"/>
  <c r="AL105" i="100" s="1"/>
  <c r="P102" i="100" a="1"/>
  <c r="P102" i="100"/>
  <c r="O102" i="100" a="1"/>
  <c r="O102" i="100" s="1"/>
  <c r="AJ102" i="100" s="1"/>
  <c r="N102" i="100" a="1"/>
  <c r="N102" i="100"/>
  <c r="M102" i="100" a="1"/>
  <c r="M102" i="100" s="1"/>
  <c r="AH105" i="100" s="1"/>
  <c r="L102" i="100" a="1"/>
  <c r="L102" i="100"/>
  <c r="K102" i="100" a="1"/>
  <c r="K102" i="100" s="1"/>
  <c r="AF102" i="100" s="1"/>
  <c r="J102" i="100" a="1"/>
  <c r="J102" i="100"/>
  <c r="I102" i="100" a="1"/>
  <c r="I102" i="100" s="1"/>
  <c r="AD106" i="100" s="1"/>
  <c r="H102" i="100" a="1"/>
  <c r="H102" i="100"/>
  <c r="G102" i="100" a="1"/>
  <c r="G102" i="100" s="1"/>
  <c r="AB102" i="100" s="1"/>
  <c r="F102" i="100" a="1"/>
  <c r="F102" i="100"/>
  <c r="E102" i="100" a="1"/>
  <c r="E102" i="100" s="1"/>
  <c r="Z106" i="100" s="1"/>
  <c r="D102" i="100" a="1"/>
  <c r="D102" i="100"/>
  <c r="T101" i="100" a="1"/>
  <c r="T101" i="100" s="1"/>
  <c r="S101" i="100" a="1"/>
  <c r="S101" i="100" s="1"/>
  <c r="R101" i="100" a="1"/>
  <c r="R101" i="100" s="1"/>
  <c r="Q101" i="100" a="1"/>
  <c r="Q101" i="100" s="1"/>
  <c r="P101" i="100" a="1"/>
  <c r="P101" i="100" s="1"/>
  <c r="O101" i="100" a="1"/>
  <c r="O101" i="100" s="1"/>
  <c r="N101" i="100" a="1"/>
  <c r="N101" i="100" s="1"/>
  <c r="M101" i="100" a="1"/>
  <c r="M101" i="100" s="1"/>
  <c r="L101" i="100" a="1"/>
  <c r="L101" i="100" s="1"/>
  <c r="K101" i="100" a="1"/>
  <c r="K101" i="100" s="1"/>
  <c r="J101" i="100" a="1"/>
  <c r="J101" i="100" s="1"/>
  <c r="I101" i="100" a="1"/>
  <c r="I101" i="100" s="1"/>
  <c r="H101" i="100" a="1"/>
  <c r="H101" i="100" s="1"/>
  <c r="G101" i="100" a="1"/>
  <c r="G101" i="100" s="1"/>
  <c r="F101" i="100" a="1"/>
  <c r="F101" i="100" s="1"/>
  <c r="E101" i="100" a="1"/>
  <c r="E101" i="100" s="1"/>
  <c r="D101" i="100" a="1"/>
  <c r="D101"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s="1"/>
  <c r="J100" i="100" a="1"/>
  <c r="J100" i="100" s="1"/>
  <c r="I100" i="100" a="1"/>
  <c r="I100" i="100" s="1"/>
  <c r="H100" i="100" a="1"/>
  <c r="H100" i="100" s="1"/>
  <c r="G100" i="100" a="1"/>
  <c r="G100" i="100" s="1"/>
  <c r="F100" i="100" a="1"/>
  <c r="F100" i="100" s="1"/>
  <c r="E100" i="100" a="1"/>
  <c r="E100" i="100" s="1"/>
  <c r="D100" i="100" a="1"/>
  <c r="D100" i="100" s="1"/>
  <c r="T99" i="100" a="1"/>
  <c r="T99" i="100" s="1"/>
  <c r="AO99" i="100" s="1"/>
  <c r="S99" i="100" a="1"/>
  <c r="S99" i="100" s="1"/>
  <c r="R99" i="100" a="1"/>
  <c r="R99" i="100" s="1"/>
  <c r="AM99" i="100" s="1"/>
  <c r="Q99" i="100" a="1"/>
  <c r="Q99" i="100" s="1"/>
  <c r="P99" i="100" a="1"/>
  <c r="P99" i="100" s="1"/>
  <c r="AK99" i="100" s="1"/>
  <c r="O99" i="100" a="1"/>
  <c r="O99" i="100" s="1"/>
  <c r="N99" i="100" a="1"/>
  <c r="N99" i="100" s="1"/>
  <c r="AI99" i="100" s="1"/>
  <c r="M99" i="100" a="1"/>
  <c r="M99" i="100" s="1"/>
  <c r="L99" i="100" a="1"/>
  <c r="L99" i="100" s="1"/>
  <c r="AG99" i="100" s="1"/>
  <c r="K99" i="100" a="1"/>
  <c r="K99" i="100" s="1"/>
  <c r="J99" i="100" a="1"/>
  <c r="J99" i="100" s="1"/>
  <c r="AE99" i="100" s="1"/>
  <c r="I99" i="100" a="1"/>
  <c r="I99" i="100" s="1"/>
  <c r="H99" i="100" a="1"/>
  <c r="H99" i="100" s="1"/>
  <c r="AC99" i="100" s="1"/>
  <c r="G99" i="100" a="1"/>
  <c r="G99" i="100" s="1"/>
  <c r="F99" i="100" a="1"/>
  <c r="F99" i="100" s="1"/>
  <c r="AA99" i="100" s="1"/>
  <c r="E99" i="100" a="1"/>
  <c r="E99" i="100" s="1"/>
  <c r="D99" i="100" a="1"/>
  <c r="D99" i="100" s="1"/>
  <c r="Y99" i="100" s="1"/>
  <c r="T98" i="100" a="1"/>
  <c r="T98" i="100" s="1"/>
  <c r="S98" i="100" a="1"/>
  <c r="S98" i="100" s="1"/>
  <c r="AN98" i="100" s="1"/>
  <c r="R98" i="100" a="1"/>
  <c r="R98" i="100" s="1"/>
  <c r="Q98" i="100" a="1"/>
  <c r="Q98" i="100" s="1"/>
  <c r="AL98" i="100" s="1"/>
  <c r="P98" i="100" a="1"/>
  <c r="P98" i="100" s="1"/>
  <c r="O98" i="100" a="1"/>
  <c r="O98" i="100" s="1"/>
  <c r="AJ98" i="100" s="1"/>
  <c r="N98" i="100" a="1"/>
  <c r="N98" i="100" s="1"/>
  <c r="M98" i="100" a="1"/>
  <c r="M98" i="100" s="1"/>
  <c r="AH98" i="100" s="1"/>
  <c r="L98" i="100" a="1"/>
  <c r="L98" i="100" s="1"/>
  <c r="K98" i="100" a="1"/>
  <c r="K98" i="100" s="1"/>
  <c r="AF98" i="100" s="1"/>
  <c r="J98" i="100" a="1"/>
  <c r="J98" i="100" s="1"/>
  <c r="I98" i="100" a="1"/>
  <c r="I98" i="100" s="1"/>
  <c r="AD98" i="100" s="1"/>
  <c r="H98" i="100" a="1"/>
  <c r="H98" i="100" s="1"/>
  <c r="G98" i="100" a="1"/>
  <c r="G98" i="100" s="1"/>
  <c r="AB98" i="100" s="1"/>
  <c r="F98" i="100" a="1"/>
  <c r="F98" i="100" s="1"/>
  <c r="E98" i="100" a="1"/>
  <c r="E98" i="100" s="1"/>
  <c r="Z98" i="100" s="1"/>
  <c r="D98" i="100" a="1"/>
  <c r="D98" i="100" s="1"/>
  <c r="T97" i="100"/>
  <c r="S97" i="100" a="1"/>
  <c r="S97" i="100"/>
  <c r="R97" i="100" a="1"/>
  <c r="R97" i="100"/>
  <c r="Q97" i="100" a="1"/>
  <c r="Q97" i="100"/>
  <c r="P97" i="100" a="1"/>
  <c r="P97" i="100"/>
  <c r="O97" i="100" a="1"/>
  <c r="O97" i="100"/>
  <c r="N97" i="100" a="1"/>
  <c r="N97" i="100"/>
  <c r="M97" i="100" a="1"/>
  <c r="M97" i="100"/>
  <c r="L97" i="100" a="1"/>
  <c r="L97" i="100"/>
  <c r="K97" i="100" a="1"/>
  <c r="K97" i="100"/>
  <c r="J97" i="100" a="1"/>
  <c r="J97" i="100"/>
  <c r="I97" i="100" a="1"/>
  <c r="I97" i="100"/>
  <c r="H97" i="100" a="1"/>
  <c r="H97" i="100"/>
  <c r="G97" i="100" a="1"/>
  <c r="G97" i="100"/>
  <c r="F97" i="100" a="1"/>
  <c r="F97" i="100"/>
  <c r="E97" i="100" a="1"/>
  <c r="E97" i="100"/>
  <c r="D97" i="100" a="1"/>
  <c r="D97" i="100"/>
  <c r="T96" i="100" a="1"/>
  <c r="T96" i="100"/>
  <c r="S96" i="100" a="1"/>
  <c r="S96" i="100"/>
  <c r="R96" i="100" a="1"/>
  <c r="R96" i="100"/>
  <c r="Q96" i="100" a="1"/>
  <c r="Q96" i="100"/>
  <c r="P96" i="100" a="1"/>
  <c r="P96" i="100"/>
  <c r="O96" i="100" a="1"/>
  <c r="O96" i="100"/>
  <c r="N96" i="100" a="1"/>
  <c r="N96" i="100"/>
  <c r="M96" i="100" a="1"/>
  <c r="M96" i="100"/>
  <c r="L96" i="100" a="1"/>
  <c r="L96" i="100"/>
  <c r="K96" i="100" a="1"/>
  <c r="K96" i="100"/>
  <c r="J96" i="100" a="1"/>
  <c r="J96" i="100"/>
  <c r="I96" i="100" a="1"/>
  <c r="I96" i="100"/>
  <c r="H96" i="100" a="1"/>
  <c r="H96" i="100"/>
  <c r="G96" i="100" a="1"/>
  <c r="G96" i="100"/>
  <c r="F96" i="100" a="1"/>
  <c r="F96" i="100"/>
  <c r="E96" i="100" a="1"/>
  <c r="E96" i="100"/>
  <c r="D96" i="100" a="1"/>
  <c r="D96" i="100"/>
  <c r="T95" i="100" a="1"/>
  <c r="T95" i="100"/>
  <c r="S95" i="100" a="1"/>
  <c r="S95" i="100"/>
  <c r="R95" i="100" a="1"/>
  <c r="R95" i="100"/>
  <c r="Q95" i="100" a="1"/>
  <c r="Q95" i="100"/>
  <c r="P95" i="100" a="1"/>
  <c r="P95" i="100"/>
  <c r="O95" i="100" a="1"/>
  <c r="O95" i="100"/>
  <c r="N95" i="100" a="1"/>
  <c r="N95" i="100"/>
  <c r="M95" i="100" a="1"/>
  <c r="M95" i="100"/>
  <c r="L95" i="100" a="1"/>
  <c r="L95" i="100"/>
  <c r="K95" i="100" a="1"/>
  <c r="K95" i="100"/>
  <c r="J95" i="100" a="1"/>
  <c r="J95" i="100"/>
  <c r="I95" i="100" a="1"/>
  <c r="I95" i="100"/>
  <c r="H95" i="100" a="1"/>
  <c r="H95" i="100"/>
  <c r="G95" i="100" a="1"/>
  <c r="G95" i="100"/>
  <c r="F95" i="100" a="1"/>
  <c r="F95" i="100"/>
  <c r="E95" i="100" a="1"/>
  <c r="E95" i="100"/>
  <c r="D95" i="100" a="1"/>
  <c r="D95" i="100"/>
  <c r="T94" i="100" a="1"/>
  <c r="T94" i="100"/>
  <c r="S94" i="100" a="1"/>
  <c r="S94" i="100"/>
  <c r="R94" i="100" a="1"/>
  <c r="R94" i="100"/>
  <c r="Q94" i="100" a="1"/>
  <c r="Q94" i="100"/>
  <c r="P94" i="100" a="1"/>
  <c r="P94" i="100"/>
  <c r="O94" i="100" a="1"/>
  <c r="O94" i="100"/>
  <c r="N94" i="100" a="1"/>
  <c r="N94" i="100"/>
  <c r="M94" i="100" a="1"/>
  <c r="M94" i="100"/>
  <c r="L94" i="100" a="1"/>
  <c r="L94" i="100"/>
  <c r="K94" i="100" a="1"/>
  <c r="K94" i="100"/>
  <c r="J94" i="100" a="1"/>
  <c r="J94" i="100"/>
  <c r="I94" i="100" a="1"/>
  <c r="I94" i="100"/>
  <c r="H94" i="100" a="1"/>
  <c r="H94" i="100"/>
  <c r="G94" i="100" a="1"/>
  <c r="G94" i="100"/>
  <c r="F94" i="100" a="1"/>
  <c r="F94" i="100"/>
  <c r="E94" i="100" a="1"/>
  <c r="E94" i="100"/>
  <c r="D94" i="100" a="1"/>
  <c r="D94" i="100"/>
  <c r="T93" i="100" a="1"/>
  <c r="T93" i="100"/>
  <c r="S93" i="100" a="1"/>
  <c r="S93" i="100"/>
  <c r="R93" i="100" a="1"/>
  <c r="R93" i="100"/>
  <c r="Q93" i="100" a="1"/>
  <c r="Q93" i="100"/>
  <c r="P93" i="100" a="1"/>
  <c r="P93" i="100"/>
  <c r="O93" i="100" a="1"/>
  <c r="O93" i="100" s="1"/>
  <c r="N93" i="100" a="1"/>
  <c r="N93" i="100"/>
  <c r="M93" i="100" a="1"/>
  <c r="M93" i="100" s="1"/>
  <c r="L93" i="100" a="1"/>
  <c r="L93" i="100"/>
  <c r="K93" i="100" a="1"/>
  <c r="K93" i="100" s="1"/>
  <c r="J93" i="100" a="1"/>
  <c r="J93" i="100"/>
  <c r="I93" i="100" a="1"/>
  <c r="I93" i="100" s="1"/>
  <c r="H93" i="100" a="1"/>
  <c r="H93" i="100"/>
  <c r="G93" i="100" a="1"/>
  <c r="G93" i="100" s="1"/>
  <c r="F93" i="100" a="1"/>
  <c r="F93" i="100"/>
  <c r="E93" i="100" a="1"/>
  <c r="E93" i="100" s="1"/>
  <c r="D93" i="100" a="1"/>
  <c r="D93" i="100"/>
  <c r="T92" i="100"/>
  <c r="S92" i="100" a="1"/>
  <c r="S92" i="100" s="1"/>
  <c r="R92" i="100" a="1"/>
  <c r="R92" i="100" s="1"/>
  <c r="AM92" i="100" s="1"/>
  <c r="Q92" i="100" a="1"/>
  <c r="Q92" i="100" s="1"/>
  <c r="AL96" i="100" s="1"/>
  <c r="P92" i="100" a="1"/>
  <c r="P92" i="100" s="1"/>
  <c r="AK92" i="100" s="1"/>
  <c r="O92" i="100" a="1"/>
  <c r="O92" i="100" s="1"/>
  <c r="N92" i="100" a="1"/>
  <c r="N92" i="100" s="1"/>
  <c r="AI92" i="100" s="1"/>
  <c r="M92" i="100" a="1"/>
  <c r="M92" i="100" s="1"/>
  <c r="AH96" i="100" s="1"/>
  <c r="L92" i="100" a="1"/>
  <c r="L92" i="100" s="1"/>
  <c r="AG92" i="100" s="1"/>
  <c r="K92" i="100" a="1"/>
  <c r="K92" i="100" s="1"/>
  <c r="J92" i="100" a="1"/>
  <c r="J92" i="100" s="1"/>
  <c r="AE92" i="100" s="1"/>
  <c r="I92" i="100" a="1"/>
  <c r="I92" i="100" s="1"/>
  <c r="AD96" i="100" s="1"/>
  <c r="H92" i="100" a="1"/>
  <c r="H92" i="100" s="1"/>
  <c r="AC92" i="100" s="1"/>
  <c r="G92" i="100" a="1"/>
  <c r="G92" i="100" s="1"/>
  <c r="F92" i="100" a="1"/>
  <c r="F92" i="100" s="1"/>
  <c r="AA92" i="100" s="1"/>
  <c r="E92" i="100" a="1"/>
  <c r="E92" i="100" s="1"/>
  <c r="Z96" i="100" s="1"/>
  <c r="D92" i="100" a="1"/>
  <c r="D92" i="100" s="1"/>
  <c r="T91" i="100" a="1"/>
  <c r="T91" i="100" s="1"/>
  <c r="S91" i="100" a="1"/>
  <c r="S91" i="100" s="1"/>
  <c r="R91" i="100" a="1"/>
  <c r="R91" i="100" s="1"/>
  <c r="Q91" i="100" a="1"/>
  <c r="Q91" i="100" s="1"/>
  <c r="P91" i="100" a="1"/>
  <c r="P91" i="100" s="1"/>
  <c r="O91" i="100" a="1"/>
  <c r="O91" i="100" s="1"/>
  <c r="N91" i="100" a="1"/>
  <c r="N91" i="100" s="1"/>
  <c r="M91" i="100" a="1"/>
  <c r="M91" i="100" s="1"/>
  <c r="L91" i="100" a="1"/>
  <c r="L91" i="100" s="1"/>
  <c r="K91" i="100" a="1"/>
  <c r="K91" i="100" s="1"/>
  <c r="J91" i="100" a="1"/>
  <c r="J91" i="100" s="1"/>
  <c r="I91" i="100" a="1"/>
  <c r="I91" i="100" s="1"/>
  <c r="H91" i="100" a="1"/>
  <c r="H91" i="100" s="1"/>
  <c r="G91" i="100" a="1"/>
  <c r="G91" i="100" s="1"/>
  <c r="F91" i="100" a="1"/>
  <c r="F91" i="100" s="1"/>
  <c r="E91" i="100" a="1"/>
  <c r="E91" i="100" s="1"/>
  <c r="D91" i="100" a="1"/>
  <c r="D91"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c r="S89" i="100" a="1"/>
  <c r="S89" i="100"/>
  <c r="R89" i="100" a="1"/>
  <c r="R89" i="100"/>
  <c r="Q89" i="100" a="1"/>
  <c r="Q89" i="100"/>
  <c r="P89" i="100" a="1"/>
  <c r="P89" i="100"/>
  <c r="O89" i="100" a="1"/>
  <c r="O89" i="100"/>
  <c r="N89" i="100" a="1"/>
  <c r="N89" i="100"/>
  <c r="M89" i="100" a="1"/>
  <c r="M89" i="100"/>
  <c r="L89" i="100" a="1"/>
  <c r="L89" i="100"/>
  <c r="K89" i="100" a="1"/>
  <c r="K89" i="100"/>
  <c r="J89" i="100" a="1"/>
  <c r="J89" i="100"/>
  <c r="I89" i="100" a="1"/>
  <c r="I89" i="100"/>
  <c r="H89" i="100" a="1"/>
  <c r="H89" i="100"/>
  <c r="G89" i="100" a="1"/>
  <c r="G89" i="100"/>
  <c r="F89" i="100" a="1"/>
  <c r="F89" i="100"/>
  <c r="E89" i="100" a="1"/>
  <c r="E89" i="100"/>
  <c r="D89" i="100" a="1"/>
  <c r="D89" i="100"/>
  <c r="T88" i="100" a="1"/>
  <c r="T88" i="100" s="1"/>
  <c r="AO88" i="100" s="1"/>
  <c r="S88" i="100" a="1"/>
  <c r="S88" i="100" s="1"/>
  <c r="R88" i="100" a="1"/>
  <c r="R88" i="100" s="1"/>
  <c r="AM88" i="100" s="1"/>
  <c r="Q88" i="100" a="1"/>
  <c r="Q88" i="100" s="1"/>
  <c r="P88" i="100" a="1"/>
  <c r="P88" i="100" s="1"/>
  <c r="AK88" i="100" s="1"/>
  <c r="O88" i="100" a="1"/>
  <c r="O88" i="100" s="1"/>
  <c r="N88" i="100" a="1"/>
  <c r="N88" i="100" s="1"/>
  <c r="AI88" i="100" s="1"/>
  <c r="M88" i="100" a="1"/>
  <c r="M88" i="100" s="1"/>
  <c r="L88" i="100" a="1"/>
  <c r="L88" i="100" s="1"/>
  <c r="AG88" i="100" s="1"/>
  <c r="K88" i="100" a="1"/>
  <c r="K88" i="100" s="1"/>
  <c r="J88" i="100" a="1"/>
  <c r="J88" i="100" s="1"/>
  <c r="AE88" i="100" s="1"/>
  <c r="I88" i="100" a="1"/>
  <c r="I88" i="100" s="1"/>
  <c r="H88" i="100" a="1"/>
  <c r="H88" i="100" s="1"/>
  <c r="AC88" i="100" s="1"/>
  <c r="G88" i="100" a="1"/>
  <c r="G88" i="100" s="1"/>
  <c r="F88" i="100" a="1"/>
  <c r="F88" i="100" s="1"/>
  <c r="AA88" i="100" s="1"/>
  <c r="E88" i="100" a="1"/>
  <c r="E88" i="100" s="1"/>
  <c r="D88" i="100" a="1"/>
  <c r="D88" i="100" s="1"/>
  <c r="Y88" i="100" s="1"/>
  <c r="T87" i="100"/>
  <c r="S87" i="100" a="1"/>
  <c r="S87" i="100" s="1"/>
  <c r="R87" i="100" a="1"/>
  <c r="R87" i="100" s="1"/>
  <c r="Q87" i="100" a="1"/>
  <c r="Q87" i="100" s="1"/>
  <c r="AL89" i="100" s="1"/>
  <c r="P87" i="100" a="1"/>
  <c r="P87" i="100" s="1"/>
  <c r="O87" i="100" a="1"/>
  <c r="O87" i="100" s="1"/>
  <c r="N87" i="100" a="1"/>
  <c r="N87" i="100" s="1"/>
  <c r="M87" i="100" a="1"/>
  <c r="M87" i="100" s="1"/>
  <c r="L87" i="100" a="1"/>
  <c r="L87" i="100" s="1"/>
  <c r="K87" i="100" a="1"/>
  <c r="K87" i="100" s="1"/>
  <c r="J87" i="100" a="1"/>
  <c r="J87" i="100" s="1"/>
  <c r="I87" i="100" a="1"/>
  <c r="I87" i="100" s="1"/>
  <c r="AD89" i="100" s="1"/>
  <c r="H87" i="100" a="1"/>
  <c r="H87" i="100" s="1"/>
  <c r="G87" i="100" a="1"/>
  <c r="G87" i="100" s="1"/>
  <c r="AB89" i="100" s="1"/>
  <c r="F87" i="100" a="1"/>
  <c r="F87" i="100" s="1"/>
  <c r="E87" i="100" a="1"/>
  <c r="E87" i="100" s="1"/>
  <c r="Z89" i="100" s="1"/>
  <c r="D87" i="100" a="1"/>
  <c r="D87" i="100" s="1"/>
  <c r="T86" i="100" a="1"/>
  <c r="T86" i="100" s="1"/>
  <c r="S86" i="100" a="1"/>
  <c r="S86" i="100" s="1"/>
  <c r="R86" i="100" a="1"/>
  <c r="R86" i="100" s="1"/>
  <c r="Q86" i="100" a="1"/>
  <c r="Q86" i="100" s="1"/>
  <c r="P86" i="100" a="1"/>
  <c r="P86" i="100" s="1"/>
  <c r="O86" i="100" a="1"/>
  <c r="O86" i="100" s="1"/>
  <c r="N86" i="100" a="1"/>
  <c r="N86" i="100" s="1"/>
  <c r="M86" i="100" a="1"/>
  <c r="M86" i="100" s="1"/>
  <c r="L86" i="100" a="1"/>
  <c r="L86" i="100" s="1"/>
  <c r="K86" i="100" a="1"/>
  <c r="K86" i="100" s="1"/>
  <c r="J86" i="100" a="1"/>
  <c r="J86" i="100" s="1"/>
  <c r="I86" i="100" a="1"/>
  <c r="I86" i="100" s="1"/>
  <c r="H86" i="100" a="1"/>
  <c r="H86" i="100" s="1"/>
  <c r="G86" i="100" a="1"/>
  <c r="G86" i="100" s="1"/>
  <c r="F86" i="100" a="1"/>
  <c r="F86" i="100" s="1"/>
  <c r="E86" i="100" a="1"/>
  <c r="E86" i="100" s="1"/>
  <c r="D86" i="100" a="1"/>
  <c r="D86"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AN83" i="100" s="1"/>
  <c r="R83" i="100" a="1"/>
  <c r="R83" i="100" s="1"/>
  <c r="Q83" i="100" a="1"/>
  <c r="Q83" i="100" s="1"/>
  <c r="AL83" i="100" s="1"/>
  <c r="P83" i="100" a="1"/>
  <c r="P83" i="100" s="1"/>
  <c r="O83" i="100" a="1"/>
  <c r="O83" i="100" s="1"/>
  <c r="AJ83" i="100" s="1"/>
  <c r="N83" i="100" a="1"/>
  <c r="N83" i="100" s="1"/>
  <c r="M83" i="100" a="1"/>
  <c r="M83" i="100" s="1"/>
  <c r="AH83" i="100" s="1"/>
  <c r="L83" i="100" a="1"/>
  <c r="L83" i="100" s="1"/>
  <c r="K83" i="100" a="1"/>
  <c r="K83" i="100" s="1"/>
  <c r="AF83" i="100" s="1"/>
  <c r="J83" i="100" a="1"/>
  <c r="J83" i="100" s="1"/>
  <c r="I83" i="100" a="1"/>
  <c r="I83" i="100" s="1"/>
  <c r="AD83" i="100" s="1"/>
  <c r="H83" i="100" a="1"/>
  <c r="H83" i="100" s="1"/>
  <c r="G83" i="100" a="1"/>
  <c r="G83" i="100" s="1"/>
  <c r="AB83" i="100" s="1"/>
  <c r="F83" i="100" a="1"/>
  <c r="F83" i="100" s="1"/>
  <c r="E83" i="100" a="1"/>
  <c r="E83" i="100" s="1"/>
  <c r="Z83" i="100" s="1"/>
  <c r="D83" i="100" a="1"/>
  <c r="D83" i="100" s="1"/>
  <c r="T82" i="100"/>
  <c r="AO83" i="100" s="1"/>
  <c r="S82" i="100" a="1"/>
  <c r="S82" i="100"/>
  <c r="AN82" i="100" s="1"/>
  <c r="R82" i="100" a="1"/>
  <c r="R82" i="100"/>
  <c r="AM82" i="100" s="1"/>
  <c r="Q82" i="100" a="1"/>
  <c r="Q82" i="100"/>
  <c r="P82" i="100" a="1"/>
  <c r="P82" i="100"/>
  <c r="O82" i="100" a="1"/>
  <c r="O82" i="100"/>
  <c r="AJ82" i="100" s="1"/>
  <c r="N82" i="100" a="1"/>
  <c r="N82" i="100"/>
  <c r="AI82" i="100" s="1"/>
  <c r="M82" i="100" a="1"/>
  <c r="M82" i="100"/>
  <c r="L82" i="100" a="1"/>
  <c r="L82" i="100"/>
  <c r="K82" i="100" a="1"/>
  <c r="K82" i="100"/>
  <c r="J82" i="100" a="1"/>
  <c r="J82" i="100"/>
  <c r="AE82" i="100" s="1"/>
  <c r="I82" i="100" a="1"/>
  <c r="I82" i="100"/>
  <c r="H82" i="100" a="1"/>
  <c r="H82" i="100"/>
  <c r="G82" i="100" a="1"/>
  <c r="G82" i="100"/>
  <c r="F82" i="100" a="1"/>
  <c r="F82" i="100"/>
  <c r="AA82" i="100" s="1"/>
  <c r="E82" i="100" a="1"/>
  <c r="E82" i="100"/>
  <c r="D82" i="100" a="1"/>
  <c r="D82" i="100"/>
  <c r="Y83" i="100" s="1"/>
  <c r="T81" i="100" a="1"/>
  <c r="T81" i="100"/>
  <c r="S81" i="100" a="1"/>
  <c r="S81" i="100"/>
  <c r="R81" i="100" a="1"/>
  <c r="R81" i="100"/>
  <c r="Q81" i="100" a="1"/>
  <c r="Q81" i="100"/>
  <c r="P81" i="100" a="1"/>
  <c r="P81" i="100"/>
  <c r="O81" i="100" a="1"/>
  <c r="O81" i="100"/>
  <c r="N81" i="100" a="1"/>
  <c r="N81" i="100"/>
  <c r="M81" i="100" a="1"/>
  <c r="M81" i="100"/>
  <c r="L81" i="100" a="1"/>
  <c r="L81" i="100"/>
  <c r="K81" i="100" a="1"/>
  <c r="K81" i="100"/>
  <c r="J81" i="100" a="1"/>
  <c r="J81" i="100"/>
  <c r="I81" i="100" a="1"/>
  <c r="I81" i="100"/>
  <c r="H81" i="100" a="1"/>
  <c r="H81" i="100"/>
  <c r="G81" i="100" a="1"/>
  <c r="G81" i="100"/>
  <c r="F81" i="100" a="1"/>
  <c r="F81" i="100"/>
  <c r="E81" i="100" a="1"/>
  <c r="E81" i="100"/>
  <c r="D81" i="100" a="1"/>
  <c r="D81" i="100"/>
  <c r="T80" i="100" a="1"/>
  <c r="T80" i="100"/>
  <c r="S80" i="100" a="1"/>
  <c r="S80" i="100"/>
  <c r="R80" i="100" a="1"/>
  <c r="R80" i="100"/>
  <c r="Q80" i="100" a="1"/>
  <c r="Q80" i="100"/>
  <c r="P80" i="100" a="1"/>
  <c r="P80" i="100"/>
  <c r="O80" i="100" a="1"/>
  <c r="O80" i="100"/>
  <c r="N80" i="100" a="1"/>
  <c r="N80" i="100"/>
  <c r="M80" i="100" a="1"/>
  <c r="M80" i="100"/>
  <c r="L80" i="100" a="1"/>
  <c r="L80" i="100"/>
  <c r="K80" i="100" a="1"/>
  <c r="K80" i="100"/>
  <c r="J80" i="100" a="1"/>
  <c r="J80" i="100"/>
  <c r="I80" i="100" a="1"/>
  <c r="I80" i="100"/>
  <c r="H80" i="100" a="1"/>
  <c r="H80" i="100"/>
  <c r="G80" i="100" a="1"/>
  <c r="G80" i="100"/>
  <c r="F80" i="100" a="1"/>
  <c r="F80" i="100"/>
  <c r="E80" i="100" a="1"/>
  <c r="E80" i="100"/>
  <c r="D80" i="100" a="1"/>
  <c r="D80" i="100"/>
  <c r="T79" i="100" a="1"/>
  <c r="T79" i="100"/>
  <c r="S79" i="100" a="1"/>
  <c r="S79" i="100"/>
  <c r="R79" i="100" a="1"/>
  <c r="R79" i="100"/>
  <c r="Q79" i="100" a="1"/>
  <c r="Q79" i="100"/>
  <c r="P79" i="100" a="1"/>
  <c r="P79" i="100"/>
  <c r="O79" i="100" a="1"/>
  <c r="O79" i="100"/>
  <c r="N79" i="100" a="1"/>
  <c r="N79" i="100"/>
  <c r="M79" i="100" a="1"/>
  <c r="M79" i="100"/>
  <c r="L79" i="100" a="1"/>
  <c r="L79" i="100"/>
  <c r="K79" i="100" a="1"/>
  <c r="K79" i="100"/>
  <c r="J79" i="100" a="1"/>
  <c r="J79" i="100"/>
  <c r="I79" i="100" a="1"/>
  <c r="I79" i="100"/>
  <c r="H79" i="100" a="1"/>
  <c r="H79" i="100"/>
  <c r="G79" i="100" a="1"/>
  <c r="G79" i="100"/>
  <c r="F79" i="100" a="1"/>
  <c r="F79" i="100"/>
  <c r="E79" i="100" a="1"/>
  <c r="E79" i="100"/>
  <c r="D79" i="100" a="1"/>
  <c r="D79" i="100"/>
  <c r="T78" i="100" a="1"/>
  <c r="T78" i="100" s="1"/>
  <c r="S78" i="100" a="1"/>
  <c r="S78" i="100" s="1"/>
  <c r="AN78" i="100" s="1"/>
  <c r="R78" i="100" a="1"/>
  <c r="R78" i="100" s="1"/>
  <c r="Q78" i="100" a="1"/>
  <c r="Q78" i="100" s="1"/>
  <c r="P78" i="100" a="1"/>
  <c r="P78" i="100" s="1"/>
  <c r="O78" i="100" a="1"/>
  <c r="O78" i="100" s="1"/>
  <c r="AJ78" i="100" s="1"/>
  <c r="N78" i="100" a="1"/>
  <c r="N78" i="100" s="1"/>
  <c r="M78" i="100" a="1"/>
  <c r="M78" i="100" s="1"/>
  <c r="L78" i="100" a="1"/>
  <c r="L78" i="100" s="1"/>
  <c r="K78" i="100" a="1"/>
  <c r="K78" i="100" s="1"/>
  <c r="AF78" i="100" s="1"/>
  <c r="J78" i="100" a="1"/>
  <c r="J78" i="100" s="1"/>
  <c r="I78" i="100" a="1"/>
  <c r="I78" i="100" s="1"/>
  <c r="H78" i="100" a="1"/>
  <c r="H78" i="100" s="1"/>
  <c r="AC78" i="100" s="1"/>
  <c r="G78" i="100" a="1"/>
  <c r="G78" i="100" s="1"/>
  <c r="AB78" i="100" s="1"/>
  <c r="F78" i="100" a="1"/>
  <c r="F78" i="100" s="1"/>
  <c r="E78" i="100" a="1"/>
  <c r="E78" i="100" s="1"/>
  <c r="D78" i="100" a="1"/>
  <c r="D78" i="100" s="1"/>
  <c r="T77" i="100"/>
  <c r="S77" i="100" a="1"/>
  <c r="S77" i="100"/>
  <c r="R77" i="100" a="1"/>
  <c r="R77" i="100"/>
  <c r="AM77" i="100" s="1"/>
  <c r="Q77" i="100" a="1"/>
  <c r="Q77" i="100"/>
  <c r="P77" i="100" a="1"/>
  <c r="P77" i="100"/>
  <c r="AK80" i="100" s="1"/>
  <c r="O77" i="100" a="1"/>
  <c r="O77" i="100"/>
  <c r="N77" i="100" a="1"/>
  <c r="N77" i="100"/>
  <c r="AI77" i="100" s="1"/>
  <c r="M77" i="100" a="1"/>
  <c r="M77" i="100"/>
  <c r="L77" i="100" a="1"/>
  <c r="L77" i="100"/>
  <c r="K77" i="100" a="1"/>
  <c r="K77" i="100"/>
  <c r="J77" i="100" a="1"/>
  <c r="J77" i="100"/>
  <c r="I77" i="100" a="1"/>
  <c r="I77" i="100"/>
  <c r="H77" i="100" a="1"/>
  <c r="H77" i="100"/>
  <c r="G77" i="100" a="1"/>
  <c r="G77" i="100"/>
  <c r="F77" i="100" a="1"/>
  <c r="F77" i="100"/>
  <c r="E77" i="100" a="1"/>
  <c r="E77" i="100"/>
  <c r="D77" i="100" a="1"/>
  <c r="D77" i="100"/>
  <c r="T72" i="100"/>
  <c r="S72" i="100"/>
  <c r="R72" i="100"/>
  <c r="Q72" i="100"/>
  <c r="P72" i="100"/>
  <c r="O72" i="100"/>
  <c r="N72" i="100"/>
  <c r="M72" i="100"/>
  <c r="L72" i="100"/>
  <c r="K72" i="100"/>
  <c r="J72" i="100"/>
  <c r="I72" i="100"/>
  <c r="H72" i="100"/>
  <c r="G72" i="100"/>
  <c r="F72" i="100"/>
  <c r="E72" i="100"/>
  <c r="D72" i="100"/>
  <c r="AO71" i="100"/>
  <c r="AK71" i="100"/>
  <c r="AG71" i="100"/>
  <c r="AC71" i="100"/>
  <c r="Y71" i="100"/>
  <c r="T71" i="100"/>
  <c r="S71" i="100"/>
  <c r="R71" i="100"/>
  <c r="AM71" i="100" s="1"/>
  <c r="Q71" i="100"/>
  <c r="P71" i="100"/>
  <c r="O71" i="100"/>
  <c r="N71" i="100"/>
  <c r="AI71" i="100" s="1"/>
  <c r="M71" i="100"/>
  <c r="L71" i="100"/>
  <c r="K71" i="100"/>
  <c r="J71" i="100"/>
  <c r="AE71" i="100" s="1"/>
  <c r="I71" i="100"/>
  <c r="H71" i="100"/>
  <c r="G71" i="100"/>
  <c r="F71" i="100"/>
  <c r="AA71" i="100" s="1"/>
  <c r="E71" i="100"/>
  <c r="D71" i="100"/>
  <c r="AO70" i="100"/>
  <c r="AK70" i="100"/>
  <c r="AG70" i="100"/>
  <c r="AC70" i="100"/>
  <c r="Y70" i="100"/>
  <c r="T70" i="100"/>
  <c r="S70" i="100"/>
  <c r="R70" i="100"/>
  <c r="Q70" i="100"/>
  <c r="P70" i="100"/>
  <c r="O70" i="100"/>
  <c r="N70" i="100"/>
  <c r="AI70" i="100" s="1"/>
  <c r="M70" i="100"/>
  <c r="L70" i="100"/>
  <c r="K70" i="100"/>
  <c r="J70" i="100"/>
  <c r="I70" i="100"/>
  <c r="H70" i="100"/>
  <c r="G70" i="100"/>
  <c r="F70" i="100"/>
  <c r="AA70" i="100" s="1"/>
  <c r="E70" i="100"/>
  <c r="D70" i="100"/>
  <c r="AO69" i="100"/>
  <c r="AK69" i="100"/>
  <c r="AG69" i="100"/>
  <c r="AC69" i="100"/>
  <c r="Y69" i="100"/>
  <c r="T69" i="100"/>
  <c r="S69" i="100"/>
  <c r="R69" i="100"/>
  <c r="AM69" i="100" s="1"/>
  <c r="Q69" i="100"/>
  <c r="P69" i="100"/>
  <c r="O69" i="100"/>
  <c r="N69" i="100"/>
  <c r="AI69" i="100" s="1"/>
  <c r="M69" i="100"/>
  <c r="L69" i="100"/>
  <c r="K69" i="100"/>
  <c r="J69" i="100"/>
  <c r="AE69" i="100" s="1"/>
  <c r="I69" i="100"/>
  <c r="H69" i="100"/>
  <c r="G69" i="100"/>
  <c r="F69" i="100"/>
  <c r="AA69" i="100" s="1"/>
  <c r="E69" i="100"/>
  <c r="D69" i="100"/>
  <c r="AO68" i="100"/>
  <c r="AK68" i="100"/>
  <c r="AG68" i="100"/>
  <c r="AC68" i="100"/>
  <c r="Y68" i="100"/>
  <c r="T68" i="100"/>
  <c r="S68" i="100"/>
  <c r="R68" i="100"/>
  <c r="Q68" i="100"/>
  <c r="P68" i="100"/>
  <c r="O68" i="100"/>
  <c r="N68" i="100"/>
  <c r="AI68" i="100" s="1"/>
  <c r="M68" i="100"/>
  <c r="L68" i="100"/>
  <c r="K68" i="100"/>
  <c r="J68" i="100"/>
  <c r="I68" i="100"/>
  <c r="H68" i="100"/>
  <c r="G68" i="100"/>
  <c r="F68" i="100"/>
  <c r="AA68" i="100" s="1"/>
  <c r="E68" i="100"/>
  <c r="D68" i="100"/>
  <c r="AO67" i="100"/>
  <c r="AK67" i="100"/>
  <c r="AG67" i="100"/>
  <c r="AC67" i="100"/>
  <c r="Y67" i="100"/>
  <c r="T67" i="100"/>
  <c r="S67" i="100"/>
  <c r="AN67" i="100" s="1"/>
  <c r="R67" i="100"/>
  <c r="AM67" i="100" s="1"/>
  <c r="Q67" i="100"/>
  <c r="P67" i="100"/>
  <c r="O67" i="100"/>
  <c r="AJ67" i="100" s="1"/>
  <c r="N67" i="100"/>
  <c r="AI67" i="100" s="1"/>
  <c r="M67" i="100"/>
  <c r="L67" i="100"/>
  <c r="K67" i="100"/>
  <c r="AF67" i="100" s="1"/>
  <c r="J67" i="100"/>
  <c r="AE67" i="100" s="1"/>
  <c r="I67" i="100"/>
  <c r="H67" i="100"/>
  <c r="G67" i="100"/>
  <c r="AB67" i="100" s="1"/>
  <c r="F67" i="100"/>
  <c r="AA67" i="100" s="1"/>
  <c r="E67" i="100"/>
  <c r="D67" i="100"/>
  <c r="AO66" i="100"/>
  <c r="AK66" i="100"/>
  <c r="AG66" i="100"/>
  <c r="AC66" i="100"/>
  <c r="Y66" i="100"/>
  <c r="T66" i="100"/>
  <c r="S66" i="100"/>
  <c r="R66" i="100"/>
  <c r="Q66" i="100"/>
  <c r="P66" i="100"/>
  <c r="O66" i="100"/>
  <c r="N66" i="100"/>
  <c r="AI66" i="100" s="1"/>
  <c r="M66" i="100"/>
  <c r="L66" i="100"/>
  <c r="K66" i="100"/>
  <c r="J66" i="100"/>
  <c r="I66" i="100"/>
  <c r="H66" i="100"/>
  <c r="G66" i="100"/>
  <c r="F66" i="100"/>
  <c r="AA66" i="100" s="1"/>
  <c r="E66" i="100"/>
  <c r="D66" i="100"/>
  <c r="AO65" i="100"/>
  <c r="AK65" i="100"/>
  <c r="AG65" i="100"/>
  <c r="AC65" i="100"/>
  <c r="Y65" i="100"/>
  <c r="T65" i="100"/>
  <c r="S65" i="100"/>
  <c r="R65" i="100"/>
  <c r="AM65" i="100" s="1"/>
  <c r="Q65" i="100"/>
  <c r="P65" i="100"/>
  <c r="O65" i="100"/>
  <c r="N65" i="100"/>
  <c r="AI65" i="100" s="1"/>
  <c r="M65" i="100"/>
  <c r="L65" i="100"/>
  <c r="K65" i="100"/>
  <c r="J65" i="100"/>
  <c r="AE65" i="100" s="1"/>
  <c r="I65" i="100"/>
  <c r="H65" i="100"/>
  <c r="G65" i="100"/>
  <c r="F65" i="100"/>
  <c r="AA65" i="100" s="1"/>
  <c r="E65" i="100"/>
  <c r="D65" i="100"/>
  <c r="AO64" i="100"/>
  <c r="AK64" i="100"/>
  <c r="AG64" i="100"/>
  <c r="AC64" i="100"/>
  <c r="Y64" i="100"/>
  <c r="T64" i="100"/>
  <c r="S64" i="100"/>
  <c r="R64" i="100"/>
  <c r="Q64" i="100"/>
  <c r="P64" i="100"/>
  <c r="O64" i="100"/>
  <c r="N64" i="100"/>
  <c r="AI64" i="100" s="1"/>
  <c r="M64" i="100"/>
  <c r="L64" i="100"/>
  <c r="K64" i="100"/>
  <c r="J64" i="100"/>
  <c r="I64" i="100"/>
  <c r="H64" i="100"/>
  <c r="G64" i="100"/>
  <c r="F64" i="100"/>
  <c r="AA64" i="100" s="1"/>
  <c r="E64" i="100"/>
  <c r="D64" i="100"/>
  <c r="AO63" i="100"/>
  <c r="AK63" i="100"/>
  <c r="AG63" i="100"/>
  <c r="AC63" i="100"/>
  <c r="Y63" i="100"/>
  <c r="T63" i="100"/>
  <c r="S63" i="100"/>
  <c r="R63" i="100"/>
  <c r="AM63" i="100" s="1"/>
  <c r="Q63" i="100"/>
  <c r="P63" i="100"/>
  <c r="O63" i="100"/>
  <c r="N63" i="100"/>
  <c r="AI63" i="100" s="1"/>
  <c r="M63" i="100"/>
  <c r="L63" i="100"/>
  <c r="K63" i="100"/>
  <c r="J63" i="100"/>
  <c r="AE63" i="100" s="1"/>
  <c r="I63" i="100"/>
  <c r="H63" i="100"/>
  <c r="G63" i="100"/>
  <c r="F63" i="100"/>
  <c r="AA63" i="100" s="1"/>
  <c r="E63" i="100"/>
  <c r="D63" i="100"/>
  <c r="AO62" i="100"/>
  <c r="AM62" i="100"/>
  <c r="AK62" i="100"/>
  <c r="AG62" i="100"/>
  <c r="AE62" i="100"/>
  <c r="AC62" i="100"/>
  <c r="Y62" i="100"/>
  <c r="T62" i="100"/>
  <c r="S62" i="100"/>
  <c r="R62" i="100"/>
  <c r="Q62" i="100"/>
  <c r="P62" i="100"/>
  <c r="O62" i="100"/>
  <c r="N62" i="100"/>
  <c r="AI62" i="100" s="1"/>
  <c r="M62" i="100"/>
  <c r="L62" i="100"/>
  <c r="K62" i="100"/>
  <c r="J62" i="100"/>
  <c r="I62" i="100"/>
  <c r="H62" i="100"/>
  <c r="G62" i="100"/>
  <c r="F62" i="100"/>
  <c r="AA62" i="100" s="1"/>
  <c r="E62" i="100"/>
  <c r="D62" i="100"/>
  <c r="AO61" i="100"/>
  <c r="AK61" i="100"/>
  <c r="AG61" i="100"/>
  <c r="AC61" i="100"/>
  <c r="Y61" i="100"/>
  <c r="T61" i="100"/>
  <c r="S61" i="100"/>
  <c r="R61" i="100"/>
  <c r="Q61" i="100"/>
  <c r="P61" i="100"/>
  <c r="O61" i="100"/>
  <c r="N61" i="100"/>
  <c r="AI61" i="100" s="1"/>
  <c r="M61" i="100"/>
  <c r="L61" i="100"/>
  <c r="K61" i="100"/>
  <c r="J61" i="100"/>
  <c r="AE61" i="100" s="1"/>
  <c r="I61" i="100"/>
  <c r="H61" i="100"/>
  <c r="G61" i="100"/>
  <c r="F61" i="100"/>
  <c r="AA61" i="100" s="1"/>
  <c r="E61" i="100"/>
  <c r="D61" i="100"/>
  <c r="AO60" i="100"/>
  <c r="AK60" i="100"/>
  <c r="AG60" i="100"/>
  <c r="AC60" i="100"/>
  <c r="Y60" i="100"/>
  <c r="T60" i="100"/>
  <c r="S60" i="100"/>
  <c r="R60" i="100"/>
  <c r="AM60" i="100" s="1"/>
  <c r="Q60" i="100"/>
  <c r="P60" i="100"/>
  <c r="O60" i="100"/>
  <c r="N60" i="100"/>
  <c r="AI60" i="100" s="1"/>
  <c r="M60" i="100"/>
  <c r="L60" i="100"/>
  <c r="K60" i="100"/>
  <c r="J60" i="100"/>
  <c r="AE60" i="100" s="1"/>
  <c r="I60" i="100"/>
  <c r="H60" i="100"/>
  <c r="G60" i="100"/>
  <c r="F60" i="100"/>
  <c r="AA60" i="100" s="1"/>
  <c r="E60" i="100"/>
  <c r="D60" i="100"/>
  <c r="AO59" i="100"/>
  <c r="AK59" i="100"/>
  <c r="AG59" i="100"/>
  <c r="AC59" i="100"/>
  <c r="Y59" i="100"/>
  <c r="T59" i="100"/>
  <c r="S59" i="100"/>
  <c r="R59" i="100"/>
  <c r="Q59" i="100"/>
  <c r="P59" i="100"/>
  <c r="O59" i="100"/>
  <c r="N59" i="100"/>
  <c r="AI59" i="100" s="1"/>
  <c r="M59" i="100"/>
  <c r="L59" i="100"/>
  <c r="K59" i="100"/>
  <c r="J59" i="100"/>
  <c r="I59" i="100"/>
  <c r="H59" i="100"/>
  <c r="G59" i="100"/>
  <c r="F59" i="100"/>
  <c r="AA59" i="100" s="1"/>
  <c r="E59" i="100"/>
  <c r="D59" i="100"/>
  <c r="AO58" i="100"/>
  <c r="AK58" i="100"/>
  <c r="AG58" i="100"/>
  <c r="AC58" i="100"/>
  <c r="Y58" i="100"/>
  <c r="T58" i="100"/>
  <c r="S58" i="100"/>
  <c r="R58" i="100"/>
  <c r="AM59" i="100" s="1"/>
  <c r="Q58" i="100"/>
  <c r="P58" i="100"/>
  <c r="O58" i="100"/>
  <c r="N58" i="100"/>
  <c r="AI58" i="100" s="1"/>
  <c r="M58" i="100"/>
  <c r="L58" i="100"/>
  <c r="K58" i="100"/>
  <c r="J58" i="100"/>
  <c r="AE59" i="100" s="1"/>
  <c r="I58" i="100"/>
  <c r="H58" i="100"/>
  <c r="G58" i="100"/>
  <c r="F58" i="100"/>
  <c r="AA58" i="100" s="1"/>
  <c r="E58" i="100"/>
  <c r="D58" i="100"/>
  <c r="AO57" i="100"/>
  <c r="AM57" i="100"/>
  <c r="AK57" i="100"/>
  <c r="AG57" i="100"/>
  <c r="AE57" i="100"/>
  <c r="AC57" i="100"/>
  <c r="Y57" i="100"/>
  <c r="T57" i="100"/>
  <c r="S57" i="100"/>
  <c r="AN57" i="100" s="1"/>
  <c r="R57" i="100"/>
  <c r="AM61" i="100" s="1"/>
  <c r="Q57" i="100"/>
  <c r="P57" i="100"/>
  <c r="O57" i="100"/>
  <c r="AJ57" i="100" s="1"/>
  <c r="N57" i="100"/>
  <c r="AI57" i="100" s="1"/>
  <c r="M57" i="100"/>
  <c r="L57" i="100"/>
  <c r="K57" i="100"/>
  <c r="AF57" i="100" s="1"/>
  <c r="J57" i="100"/>
  <c r="I57" i="100"/>
  <c r="H57" i="100"/>
  <c r="G57" i="100"/>
  <c r="AB57" i="100" s="1"/>
  <c r="F57" i="100"/>
  <c r="AA57" i="100" s="1"/>
  <c r="E57" i="100"/>
  <c r="D57" i="100"/>
  <c r="AO56" i="100"/>
  <c r="Y56" i="100"/>
  <c r="T56" i="100"/>
  <c r="S56" i="100"/>
  <c r="R56" i="100"/>
  <c r="Q56" i="100"/>
  <c r="P56" i="100"/>
  <c r="AK56" i="100" s="1"/>
  <c r="O56" i="100"/>
  <c r="N56" i="100"/>
  <c r="M56" i="100"/>
  <c r="L56" i="100"/>
  <c r="K56" i="100"/>
  <c r="J56" i="100"/>
  <c r="I56" i="100"/>
  <c r="H56" i="100"/>
  <c r="G56" i="100"/>
  <c r="F56" i="100"/>
  <c r="E56" i="100"/>
  <c r="D56" i="100"/>
  <c r="AG55" i="100"/>
  <c r="T55" i="100"/>
  <c r="S55" i="100"/>
  <c r="R55" i="100"/>
  <c r="Q55" i="100"/>
  <c r="P55" i="100"/>
  <c r="AK55" i="100" s="1"/>
  <c r="O55" i="100"/>
  <c r="N55" i="100"/>
  <c r="M55" i="100"/>
  <c r="L55" i="100"/>
  <c r="K55" i="100"/>
  <c r="J55" i="100"/>
  <c r="I55" i="100"/>
  <c r="H55" i="100"/>
  <c r="AC55" i="100" s="1"/>
  <c r="G55" i="100"/>
  <c r="F55" i="100"/>
  <c r="E55" i="100"/>
  <c r="D55" i="100"/>
  <c r="AO54" i="100"/>
  <c r="Y54" i="100"/>
  <c r="T54" i="100"/>
  <c r="S54" i="100"/>
  <c r="R54" i="100"/>
  <c r="Q54" i="100"/>
  <c r="P54" i="100"/>
  <c r="AK54" i="100" s="1"/>
  <c r="O54" i="100"/>
  <c r="N54" i="100"/>
  <c r="M54" i="100"/>
  <c r="L54" i="100"/>
  <c r="K54" i="100"/>
  <c r="J54" i="100"/>
  <c r="I54" i="100"/>
  <c r="AD54" i="100" s="1"/>
  <c r="H54" i="100"/>
  <c r="G54" i="100"/>
  <c r="F54" i="100"/>
  <c r="E54" i="100"/>
  <c r="Z54" i="100" s="1"/>
  <c r="D54" i="100"/>
  <c r="AG53" i="100"/>
  <c r="T53" i="100"/>
  <c r="S53" i="100"/>
  <c r="AN53" i="100" s="1"/>
  <c r="R53" i="100"/>
  <c r="Q53" i="100"/>
  <c r="P53" i="100"/>
  <c r="O53" i="100"/>
  <c r="AJ53" i="100" s="1"/>
  <c r="N53" i="100"/>
  <c r="M53" i="100"/>
  <c r="L53" i="100"/>
  <c r="K53" i="100"/>
  <c r="AF53" i="100" s="1"/>
  <c r="J53" i="100"/>
  <c r="I53" i="100"/>
  <c r="H53" i="100"/>
  <c r="G53" i="100"/>
  <c r="AB53" i="100" s="1"/>
  <c r="F53" i="100"/>
  <c r="E53" i="100"/>
  <c r="D53" i="100"/>
  <c r="AO52" i="100"/>
  <c r="T52" i="100"/>
  <c r="AO55" i="100" s="1"/>
  <c r="S52" i="100"/>
  <c r="R52" i="100"/>
  <c r="Q52" i="100"/>
  <c r="P52" i="100"/>
  <c r="AK52" i="100" s="1"/>
  <c r="O52" i="100"/>
  <c r="N52" i="100"/>
  <c r="M52" i="100"/>
  <c r="L52" i="100"/>
  <c r="AG52" i="100" s="1"/>
  <c r="K52" i="100"/>
  <c r="J52" i="100"/>
  <c r="AE55" i="100" s="1"/>
  <c r="I52" i="100"/>
  <c r="H52" i="100"/>
  <c r="AC56" i="100" s="1"/>
  <c r="G52" i="100"/>
  <c r="F52" i="100"/>
  <c r="AA56" i="100" s="1"/>
  <c r="E52" i="100"/>
  <c r="D52" i="100"/>
  <c r="Y52" i="100" s="1"/>
  <c r="T51" i="100"/>
  <c r="AO51" i="100" s="1"/>
  <c r="S51" i="100"/>
  <c r="R51" i="100"/>
  <c r="Q51" i="100"/>
  <c r="P51" i="100"/>
  <c r="AK51" i="100" s="1"/>
  <c r="O51" i="100"/>
  <c r="N51" i="100"/>
  <c r="M51" i="100"/>
  <c r="L51" i="100"/>
  <c r="AG51" i="100" s="1"/>
  <c r="K51" i="100"/>
  <c r="J51" i="100"/>
  <c r="I51" i="100"/>
  <c r="H51" i="100"/>
  <c r="AC51" i="100" s="1"/>
  <c r="G51" i="100"/>
  <c r="F51" i="100"/>
  <c r="E51" i="100"/>
  <c r="D51" i="100"/>
  <c r="Y51" i="100" s="1"/>
  <c r="T50" i="100"/>
  <c r="S50" i="100"/>
  <c r="R50" i="100"/>
  <c r="AM50" i="100" s="1"/>
  <c r="Q50" i="100"/>
  <c r="P50" i="100"/>
  <c r="O50" i="100"/>
  <c r="N50" i="100"/>
  <c r="AI50" i="100" s="1"/>
  <c r="M50" i="100"/>
  <c r="L50" i="100"/>
  <c r="K50" i="100"/>
  <c r="J50" i="100"/>
  <c r="AE50" i="100" s="1"/>
  <c r="I50" i="100"/>
  <c r="H50" i="100"/>
  <c r="G50" i="100"/>
  <c r="F50" i="100"/>
  <c r="AA50" i="100" s="1"/>
  <c r="E50" i="100"/>
  <c r="D50" i="100"/>
  <c r="AE49" i="100"/>
  <c r="T49" i="100"/>
  <c r="S49" i="100"/>
  <c r="R49" i="100"/>
  <c r="Q49" i="100"/>
  <c r="P49" i="100"/>
  <c r="O49" i="100"/>
  <c r="N49" i="100"/>
  <c r="M49" i="100"/>
  <c r="L49" i="100"/>
  <c r="K49" i="100"/>
  <c r="J49" i="100"/>
  <c r="I49" i="100"/>
  <c r="H49" i="100"/>
  <c r="G49" i="100"/>
  <c r="F49" i="100"/>
  <c r="E49" i="100"/>
  <c r="D49" i="100"/>
  <c r="T48" i="100"/>
  <c r="AO48" i="100" s="1"/>
  <c r="S48" i="100"/>
  <c r="R48" i="100"/>
  <c r="AM51" i="100" s="1"/>
  <c r="Q48" i="100"/>
  <c r="P48" i="100"/>
  <c r="AK48" i="100" s="1"/>
  <c r="O48" i="100"/>
  <c r="N48" i="100"/>
  <c r="M48" i="100"/>
  <c r="L48" i="100"/>
  <c r="AG48" i="100" s="1"/>
  <c r="K48" i="100"/>
  <c r="J48" i="100"/>
  <c r="I48" i="100"/>
  <c r="H48" i="100"/>
  <c r="AC48" i="100" s="1"/>
  <c r="G48" i="100"/>
  <c r="F48" i="100"/>
  <c r="AA48" i="100" s="1"/>
  <c r="E48" i="100"/>
  <c r="D48" i="100"/>
  <c r="Y48" i="100" s="1"/>
  <c r="T47" i="100"/>
  <c r="S47" i="100"/>
  <c r="AN47" i="100" s="1"/>
  <c r="R47" i="100"/>
  <c r="Q47" i="100"/>
  <c r="AL47" i="100" s="1"/>
  <c r="P47" i="100"/>
  <c r="O47" i="100"/>
  <c r="AJ47" i="100" s="1"/>
  <c r="N47" i="100"/>
  <c r="M47" i="100"/>
  <c r="AH47" i="100" s="1"/>
  <c r="L47" i="100"/>
  <c r="K47" i="100"/>
  <c r="AF47" i="100" s="1"/>
  <c r="J47" i="100"/>
  <c r="I47" i="100"/>
  <c r="AD47" i="100" s="1"/>
  <c r="H47" i="100"/>
  <c r="G47" i="100"/>
  <c r="AB47" i="100" s="1"/>
  <c r="F47" i="100"/>
  <c r="E47" i="100"/>
  <c r="Z47" i="100" s="1"/>
  <c r="D47" i="100"/>
  <c r="T46" i="100"/>
  <c r="S46" i="100"/>
  <c r="R46" i="100"/>
  <c r="Q46" i="100"/>
  <c r="P46" i="100"/>
  <c r="O46" i="100"/>
  <c r="N46" i="100"/>
  <c r="AI46" i="100" s="1"/>
  <c r="M46" i="100"/>
  <c r="L46" i="100"/>
  <c r="K46" i="100"/>
  <c r="J46" i="100"/>
  <c r="I46" i="100"/>
  <c r="H46" i="100"/>
  <c r="G46" i="100"/>
  <c r="F46" i="100"/>
  <c r="AA46" i="100" s="1"/>
  <c r="E46" i="100"/>
  <c r="D46" i="100"/>
  <c r="T45" i="100"/>
  <c r="S45" i="100"/>
  <c r="R45" i="100"/>
  <c r="Q45" i="100"/>
  <c r="P45" i="100"/>
  <c r="O45" i="100"/>
  <c r="N45" i="100"/>
  <c r="M45" i="100"/>
  <c r="L45" i="100"/>
  <c r="K45" i="100"/>
  <c r="J45" i="100"/>
  <c r="I45" i="100"/>
  <c r="H45" i="100"/>
  <c r="G45" i="100"/>
  <c r="F45" i="100"/>
  <c r="E45" i="100"/>
  <c r="D45" i="100"/>
  <c r="T44" i="100"/>
  <c r="AO44" i="100" s="1"/>
  <c r="S44" i="100"/>
  <c r="R44" i="100"/>
  <c r="Q44" i="100"/>
  <c r="P44" i="100"/>
  <c r="AK44" i="100" s="1"/>
  <c r="O44" i="100"/>
  <c r="N44" i="100"/>
  <c r="AI44" i="100" s="1"/>
  <c r="M44" i="100"/>
  <c r="L44" i="100"/>
  <c r="AG44" i="100" s="1"/>
  <c r="K44" i="100"/>
  <c r="J44" i="100"/>
  <c r="I44" i="100"/>
  <c r="H44" i="100"/>
  <c r="AC44" i="100" s="1"/>
  <c r="G44" i="100"/>
  <c r="F44" i="100"/>
  <c r="AA44" i="100" s="1"/>
  <c r="E44" i="100"/>
  <c r="D44" i="100"/>
  <c r="Y44" i="100" s="1"/>
  <c r="T43" i="100"/>
  <c r="S43" i="100"/>
  <c r="R43" i="100"/>
  <c r="AM43" i="100" s="1"/>
  <c r="Q43" i="100"/>
  <c r="P43" i="100"/>
  <c r="O43" i="100"/>
  <c r="N43" i="100"/>
  <c r="M43" i="100"/>
  <c r="L43" i="100"/>
  <c r="K43" i="100"/>
  <c r="J43" i="100"/>
  <c r="AE43" i="100" s="1"/>
  <c r="I43" i="100"/>
  <c r="H43" i="100"/>
  <c r="G43" i="100"/>
  <c r="F43" i="100"/>
  <c r="E43" i="100"/>
  <c r="D43" i="100"/>
  <c r="T42" i="100"/>
  <c r="AO42" i="100" s="1"/>
  <c r="S42" i="100"/>
  <c r="AN42" i="100" s="1"/>
  <c r="R42" i="100"/>
  <c r="AM42" i="100" s="1"/>
  <c r="Q42" i="100"/>
  <c r="AL42" i="100" s="1"/>
  <c r="P42" i="100"/>
  <c r="O42" i="100"/>
  <c r="AJ42" i="100" s="1"/>
  <c r="N42" i="100"/>
  <c r="AI43" i="100" s="1"/>
  <c r="M42" i="100"/>
  <c r="AH42" i="100" s="1"/>
  <c r="L42" i="100"/>
  <c r="K42" i="100"/>
  <c r="AF42" i="100" s="1"/>
  <c r="J42" i="100"/>
  <c r="AE45" i="100" s="1"/>
  <c r="I42" i="100"/>
  <c r="AD42" i="100" s="1"/>
  <c r="H42" i="100"/>
  <c r="G42" i="100"/>
  <c r="AB42" i="100" s="1"/>
  <c r="F42" i="100"/>
  <c r="AA43" i="100" s="1"/>
  <c r="E42" i="100"/>
  <c r="Z42" i="100" s="1"/>
  <c r="D42" i="100"/>
  <c r="T41" i="100"/>
  <c r="S41" i="100"/>
  <c r="R41" i="100"/>
  <c r="AM41" i="100" s="1"/>
  <c r="Q41" i="100"/>
  <c r="P41" i="100"/>
  <c r="O41" i="100"/>
  <c r="N41" i="100"/>
  <c r="M41" i="100"/>
  <c r="L41" i="100"/>
  <c r="K41" i="100"/>
  <c r="J41" i="100"/>
  <c r="AE41" i="100" s="1"/>
  <c r="I41" i="100"/>
  <c r="H41" i="100"/>
  <c r="G41" i="100"/>
  <c r="F41" i="100"/>
  <c r="E41" i="100"/>
  <c r="D41" i="100"/>
  <c r="T40" i="100"/>
  <c r="AO40" i="100" s="1"/>
  <c r="S40" i="100"/>
  <c r="R40" i="100"/>
  <c r="Q40" i="100"/>
  <c r="P40" i="100"/>
  <c r="AK40" i="100" s="1"/>
  <c r="O40" i="100"/>
  <c r="N40" i="100"/>
  <c r="AI40" i="100" s="1"/>
  <c r="M40" i="100"/>
  <c r="L40" i="100"/>
  <c r="AG40" i="100" s="1"/>
  <c r="K40" i="100"/>
  <c r="J40" i="100"/>
  <c r="AE40" i="100" s="1"/>
  <c r="I40" i="100"/>
  <c r="H40" i="100"/>
  <c r="AC40" i="100" s="1"/>
  <c r="G40" i="100"/>
  <c r="F40" i="100"/>
  <c r="AA40" i="100" s="1"/>
  <c r="E40" i="100"/>
  <c r="D40" i="100"/>
  <c r="Y40" i="100" s="1"/>
  <c r="T39" i="100"/>
  <c r="S39" i="100"/>
  <c r="R39" i="100"/>
  <c r="AM39" i="100" s="1"/>
  <c r="Q39" i="100"/>
  <c r="P39" i="100"/>
  <c r="O39" i="100"/>
  <c r="N39" i="100"/>
  <c r="M39" i="100"/>
  <c r="L39" i="100"/>
  <c r="K39" i="100"/>
  <c r="J39" i="100"/>
  <c r="AE39" i="100" s="1"/>
  <c r="I39" i="100"/>
  <c r="H39" i="100"/>
  <c r="G39" i="100"/>
  <c r="F39" i="100"/>
  <c r="E39" i="100"/>
  <c r="D39" i="100"/>
  <c r="T38" i="100"/>
  <c r="S38" i="100"/>
  <c r="R38" i="100"/>
  <c r="AM38" i="100" s="1"/>
  <c r="Q38" i="100"/>
  <c r="AL38" i="100" s="1"/>
  <c r="P38" i="100"/>
  <c r="O38" i="100"/>
  <c r="N38" i="100"/>
  <c r="AI39" i="100" s="1"/>
  <c r="M38" i="100"/>
  <c r="AH38" i="100" s="1"/>
  <c r="L38" i="100"/>
  <c r="K38" i="100"/>
  <c r="J38" i="100"/>
  <c r="AE38" i="100" s="1"/>
  <c r="I38" i="100"/>
  <c r="AD38" i="100" s="1"/>
  <c r="H38" i="100"/>
  <c r="G38" i="100"/>
  <c r="F38" i="100"/>
  <c r="AA41" i="100" s="1"/>
  <c r="E38" i="100"/>
  <c r="Z38" i="100" s="1"/>
  <c r="D38" i="100"/>
  <c r="AI37" i="100"/>
  <c r="T37" i="100"/>
  <c r="S37" i="100"/>
  <c r="AN37" i="100" s="1"/>
  <c r="R37" i="100"/>
  <c r="AM37" i="100" s="1"/>
  <c r="Q37" i="100"/>
  <c r="P37" i="100"/>
  <c r="O37" i="100"/>
  <c r="AJ37" i="100" s="1"/>
  <c r="N37" i="100"/>
  <c r="M37" i="100"/>
  <c r="L37" i="100"/>
  <c r="K37" i="100"/>
  <c r="AF37" i="100" s="1"/>
  <c r="J37" i="100"/>
  <c r="AE37" i="100" s="1"/>
  <c r="I37" i="100"/>
  <c r="H37" i="100"/>
  <c r="G37" i="100"/>
  <c r="AB37" i="100" s="1"/>
  <c r="F37" i="100"/>
  <c r="E37" i="100"/>
  <c r="D37" i="100"/>
  <c r="T36" i="100"/>
  <c r="S36" i="100"/>
  <c r="R36" i="100"/>
  <c r="Q36" i="100"/>
  <c r="P36" i="100"/>
  <c r="O36" i="100"/>
  <c r="N36" i="100"/>
  <c r="AI36" i="100" s="1"/>
  <c r="M36" i="100"/>
  <c r="L36" i="100"/>
  <c r="K36" i="100"/>
  <c r="J36" i="100"/>
  <c r="AE36" i="100" s="1"/>
  <c r="I36" i="100"/>
  <c r="H36" i="100"/>
  <c r="G36" i="100"/>
  <c r="F36" i="100"/>
  <c r="AA36" i="100" s="1"/>
  <c r="E36" i="100"/>
  <c r="D36" i="100"/>
  <c r="T35" i="100"/>
  <c r="S35" i="100"/>
  <c r="R35" i="100"/>
  <c r="AM35" i="100" s="1"/>
  <c r="Q35" i="100"/>
  <c r="P35" i="100"/>
  <c r="O35" i="100"/>
  <c r="N35" i="100"/>
  <c r="M35" i="100"/>
  <c r="L35" i="100"/>
  <c r="K35" i="100"/>
  <c r="J35" i="100"/>
  <c r="AE35" i="100" s="1"/>
  <c r="I35" i="100"/>
  <c r="H35" i="100"/>
  <c r="G35" i="100"/>
  <c r="F35" i="100"/>
  <c r="E35" i="100"/>
  <c r="D35" i="100"/>
  <c r="T34" i="100"/>
  <c r="S34" i="100"/>
  <c r="R34" i="100"/>
  <c r="AM34" i="100" s="1"/>
  <c r="Q34" i="100"/>
  <c r="P34" i="100"/>
  <c r="O34" i="100"/>
  <c r="N34" i="100"/>
  <c r="AI34" i="100" s="1"/>
  <c r="M34" i="100"/>
  <c r="L34" i="100"/>
  <c r="K34" i="100"/>
  <c r="J34" i="100"/>
  <c r="AE34" i="100" s="1"/>
  <c r="I34" i="100"/>
  <c r="H34" i="100"/>
  <c r="G34" i="100"/>
  <c r="F34" i="100"/>
  <c r="AA35" i="100" s="1"/>
  <c r="E34" i="100"/>
  <c r="D34" i="100"/>
  <c r="AI33" i="100"/>
  <c r="T33" i="100"/>
  <c r="S33" i="100"/>
  <c r="AN33" i="100" s="1"/>
  <c r="R33" i="100"/>
  <c r="AM33" i="100" s="1"/>
  <c r="Q33" i="100"/>
  <c r="P33" i="100"/>
  <c r="O33" i="100"/>
  <c r="AJ33" i="100" s="1"/>
  <c r="N33" i="100"/>
  <c r="M33" i="100"/>
  <c r="L33" i="100"/>
  <c r="K33" i="100"/>
  <c r="AF33" i="100" s="1"/>
  <c r="J33" i="100"/>
  <c r="AE33" i="100" s="1"/>
  <c r="I33" i="100"/>
  <c r="H33" i="100"/>
  <c r="G33" i="100"/>
  <c r="AB33" i="100" s="1"/>
  <c r="F33" i="100"/>
  <c r="E33" i="100"/>
  <c r="D33" i="100"/>
  <c r="AM32" i="100"/>
  <c r="T32" i="100"/>
  <c r="AO32" i="100" s="1"/>
  <c r="S32" i="100"/>
  <c r="R32" i="100"/>
  <c r="Q32" i="100"/>
  <c r="AL32" i="100" s="1"/>
  <c r="P32" i="100"/>
  <c r="AK32" i="100" s="1"/>
  <c r="O32" i="100"/>
  <c r="N32" i="100"/>
  <c r="AI35" i="100" s="1"/>
  <c r="M32" i="100"/>
  <c r="AH32" i="100" s="1"/>
  <c r="L32" i="100"/>
  <c r="AG32" i="100" s="1"/>
  <c r="K32" i="100"/>
  <c r="J32" i="100"/>
  <c r="AE32" i="100" s="1"/>
  <c r="I32" i="100"/>
  <c r="AD32" i="100" s="1"/>
  <c r="H32" i="100"/>
  <c r="AC32" i="100" s="1"/>
  <c r="G32" i="100"/>
  <c r="F32" i="100"/>
  <c r="AA33" i="100" s="1"/>
  <c r="E32" i="100"/>
  <c r="Z32" i="100" s="1"/>
  <c r="D32" i="100"/>
  <c r="Y32" i="100" s="1"/>
  <c r="T31" i="100"/>
  <c r="S31" i="100"/>
  <c r="AN31" i="100" s="1"/>
  <c r="R31" i="100"/>
  <c r="AM31" i="100" s="1"/>
  <c r="Q31" i="100"/>
  <c r="P31" i="100"/>
  <c r="O31" i="100"/>
  <c r="AJ31" i="100" s="1"/>
  <c r="N31" i="100"/>
  <c r="M31" i="100"/>
  <c r="L31" i="100"/>
  <c r="K31" i="100"/>
  <c r="AF31" i="100" s="1"/>
  <c r="J31" i="100"/>
  <c r="AE31" i="100" s="1"/>
  <c r="I31" i="100"/>
  <c r="H31" i="100"/>
  <c r="G31" i="100"/>
  <c r="AB31" i="100" s="1"/>
  <c r="F31" i="100"/>
  <c r="E31" i="100"/>
  <c r="D31" i="100"/>
  <c r="T30" i="100"/>
  <c r="S30" i="100"/>
  <c r="R30" i="100"/>
  <c r="AM30" i="100" s="1"/>
  <c r="Q30" i="100"/>
  <c r="AL30" i="100" s="1"/>
  <c r="P30" i="100"/>
  <c r="O30" i="100"/>
  <c r="N30" i="100"/>
  <c r="M30" i="100"/>
  <c r="AH30" i="100" s="1"/>
  <c r="L30" i="100"/>
  <c r="AG30" i="100" s="1"/>
  <c r="K30" i="100"/>
  <c r="J30" i="100"/>
  <c r="I30" i="100"/>
  <c r="AD30" i="100" s="1"/>
  <c r="H30" i="100"/>
  <c r="G30" i="100"/>
  <c r="F30" i="100"/>
  <c r="AA30" i="100" s="1"/>
  <c r="E30" i="100"/>
  <c r="Z30" i="100" s="1"/>
  <c r="D30" i="100"/>
  <c r="T29" i="100"/>
  <c r="S29" i="100"/>
  <c r="R29" i="100"/>
  <c r="AM29" i="100" s="1"/>
  <c r="Q29" i="100"/>
  <c r="P29" i="100"/>
  <c r="AK29" i="100" s="1"/>
  <c r="O29" i="100"/>
  <c r="N29" i="100"/>
  <c r="M29" i="100"/>
  <c r="L29" i="100"/>
  <c r="K29" i="100"/>
  <c r="J29" i="100"/>
  <c r="AE29" i="100" s="1"/>
  <c r="I29" i="100"/>
  <c r="H29" i="100"/>
  <c r="AC29" i="100" s="1"/>
  <c r="G29" i="100"/>
  <c r="F29" i="100"/>
  <c r="AA29" i="100" s="1"/>
  <c r="E29" i="100"/>
  <c r="D29" i="100"/>
  <c r="T28" i="100"/>
  <c r="AO28" i="100" s="1"/>
  <c r="S28" i="100"/>
  <c r="R28" i="100"/>
  <c r="AM28" i="100" s="1"/>
  <c r="Q28" i="100"/>
  <c r="P28" i="100"/>
  <c r="AK28" i="100" s="1"/>
  <c r="O28" i="100"/>
  <c r="N28" i="100"/>
  <c r="AI28" i="100" s="1"/>
  <c r="M28" i="100"/>
  <c r="L28" i="100"/>
  <c r="AG28" i="100" s="1"/>
  <c r="K28" i="100"/>
  <c r="J28" i="100"/>
  <c r="AE28" i="100" s="1"/>
  <c r="I28" i="100"/>
  <c r="H28" i="100"/>
  <c r="AC28" i="100" s="1"/>
  <c r="G28" i="100"/>
  <c r="F28" i="100"/>
  <c r="AA28" i="100" s="1"/>
  <c r="E28" i="100"/>
  <c r="D28" i="100"/>
  <c r="Y28" i="100" s="1"/>
  <c r="T27" i="100"/>
  <c r="AO30" i="100" s="1"/>
  <c r="S27" i="100"/>
  <c r="AN27" i="100" s="1"/>
  <c r="R27" i="100"/>
  <c r="AM27" i="100" s="1"/>
  <c r="Q27" i="100"/>
  <c r="P27" i="100"/>
  <c r="AK27" i="100" s="1"/>
  <c r="O27" i="100"/>
  <c r="N27" i="100"/>
  <c r="AI31" i="100" s="1"/>
  <c r="M27" i="100"/>
  <c r="L27" i="100"/>
  <c r="AG27" i="100" s="1"/>
  <c r="K27" i="100"/>
  <c r="J27" i="100"/>
  <c r="AE30" i="100" s="1"/>
  <c r="I27" i="100"/>
  <c r="H27" i="100"/>
  <c r="AC27" i="100" s="1"/>
  <c r="G27" i="100"/>
  <c r="F27" i="100"/>
  <c r="AA31" i="100" s="1"/>
  <c r="E27" i="100"/>
  <c r="D27" i="100"/>
  <c r="Y27" i="100" s="1"/>
  <c r="T26" i="100"/>
  <c r="S26" i="100"/>
  <c r="R26" i="100"/>
  <c r="Q26" i="100"/>
  <c r="P26" i="100"/>
  <c r="O26" i="100"/>
  <c r="N26" i="100"/>
  <c r="M26" i="100"/>
  <c r="L26" i="100"/>
  <c r="K26" i="100"/>
  <c r="J26" i="100"/>
  <c r="I26" i="100"/>
  <c r="H26" i="100"/>
  <c r="G26" i="100"/>
  <c r="F26" i="100"/>
  <c r="E26" i="100"/>
  <c r="D26"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AI23" i="100" s="1"/>
  <c r="M23" i="100"/>
  <c r="L23" i="100"/>
  <c r="K23" i="100"/>
  <c r="J23" i="100"/>
  <c r="I23" i="100"/>
  <c r="H23" i="100"/>
  <c r="G23" i="100"/>
  <c r="F23" i="100"/>
  <c r="AA23" i="100" s="1"/>
  <c r="E23" i="100"/>
  <c r="D23" i="100"/>
  <c r="AM22" i="100"/>
  <c r="AE22" i="100"/>
  <c r="T22" i="100"/>
  <c r="AO22" i="100" s="1"/>
  <c r="S22" i="100"/>
  <c r="AN22" i="100" s="1"/>
  <c r="R22" i="100"/>
  <c r="Q22" i="100"/>
  <c r="AL22" i="100" s="1"/>
  <c r="P22" i="100"/>
  <c r="AK22" i="100" s="1"/>
  <c r="O22" i="100"/>
  <c r="AJ22" i="100" s="1"/>
  <c r="N22" i="100"/>
  <c r="AI22" i="100" s="1"/>
  <c r="M22" i="100"/>
  <c r="AH22" i="100" s="1"/>
  <c r="L22" i="100"/>
  <c r="AG22" i="100" s="1"/>
  <c r="K22" i="100"/>
  <c r="AF22" i="100" s="1"/>
  <c r="J22" i="100"/>
  <c r="I22" i="100"/>
  <c r="AD22" i="100" s="1"/>
  <c r="H22" i="100"/>
  <c r="AC22" i="100" s="1"/>
  <c r="G22" i="100"/>
  <c r="AB22" i="100" s="1"/>
  <c r="F22" i="100"/>
  <c r="AA22" i="100" s="1"/>
  <c r="E22" i="100"/>
  <c r="Z22" i="100" s="1"/>
  <c r="D22" i="100"/>
  <c r="Y22" i="100" s="1"/>
  <c r="T21" i="100"/>
  <c r="S21" i="100"/>
  <c r="R21" i="100"/>
  <c r="Q21" i="100"/>
  <c r="P21" i="100"/>
  <c r="O21" i="100"/>
  <c r="N21" i="100"/>
  <c r="AI21" i="100" s="1"/>
  <c r="M21" i="100"/>
  <c r="L21" i="100"/>
  <c r="K21" i="100"/>
  <c r="J21" i="100"/>
  <c r="I21" i="100"/>
  <c r="H21" i="100"/>
  <c r="G21" i="100"/>
  <c r="F21" i="100"/>
  <c r="E21" i="100"/>
  <c r="D21" i="100"/>
  <c r="T20" i="100"/>
  <c r="S20" i="100"/>
  <c r="R20" i="100"/>
  <c r="Q20" i="100"/>
  <c r="P20" i="100"/>
  <c r="O20" i="100"/>
  <c r="N20" i="100"/>
  <c r="M20" i="100"/>
  <c r="L20" i="100"/>
  <c r="K20" i="100"/>
  <c r="J20" i="100"/>
  <c r="I20" i="100"/>
  <c r="H20" i="100"/>
  <c r="G20" i="100"/>
  <c r="F20" i="100"/>
  <c r="E20" i="100"/>
  <c r="D20" i="100"/>
  <c r="T19" i="100"/>
  <c r="S19" i="100"/>
  <c r="R19" i="100"/>
  <c r="AM19" i="100" s="1"/>
  <c r="Q19" i="100"/>
  <c r="P19" i="100"/>
  <c r="O19" i="100"/>
  <c r="N19" i="100"/>
  <c r="AI19" i="100" s="1"/>
  <c r="M19" i="100"/>
  <c r="L19" i="100"/>
  <c r="K19" i="100"/>
  <c r="J19" i="100"/>
  <c r="AE19" i="100" s="1"/>
  <c r="I19" i="100"/>
  <c r="H19" i="100"/>
  <c r="G19" i="100"/>
  <c r="F19" i="100"/>
  <c r="AA19" i="100" s="1"/>
  <c r="E19" i="100"/>
  <c r="D19" i="100"/>
  <c r="AM18" i="100"/>
  <c r="AE18" i="100"/>
  <c r="T18" i="100"/>
  <c r="AO18" i="100" s="1"/>
  <c r="S18" i="100"/>
  <c r="R18" i="100"/>
  <c r="Q18" i="100"/>
  <c r="P18" i="100"/>
  <c r="O18" i="100"/>
  <c r="N18" i="100"/>
  <c r="AI18" i="100" s="1"/>
  <c r="M18" i="100"/>
  <c r="L18" i="100"/>
  <c r="K18" i="100"/>
  <c r="J18" i="100"/>
  <c r="I18" i="100"/>
  <c r="H18" i="100"/>
  <c r="G18" i="100"/>
  <c r="F18" i="100"/>
  <c r="AA18" i="100" s="1"/>
  <c r="E18" i="100"/>
  <c r="D18" i="100"/>
  <c r="AA17" i="100"/>
  <c r="T17" i="100"/>
  <c r="AO17" i="100" s="1"/>
  <c r="S17" i="100"/>
  <c r="AN17" i="100" s="1"/>
  <c r="R17" i="100"/>
  <c r="AM17" i="100" s="1"/>
  <c r="Q17" i="100"/>
  <c r="AL17" i="100" s="1"/>
  <c r="P17" i="100"/>
  <c r="AK17" i="100" s="1"/>
  <c r="O17" i="100"/>
  <c r="AJ17" i="100" s="1"/>
  <c r="N17" i="100"/>
  <c r="AI17" i="100" s="1"/>
  <c r="M17" i="100"/>
  <c r="AH17" i="100" s="1"/>
  <c r="L17" i="100"/>
  <c r="AG17" i="100" s="1"/>
  <c r="K17" i="100"/>
  <c r="AF17" i="100" s="1"/>
  <c r="J17" i="100"/>
  <c r="AE17" i="100" s="1"/>
  <c r="I17" i="100"/>
  <c r="AD17" i="100" s="1"/>
  <c r="H17" i="100"/>
  <c r="AC17" i="100" s="1"/>
  <c r="G17" i="100"/>
  <c r="AB17" i="100" s="1"/>
  <c r="F17" i="100"/>
  <c r="AA21" i="100" s="1"/>
  <c r="E17" i="100"/>
  <c r="Z17" i="100" s="1"/>
  <c r="D17" i="100"/>
  <c r="Y17" i="100" s="1"/>
  <c r="T16" i="100"/>
  <c r="S16" i="100"/>
  <c r="R16" i="100"/>
  <c r="Q16" i="100"/>
  <c r="P16" i="100"/>
  <c r="O16" i="100"/>
  <c r="N16" i="100"/>
  <c r="AI16" i="100" s="1"/>
  <c r="M16" i="100"/>
  <c r="L16" i="100"/>
  <c r="K16" i="100"/>
  <c r="J16" i="100"/>
  <c r="AE16" i="100" s="1"/>
  <c r="I16" i="100"/>
  <c r="H16" i="100"/>
  <c r="G16" i="100"/>
  <c r="F16" i="100"/>
  <c r="AA16" i="100" s="1"/>
  <c r="E16" i="100"/>
  <c r="D16" i="100"/>
  <c r="T15" i="100"/>
  <c r="S15" i="100"/>
  <c r="R15" i="100"/>
  <c r="AM15" i="100" s="1"/>
  <c r="Q15" i="100"/>
  <c r="P15" i="100"/>
  <c r="O15" i="100"/>
  <c r="N15" i="100"/>
  <c r="AI15" i="100" s="1"/>
  <c r="M15" i="100"/>
  <c r="L15" i="100"/>
  <c r="K15" i="100"/>
  <c r="J15" i="100"/>
  <c r="AE15" i="100" s="1"/>
  <c r="I15" i="100"/>
  <c r="H15" i="100"/>
  <c r="G15" i="100"/>
  <c r="F15" i="100"/>
  <c r="E15" i="100"/>
  <c r="D15" i="100"/>
  <c r="T14" i="100"/>
  <c r="S14" i="100"/>
  <c r="R14" i="100"/>
  <c r="AM14" i="100" s="1"/>
  <c r="Q14" i="100"/>
  <c r="P14" i="100"/>
  <c r="O14" i="100"/>
  <c r="N14" i="100"/>
  <c r="AI14" i="100" s="1"/>
  <c r="M14" i="100"/>
  <c r="L14" i="100"/>
  <c r="K14" i="100"/>
  <c r="J14" i="100"/>
  <c r="AE14" i="100" s="1"/>
  <c r="I14" i="100"/>
  <c r="H14" i="100"/>
  <c r="G14" i="100"/>
  <c r="F14" i="100"/>
  <c r="AA14" i="100" s="1"/>
  <c r="E14" i="100"/>
  <c r="D14" i="100"/>
  <c r="T13" i="100"/>
  <c r="S13" i="100"/>
  <c r="R13" i="100"/>
  <c r="AM13" i="100" s="1"/>
  <c r="Q13" i="100"/>
  <c r="P13" i="100"/>
  <c r="O13" i="100"/>
  <c r="N13" i="100"/>
  <c r="AI13" i="100" s="1"/>
  <c r="M13" i="100"/>
  <c r="L13" i="100"/>
  <c r="K13" i="100"/>
  <c r="J13" i="100"/>
  <c r="AE13" i="100" s="1"/>
  <c r="I13" i="100"/>
  <c r="H13" i="100"/>
  <c r="AC13" i="100" s="1"/>
  <c r="G13" i="100"/>
  <c r="F13" i="100"/>
  <c r="E13" i="100"/>
  <c r="D13" i="100"/>
  <c r="AO12" i="100"/>
  <c r="T12" i="100"/>
  <c r="S12" i="100"/>
  <c r="R12" i="100"/>
  <c r="AM12" i="100" s="1"/>
  <c r="Q12" i="100"/>
  <c r="AL12" i="100" s="1"/>
  <c r="P12" i="100"/>
  <c r="AK12" i="100" s="1"/>
  <c r="O12" i="100"/>
  <c r="N12" i="100"/>
  <c r="AI12" i="100" s="1"/>
  <c r="M12" i="100"/>
  <c r="AH12" i="100" s="1"/>
  <c r="L12" i="100"/>
  <c r="AG12" i="100" s="1"/>
  <c r="K12" i="100"/>
  <c r="J12" i="100"/>
  <c r="AE12" i="100" s="1"/>
  <c r="I12" i="100"/>
  <c r="AD12" i="100" s="1"/>
  <c r="H12" i="100"/>
  <c r="AC12" i="100" s="1"/>
  <c r="G12" i="100"/>
  <c r="F12" i="100"/>
  <c r="AA12" i="100" s="1"/>
  <c r="E12" i="100"/>
  <c r="Z12" i="100" s="1"/>
  <c r="D12" i="100"/>
  <c r="Y12" i="100" s="1"/>
  <c r="T11" i="100"/>
  <c r="S11" i="100"/>
  <c r="R11" i="100"/>
  <c r="AM11" i="100" s="1"/>
  <c r="Q11" i="100"/>
  <c r="P11" i="100"/>
  <c r="AK11" i="100" s="1"/>
  <c r="O11" i="100"/>
  <c r="N11" i="100"/>
  <c r="M11" i="100"/>
  <c r="L11" i="100"/>
  <c r="K11" i="100"/>
  <c r="J11" i="100"/>
  <c r="AE11" i="100" s="1"/>
  <c r="I11" i="100"/>
  <c r="H11" i="100"/>
  <c r="AC11" i="100" s="1"/>
  <c r="G11" i="100"/>
  <c r="F11" i="100"/>
  <c r="AA11" i="100" s="1"/>
  <c r="E11" i="100"/>
  <c r="D11" i="100"/>
  <c r="T10" i="100"/>
  <c r="S10" i="100"/>
  <c r="R10" i="100"/>
  <c r="AM10" i="100" s="1"/>
  <c r="Q10" i="100"/>
  <c r="P10" i="100"/>
  <c r="O10" i="100"/>
  <c r="N10" i="100"/>
  <c r="AI10" i="100" s="1"/>
  <c r="M10" i="100"/>
  <c r="L10" i="100"/>
  <c r="AG10" i="100" s="1"/>
  <c r="K10" i="100"/>
  <c r="J10" i="100"/>
  <c r="AE10" i="100" s="1"/>
  <c r="I10" i="100"/>
  <c r="H10" i="100"/>
  <c r="AC10" i="100" s="1"/>
  <c r="G10" i="100"/>
  <c r="F10" i="100"/>
  <c r="AA10" i="100" s="1"/>
  <c r="E10" i="100"/>
  <c r="D10" i="100"/>
  <c r="Y10" i="100" s="1"/>
  <c r="T9" i="100"/>
  <c r="AO9" i="100" s="1"/>
  <c r="S9" i="100"/>
  <c r="R9" i="100"/>
  <c r="Q9" i="100"/>
  <c r="P9" i="100"/>
  <c r="AK9" i="100" s="1"/>
  <c r="O9" i="100"/>
  <c r="N9" i="100"/>
  <c r="AI9" i="100" s="1"/>
  <c r="M9" i="100"/>
  <c r="L9" i="100"/>
  <c r="AG9" i="100" s="1"/>
  <c r="K9" i="100"/>
  <c r="J9" i="100"/>
  <c r="AE9" i="100" s="1"/>
  <c r="I9" i="100"/>
  <c r="H9" i="100"/>
  <c r="AC9" i="100" s="1"/>
  <c r="G9" i="100"/>
  <c r="F9" i="100"/>
  <c r="AA9" i="100" s="1"/>
  <c r="E9" i="100"/>
  <c r="D9" i="100"/>
  <c r="Y9" i="100" s="1"/>
  <c r="T8" i="100"/>
  <c r="S8" i="100"/>
  <c r="R8" i="100"/>
  <c r="AM8" i="100" s="1"/>
  <c r="Q8" i="100"/>
  <c r="P8" i="100"/>
  <c r="AK8" i="100" s="1"/>
  <c r="O8" i="100"/>
  <c r="N8" i="100"/>
  <c r="AI8" i="100" s="1"/>
  <c r="M8" i="100"/>
  <c r="L8" i="100"/>
  <c r="AG8" i="100" s="1"/>
  <c r="K8" i="100"/>
  <c r="J8" i="100"/>
  <c r="AE8" i="100" s="1"/>
  <c r="I8" i="100"/>
  <c r="H8" i="100"/>
  <c r="AC8" i="100" s="1"/>
  <c r="G8" i="100"/>
  <c r="F8" i="100"/>
  <c r="AA8" i="100" s="1"/>
  <c r="E8" i="100"/>
  <c r="D8" i="100"/>
  <c r="Y8" i="100" s="1"/>
  <c r="AM7" i="100"/>
  <c r="T7" i="100"/>
  <c r="AO7" i="100" s="1"/>
  <c r="S7" i="100"/>
  <c r="AN7" i="100" s="1"/>
  <c r="R7" i="100"/>
  <c r="AM9" i="100" s="1"/>
  <c r="Q7" i="100"/>
  <c r="AL7" i="100" s="1"/>
  <c r="P7" i="100"/>
  <c r="AK10" i="100" s="1"/>
  <c r="O7" i="100"/>
  <c r="AJ7" i="100" s="1"/>
  <c r="N7" i="100"/>
  <c r="AI11" i="100" s="1"/>
  <c r="M7" i="100"/>
  <c r="AH7" i="100" s="1"/>
  <c r="L7" i="100"/>
  <c r="AG7" i="100" s="1"/>
  <c r="K7" i="100"/>
  <c r="AF7" i="100" s="1"/>
  <c r="J7" i="100"/>
  <c r="AE7" i="100" s="1"/>
  <c r="I7" i="100"/>
  <c r="AD7" i="100" s="1"/>
  <c r="H7" i="100"/>
  <c r="AC7" i="100" s="1"/>
  <c r="G7" i="100"/>
  <c r="AB7" i="100" s="1"/>
  <c r="F7" i="100"/>
  <c r="AA7" i="100" s="1"/>
  <c r="E7" i="100"/>
  <c r="Z7" i="100" s="1"/>
  <c r="D7" i="100"/>
  <c r="Y7" i="100" s="1"/>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D34" i="114"/>
  <c r="C34" i="114"/>
  <c r="G33" i="114"/>
  <c r="J29" i="114"/>
  <c r="I29" i="114"/>
  <c r="G29" i="114"/>
  <c r="F29" i="114"/>
  <c r="D29" i="114"/>
  <c r="C29" i="114"/>
  <c r="J28" i="114"/>
  <c r="I28" i="114"/>
  <c r="G28" i="114"/>
  <c r="F28" i="114"/>
  <c r="D28" i="114"/>
  <c r="C28" i="114"/>
  <c r="B28" i="114"/>
  <c r="H22" i="114"/>
  <c r="F22" i="114"/>
  <c r="D22" i="114"/>
  <c r="C22" i="114"/>
  <c r="E22" i="114" s="1"/>
  <c r="H21" i="114"/>
  <c r="F21" i="114"/>
  <c r="D21" i="114"/>
  <c r="C21" i="114"/>
  <c r="E21" i="114" s="1"/>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F12" i="114" s="1"/>
  <c r="E10" i="114"/>
  <c r="E12" i="114" s="1"/>
  <c r="D10" i="114"/>
  <c r="D12" i="114" s="1"/>
  <c r="C10" i="114"/>
  <c r="C12" i="114" s="1"/>
  <c r="B10" i="114"/>
  <c r="R128" i="98"/>
  <c r="P128" i="98"/>
  <c r="N128" i="98"/>
  <c r="L128" i="98"/>
  <c r="J128" i="98"/>
  <c r="H128" i="98"/>
  <c r="F128" i="98"/>
  <c r="D128" i="98"/>
  <c r="R127" i="98"/>
  <c r="P127" i="98"/>
  <c r="N127" i="98"/>
  <c r="L127" i="98"/>
  <c r="J127" i="98"/>
  <c r="H127" i="98"/>
  <c r="F127" i="98"/>
  <c r="D127" i="98"/>
  <c r="R126" i="98"/>
  <c r="P126" i="98"/>
  <c r="N126" i="98"/>
  <c r="L126" i="98"/>
  <c r="J126" i="98"/>
  <c r="H126" i="98"/>
  <c r="F126" i="98"/>
  <c r="D126" i="98"/>
  <c r="R125" i="98"/>
  <c r="AK125" i="98" s="1"/>
  <c r="P125" i="98"/>
  <c r="AI125" i="98" s="1"/>
  <c r="N125" i="98"/>
  <c r="AG125" i="98" s="1"/>
  <c r="L125" i="98"/>
  <c r="AE125" i="98" s="1"/>
  <c r="J125" i="98"/>
  <c r="AC125" i="98" s="1"/>
  <c r="H125" i="98"/>
  <c r="AA125" i="98" s="1"/>
  <c r="F125" i="98"/>
  <c r="Y125" i="98" s="1"/>
  <c r="D125" i="98"/>
  <c r="W125" i="98" s="1"/>
  <c r="U123" i="98"/>
  <c r="B123" i="98"/>
  <c r="R121" i="98"/>
  <c r="P121" i="98"/>
  <c r="O121" i="98"/>
  <c r="N121" i="98"/>
  <c r="L121" i="98"/>
  <c r="K121" i="98"/>
  <c r="J121" i="98"/>
  <c r="H121" i="98"/>
  <c r="G121" i="98"/>
  <c r="F121" i="98"/>
  <c r="D121" i="98"/>
  <c r="C121" i="98"/>
  <c r="R120" i="98"/>
  <c r="P120" i="98"/>
  <c r="O120" i="98"/>
  <c r="N120" i="98"/>
  <c r="L120" i="98"/>
  <c r="K120" i="98"/>
  <c r="J120" i="98"/>
  <c r="H120" i="98"/>
  <c r="G120" i="98"/>
  <c r="F120" i="98"/>
  <c r="D120" i="98"/>
  <c r="C120" i="98"/>
  <c r="R119" i="98"/>
  <c r="P119" i="98"/>
  <c r="O119" i="98"/>
  <c r="N119" i="98"/>
  <c r="L119" i="98"/>
  <c r="K119" i="98"/>
  <c r="J119" i="98"/>
  <c r="H119" i="98"/>
  <c r="G119" i="98"/>
  <c r="F119" i="98"/>
  <c r="D119" i="98"/>
  <c r="C119" i="98"/>
  <c r="R118" i="98"/>
  <c r="AK118" i="98" s="1"/>
  <c r="P118" i="98"/>
  <c r="AI118" i="98" s="1"/>
  <c r="O118" i="98"/>
  <c r="AH118" i="98" s="1"/>
  <c r="N118" i="98"/>
  <c r="AG118" i="98" s="1"/>
  <c r="L118" i="98"/>
  <c r="AE118" i="98" s="1"/>
  <c r="K118" i="98"/>
  <c r="AD118" i="98" s="1"/>
  <c r="J118" i="98"/>
  <c r="AC118" i="98" s="1"/>
  <c r="H118" i="98"/>
  <c r="AA118" i="98" s="1"/>
  <c r="G118" i="98"/>
  <c r="Z118" i="98" s="1"/>
  <c r="F118" i="98"/>
  <c r="Y118" i="98" s="1"/>
  <c r="D118" i="98"/>
  <c r="W118" i="98" s="1"/>
  <c r="C118" i="98"/>
  <c r="V118" i="98" s="1"/>
  <c r="U116" i="98"/>
  <c r="B116" i="98"/>
  <c r="R114" i="98"/>
  <c r="Q114" i="98"/>
  <c r="P114" i="98"/>
  <c r="N114" i="98"/>
  <c r="M114" i="98"/>
  <c r="L114" i="98"/>
  <c r="J114" i="98"/>
  <c r="I114" i="98"/>
  <c r="H114" i="98"/>
  <c r="F114" i="98"/>
  <c r="E114" i="98"/>
  <c r="D114" i="98"/>
  <c r="R113" i="98"/>
  <c r="Q113" i="98"/>
  <c r="P113" i="98"/>
  <c r="N113" i="98"/>
  <c r="M113" i="98"/>
  <c r="L113" i="98"/>
  <c r="J113" i="98"/>
  <c r="I113" i="98"/>
  <c r="H113" i="98"/>
  <c r="F113" i="98"/>
  <c r="E113" i="98"/>
  <c r="D113" i="98"/>
  <c r="R112" i="98"/>
  <c r="Q112" i="98"/>
  <c r="P112" i="98"/>
  <c r="N112" i="98"/>
  <c r="M112" i="98"/>
  <c r="L112" i="98"/>
  <c r="J112" i="98"/>
  <c r="I112" i="98"/>
  <c r="H112" i="98"/>
  <c r="F112" i="98"/>
  <c r="E112" i="98"/>
  <c r="D112" i="98"/>
  <c r="R111" i="98"/>
  <c r="AK111" i="98" s="1"/>
  <c r="Q111" i="98"/>
  <c r="AJ111" i="98" s="1"/>
  <c r="P111" i="98"/>
  <c r="AI111" i="98" s="1"/>
  <c r="N111" i="98"/>
  <c r="AG111" i="98" s="1"/>
  <c r="M111" i="98"/>
  <c r="AF111" i="98" s="1"/>
  <c r="L111" i="98"/>
  <c r="AE111" i="98" s="1"/>
  <c r="J111" i="98"/>
  <c r="AC111" i="98" s="1"/>
  <c r="I111" i="98"/>
  <c r="AB111" i="98" s="1"/>
  <c r="H111" i="98"/>
  <c r="AA111" i="98" s="1"/>
  <c r="F111" i="98"/>
  <c r="Y111" i="98" s="1"/>
  <c r="E111" i="98"/>
  <c r="X111" i="98" s="1"/>
  <c r="D111" i="98"/>
  <c r="W111" i="98" s="1"/>
  <c r="U109" i="98"/>
  <c r="B109" i="98"/>
  <c r="O128" i="98" s="1"/>
  <c r="R107" i="98"/>
  <c r="P107" i="98"/>
  <c r="O107" i="98"/>
  <c r="N107" i="98"/>
  <c r="L107" i="98"/>
  <c r="K107" i="98"/>
  <c r="J107" i="98"/>
  <c r="H107" i="98"/>
  <c r="G107" i="98"/>
  <c r="F107" i="98"/>
  <c r="D107" i="98"/>
  <c r="C107" i="98"/>
  <c r="R106" i="98"/>
  <c r="P106" i="98"/>
  <c r="O106" i="98"/>
  <c r="N106" i="98"/>
  <c r="L106" i="98"/>
  <c r="K106" i="98"/>
  <c r="J106" i="98"/>
  <c r="H106" i="98"/>
  <c r="G106" i="98"/>
  <c r="F106" i="98"/>
  <c r="D106" i="98"/>
  <c r="C106" i="98"/>
  <c r="R105" i="98"/>
  <c r="P105" i="98"/>
  <c r="O105" i="98"/>
  <c r="N105" i="98"/>
  <c r="L105" i="98"/>
  <c r="K105" i="98"/>
  <c r="J105" i="98"/>
  <c r="H105" i="98"/>
  <c r="G105" i="98"/>
  <c r="F105" i="98"/>
  <c r="D105" i="98"/>
  <c r="C105" i="98"/>
  <c r="R104" i="98"/>
  <c r="AK104" i="98" s="1"/>
  <c r="P104" i="98"/>
  <c r="AI104" i="98" s="1"/>
  <c r="O104" i="98"/>
  <c r="AH104" i="98" s="1"/>
  <c r="N104" i="98"/>
  <c r="AG104" i="98" s="1"/>
  <c r="L104" i="98"/>
  <c r="AE104" i="98" s="1"/>
  <c r="K104" i="98"/>
  <c r="AD104" i="98" s="1"/>
  <c r="J104" i="98"/>
  <c r="AC104" i="98" s="1"/>
  <c r="H104" i="98"/>
  <c r="AA104" i="98" s="1"/>
  <c r="G104" i="98"/>
  <c r="Z104" i="98" s="1"/>
  <c r="F104" i="98"/>
  <c r="Y104" i="98" s="1"/>
  <c r="D104" i="98"/>
  <c r="W104" i="98" s="1"/>
  <c r="C104" i="98"/>
  <c r="V104" i="98" s="1"/>
  <c r="U102" i="98"/>
  <c r="B102" i="98"/>
  <c r="Q121" i="98" s="1"/>
  <c r="B94" i="98"/>
  <c r="R91" i="98"/>
  <c r="P91" i="98"/>
  <c r="N91" i="98"/>
  <c r="L91" i="98"/>
  <c r="J91" i="98"/>
  <c r="H91" i="98"/>
  <c r="F91" i="98"/>
  <c r="D91" i="98"/>
  <c r="S90" i="98"/>
  <c r="Q90" i="98"/>
  <c r="Q97" i="98" s="1"/>
  <c r="O90" i="98"/>
  <c r="O97" i="98" s="1"/>
  <c r="M90" i="98"/>
  <c r="M97" i="98" s="1"/>
  <c r="K90" i="98"/>
  <c r="K97" i="98" s="1"/>
  <c r="I90" i="98"/>
  <c r="I97" i="98" s="1"/>
  <c r="G90" i="98"/>
  <c r="G97" i="98" s="1"/>
  <c r="E90" i="98"/>
  <c r="E97" i="98" s="1"/>
  <c r="C90" i="98"/>
  <c r="R89" i="98"/>
  <c r="P89" i="98"/>
  <c r="N89" i="98"/>
  <c r="L89" i="98"/>
  <c r="J89" i="98"/>
  <c r="H89" i="98"/>
  <c r="F89" i="98"/>
  <c r="D89" i="98"/>
  <c r="S88" i="98"/>
  <c r="Q88" i="98"/>
  <c r="O88" i="98"/>
  <c r="O95" i="98" s="1"/>
  <c r="M88" i="98"/>
  <c r="K88" i="98"/>
  <c r="K95" i="98" s="1"/>
  <c r="I88" i="98"/>
  <c r="G88" i="98"/>
  <c r="G95" i="98" s="1"/>
  <c r="E88" i="98"/>
  <c r="C88" i="98"/>
  <c r="C95" i="98" s="1"/>
  <c r="B87" i="98"/>
  <c r="Q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I29" i="98"/>
  <c r="G29" i="98"/>
  <c r="F29" i="98"/>
  <c r="D29" i="98"/>
  <c r="C29" i="98"/>
  <c r="J28" i="98"/>
  <c r="I28" i="98"/>
  <c r="G28" i="98"/>
  <c r="F28" i="98"/>
  <c r="D28" i="98"/>
  <c r="C28" i="98"/>
  <c r="B28" i="98"/>
  <c r="H22" i="98"/>
  <c r="F22" i="98"/>
  <c r="D22" i="98"/>
  <c r="C22" i="98"/>
  <c r="H21" i="98"/>
  <c r="F21" i="98"/>
  <c r="D21" i="98"/>
  <c r="C21" i="98"/>
  <c r="E21" i="98" s="1"/>
  <c r="G21" i="98" s="1"/>
  <c r="B21" i="98"/>
  <c r="L16" i="98"/>
  <c r="M16" i="98" s="1"/>
  <c r="K16" i="98"/>
  <c r="I16" i="98"/>
  <c r="G16" i="98"/>
  <c r="F16" i="98"/>
  <c r="D16" i="98"/>
  <c r="C16" i="98"/>
  <c r="L15" i="98"/>
  <c r="K15" i="98"/>
  <c r="I15" i="98"/>
  <c r="G15" i="98"/>
  <c r="F15" i="98"/>
  <c r="J15" i="98" s="1"/>
  <c r="D15" i="98"/>
  <c r="C15" i="98"/>
  <c r="B14" i="98"/>
  <c r="L11" i="98"/>
  <c r="K11" i="98"/>
  <c r="I11" i="98"/>
  <c r="H11" i="98"/>
  <c r="F11" i="98"/>
  <c r="E11" i="98"/>
  <c r="D11" i="98"/>
  <c r="C11" i="98"/>
  <c r="L10" i="98"/>
  <c r="L12" i="98" s="1"/>
  <c r="K10" i="98"/>
  <c r="K12" i="98" s="1"/>
  <c r="I10" i="98"/>
  <c r="I12" i="98" s="1"/>
  <c r="H10" i="98"/>
  <c r="H12" i="98" s="1"/>
  <c r="F10" i="98"/>
  <c r="F12" i="98" s="1"/>
  <c r="E10" i="98"/>
  <c r="E12" i="98" s="1"/>
  <c r="D10" i="98"/>
  <c r="D12" i="98" s="1"/>
  <c r="C10" i="98"/>
  <c r="C12" i="98" s="1"/>
  <c r="B9" i="98"/>
  <c r="S75" i="117"/>
  <c r="R75" i="117"/>
  <c r="Q75" i="117"/>
  <c r="P75" i="117"/>
  <c r="O75" i="117"/>
  <c r="N75" i="117"/>
  <c r="M75" i="117"/>
  <c r="L75" i="117"/>
  <c r="K75" i="117"/>
  <c r="J75" i="117"/>
  <c r="I75" i="117"/>
  <c r="H75" i="117"/>
  <c r="G75" i="117"/>
  <c r="F75" i="117"/>
  <c r="E75" i="117"/>
  <c r="D75" i="117"/>
  <c r="C75" i="117"/>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S55" i="117"/>
  <c r="R55" i="117"/>
  <c r="Q55" i="117"/>
  <c r="P55" i="117"/>
  <c r="O55" i="117"/>
  <c r="N55" i="117"/>
  <c r="M55" i="117"/>
  <c r="L55" i="117"/>
  <c r="K55" i="117"/>
  <c r="J55" i="117"/>
  <c r="I55" i="117"/>
  <c r="H55" i="117"/>
  <c r="G55" i="117"/>
  <c r="F55" i="117"/>
  <c r="E55" i="117"/>
  <c r="D55" i="117"/>
  <c r="C55" i="117"/>
  <c r="B53"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T49" i="117" s="1"/>
  <c r="S48" i="117"/>
  <c r="R48" i="117"/>
  <c r="Q48" i="117"/>
  <c r="P48" i="117"/>
  <c r="O48" i="117"/>
  <c r="N48" i="117"/>
  <c r="M48" i="117"/>
  <c r="L48" i="117"/>
  <c r="K48" i="117"/>
  <c r="J48" i="117"/>
  <c r="I48" i="117"/>
  <c r="H48" i="117"/>
  <c r="G48" i="117"/>
  <c r="F48" i="117"/>
  <c r="E48" i="117"/>
  <c r="D48" i="117"/>
  <c r="T48" i="117" s="1"/>
  <c r="C48" i="117"/>
  <c r="S47" i="117"/>
  <c r="R47" i="117"/>
  <c r="Q47" i="117"/>
  <c r="P47" i="117"/>
  <c r="O47" i="117"/>
  <c r="N47" i="117"/>
  <c r="M47" i="117"/>
  <c r="L47" i="117"/>
  <c r="K47" i="117"/>
  <c r="J47" i="117"/>
  <c r="I47" i="117"/>
  <c r="H47" i="117"/>
  <c r="G47" i="117"/>
  <c r="F47" i="117"/>
  <c r="E47" i="117"/>
  <c r="D47" i="117"/>
  <c r="C47" i="117"/>
  <c r="B45" i="117"/>
  <c r="S43" i="117"/>
  <c r="R43" i="117"/>
  <c r="Q43" i="117"/>
  <c r="P43" i="117"/>
  <c r="O43" i="117"/>
  <c r="N43" i="117"/>
  <c r="M43" i="117"/>
  <c r="L43" i="117"/>
  <c r="K43" i="117"/>
  <c r="J43" i="117"/>
  <c r="I43" i="117"/>
  <c r="H43" i="117"/>
  <c r="G43" i="117"/>
  <c r="F43" i="117"/>
  <c r="E43" i="117"/>
  <c r="D43" i="117"/>
  <c r="C43" i="117"/>
  <c r="T43" i="117" s="1"/>
  <c r="L18" i="117" s="1"/>
  <c r="S42" i="117"/>
  <c r="R42" i="117"/>
  <c r="Q42" i="117"/>
  <c r="P42" i="117"/>
  <c r="O42" i="117"/>
  <c r="N42" i="117"/>
  <c r="M42" i="117"/>
  <c r="L42" i="117"/>
  <c r="K42" i="117"/>
  <c r="J42" i="117"/>
  <c r="I42" i="117"/>
  <c r="H42" i="117"/>
  <c r="G42" i="117"/>
  <c r="F42" i="117"/>
  <c r="E42" i="117"/>
  <c r="D42" i="117"/>
  <c r="T42" i="117" s="1"/>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T39" i="117" s="1"/>
  <c r="B37" i="117"/>
  <c r="F31" i="117"/>
  <c r="E31" i="117"/>
  <c r="D31" i="117"/>
  <c r="C31" i="117"/>
  <c r="F30" i="117"/>
  <c r="F32" i="117" s="1"/>
  <c r="E30" i="117"/>
  <c r="E32" i="117" s="1"/>
  <c r="D30" i="117"/>
  <c r="C30" i="117"/>
  <c r="B30" i="117"/>
  <c r="F25" i="117"/>
  <c r="E25" i="117"/>
  <c r="D25" i="117"/>
  <c r="C25" i="117"/>
  <c r="F24" i="117"/>
  <c r="F26" i="117" s="1"/>
  <c r="E24" i="117"/>
  <c r="D24" i="117"/>
  <c r="C24" i="117"/>
  <c r="B24" i="117"/>
  <c r="F19" i="117"/>
  <c r="E19" i="117"/>
  <c r="D19" i="117"/>
  <c r="C19" i="117"/>
  <c r="F18" i="117"/>
  <c r="E18" i="117"/>
  <c r="D18" i="117"/>
  <c r="C18" i="117"/>
  <c r="B18" i="117"/>
  <c r="H17" i="117"/>
  <c r="M12" i="117" a="1"/>
  <c r="M12" i="117" s="1"/>
  <c r="L12" i="117"/>
  <c r="K12" i="117"/>
  <c r="J12" i="117"/>
  <c r="I12" i="117"/>
  <c r="F12" i="117"/>
  <c r="E12" i="117"/>
  <c r="D12" i="117"/>
  <c r="C12" i="117"/>
  <c r="M11" i="117" a="1"/>
  <c r="M11" i="117" s="1"/>
  <c r="L11" i="117"/>
  <c r="K11" i="117"/>
  <c r="J11" i="117"/>
  <c r="I11" i="117"/>
  <c r="H11" i="117"/>
  <c r="F11" i="117"/>
  <c r="F13" i="117" s="1"/>
  <c r="E11" i="117"/>
  <c r="D11" i="117"/>
  <c r="C11" i="117"/>
  <c r="B11" i="117"/>
  <c r="W6" i="117" a="1"/>
  <c r="W6" i="117"/>
  <c r="W7" i="117" s="1"/>
  <c r="W5" i="117" a="1"/>
  <c r="W5" i="117" s="1"/>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4" i="115"/>
  <c r="R64" i="115"/>
  <c r="Q64" i="115"/>
  <c r="P64" i="115"/>
  <c r="O64" i="115"/>
  <c r="N64" i="115"/>
  <c r="M64" i="115"/>
  <c r="L64" i="115"/>
  <c r="K64" i="115"/>
  <c r="J64" i="115"/>
  <c r="I64" i="115"/>
  <c r="H64" i="115"/>
  <c r="G64" i="115"/>
  <c r="F64" i="115"/>
  <c r="E64" i="115"/>
  <c r="D64" i="115"/>
  <c r="C64"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T62" i="115" s="1"/>
  <c r="S61" i="115"/>
  <c r="R61" i="115"/>
  <c r="Q61" i="115"/>
  <c r="P61" i="115"/>
  <c r="O61" i="115"/>
  <c r="N61" i="115"/>
  <c r="M61" i="115"/>
  <c r="L61" i="115"/>
  <c r="K61" i="115"/>
  <c r="J61" i="115"/>
  <c r="I61" i="115"/>
  <c r="H61" i="115"/>
  <c r="G61" i="115"/>
  <c r="F61" i="115"/>
  <c r="E61" i="115"/>
  <c r="D61" i="115"/>
  <c r="T61" i="115" s="1"/>
  <c r="C61" i="115"/>
  <c r="S60" i="115"/>
  <c r="R60" i="115"/>
  <c r="Q60" i="115"/>
  <c r="P60" i="115"/>
  <c r="O60" i="115"/>
  <c r="N60" i="115"/>
  <c r="M60" i="115"/>
  <c r="L60" i="115"/>
  <c r="K60" i="115"/>
  <c r="J60" i="115"/>
  <c r="I60" i="115"/>
  <c r="H60" i="115"/>
  <c r="G60" i="115"/>
  <c r="F60" i="115"/>
  <c r="E60" i="115"/>
  <c r="D60" i="115"/>
  <c r="C60" i="115"/>
  <c r="B58"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B42" i="115"/>
  <c r="S40" i="115"/>
  <c r="R40" i="115"/>
  <c r="Q40" i="115"/>
  <c r="P40" i="115"/>
  <c r="O40" i="115"/>
  <c r="N40" i="115"/>
  <c r="M40" i="115"/>
  <c r="L40" i="115"/>
  <c r="K40" i="115"/>
  <c r="J40" i="115"/>
  <c r="I40" i="115"/>
  <c r="H40" i="115"/>
  <c r="G40" i="115"/>
  <c r="F40" i="115"/>
  <c r="E40" i="115"/>
  <c r="D40" i="115"/>
  <c r="C40" i="115"/>
  <c r="T40" i="115" s="1"/>
  <c r="L17" i="115" s="1"/>
  <c r="S39" i="115"/>
  <c r="R39" i="115"/>
  <c r="Q39" i="115"/>
  <c r="P39" i="115"/>
  <c r="O39" i="115"/>
  <c r="N39" i="115"/>
  <c r="M39" i="115"/>
  <c r="L39" i="115"/>
  <c r="K39" i="115"/>
  <c r="J39" i="115"/>
  <c r="I39" i="115"/>
  <c r="H39" i="115"/>
  <c r="G39" i="115"/>
  <c r="F39" i="115"/>
  <c r="E39" i="115"/>
  <c r="D39" i="115"/>
  <c r="T39" i="115" s="1"/>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T36" i="115" s="1"/>
  <c r="B34" i="115"/>
  <c r="F29" i="115"/>
  <c r="E29" i="115"/>
  <c r="D29" i="115"/>
  <c r="C29" i="115"/>
  <c r="F28" i="115"/>
  <c r="E28" i="115"/>
  <c r="D28" i="115"/>
  <c r="C28" i="115"/>
  <c r="B28" i="115"/>
  <c r="B27" i="115"/>
  <c r="F23" i="115"/>
  <c r="E23" i="115"/>
  <c r="D23" i="115"/>
  <c r="C23" i="115"/>
  <c r="F22" i="115"/>
  <c r="E22" i="115"/>
  <c r="D22" i="115"/>
  <c r="D24" i="115" s="1"/>
  <c r="C22" i="115"/>
  <c r="C24" i="115" s="1"/>
  <c r="B22" i="115"/>
  <c r="F17" i="115"/>
  <c r="E17" i="115"/>
  <c r="D17" i="115"/>
  <c r="C17" i="115"/>
  <c r="H16" i="115"/>
  <c r="F16" i="115"/>
  <c r="E16" i="115"/>
  <c r="D16" i="115"/>
  <c r="D18" i="115" s="1"/>
  <c r="C16" i="115"/>
  <c r="B16" i="115"/>
  <c r="M10" i="115" a="1"/>
  <c r="M10" i="115" s="1"/>
  <c r="L10" i="115"/>
  <c r="K10" i="115"/>
  <c r="J10" i="115"/>
  <c r="I10" i="115"/>
  <c r="F10" i="115"/>
  <c r="E10" i="115"/>
  <c r="D10" i="115"/>
  <c r="C10" i="115"/>
  <c r="M9" i="115" a="1"/>
  <c r="M9" i="115"/>
  <c r="L9" i="115"/>
  <c r="K9" i="115"/>
  <c r="J9" i="115"/>
  <c r="J11" i="115" s="1"/>
  <c r="I9" i="115"/>
  <c r="H9" i="115"/>
  <c r="F9" i="115"/>
  <c r="E9" i="115"/>
  <c r="D9" i="115"/>
  <c r="D11" i="115" s="1"/>
  <c r="C9" i="115"/>
  <c r="B9" i="115"/>
  <c r="Z5" i="115" a="1"/>
  <c r="Z5" i="115" s="1"/>
  <c r="Z6" i="115" s="1"/>
  <c r="W5" i="115" a="1"/>
  <c r="W5" i="115"/>
  <c r="W6" i="115" s="1"/>
  <c r="Z4" i="115" a="1"/>
  <c r="Z4" i="115" s="1"/>
  <c r="W4" i="115" a="1"/>
  <c r="W4" i="115"/>
  <c r="N9" i="115" s="1"/>
  <c r="R125" i="101"/>
  <c r="N125" i="101"/>
  <c r="AG125" i="101" s="1"/>
  <c r="J125" i="101"/>
  <c r="F125" i="101"/>
  <c r="Y125" i="101" s="1"/>
  <c r="R124" i="101"/>
  <c r="O124" i="101"/>
  <c r="N124" i="101"/>
  <c r="K124" i="101"/>
  <c r="J124" i="101"/>
  <c r="G124" i="101"/>
  <c r="F124" i="101"/>
  <c r="C124" i="101"/>
  <c r="R123" i="101"/>
  <c r="O123" i="101"/>
  <c r="N123" i="101"/>
  <c r="K123" i="101"/>
  <c r="J123" i="101"/>
  <c r="G123" i="101"/>
  <c r="F123" i="101"/>
  <c r="C123" i="101"/>
  <c r="R122" i="101"/>
  <c r="AK122" i="101" s="1"/>
  <c r="O122" i="101"/>
  <c r="N122" i="101"/>
  <c r="K122" i="101"/>
  <c r="J122" i="101"/>
  <c r="AC122" i="101" s="1"/>
  <c r="G122" i="101"/>
  <c r="F122" i="101"/>
  <c r="C122" i="101"/>
  <c r="U120" i="101"/>
  <c r="B120" i="101"/>
  <c r="P118" i="101"/>
  <c r="L118" i="101"/>
  <c r="H118" i="101"/>
  <c r="D118" i="101"/>
  <c r="P117" i="101"/>
  <c r="L117" i="101"/>
  <c r="H117" i="101"/>
  <c r="D117" i="101"/>
  <c r="P116" i="101"/>
  <c r="L116" i="101"/>
  <c r="H116" i="101"/>
  <c r="D116" i="101"/>
  <c r="P115" i="101"/>
  <c r="AI115" i="101" s="1"/>
  <c r="L115" i="101"/>
  <c r="AE115" i="101" s="1"/>
  <c r="H115" i="101"/>
  <c r="AA115" i="101" s="1"/>
  <c r="D115" i="101"/>
  <c r="W115" i="101" s="1"/>
  <c r="U113" i="101"/>
  <c r="B113" i="101"/>
  <c r="R111" i="101"/>
  <c r="N111" i="101"/>
  <c r="J111" i="101"/>
  <c r="F111" i="101"/>
  <c r="R110" i="101"/>
  <c r="N110" i="101"/>
  <c r="J110" i="101"/>
  <c r="F110" i="101"/>
  <c r="R109" i="101"/>
  <c r="N109" i="101"/>
  <c r="J109" i="101"/>
  <c r="F109" i="101"/>
  <c r="R108" i="101"/>
  <c r="AK108" i="101" s="1"/>
  <c r="N108" i="101"/>
  <c r="AG108" i="101" s="1"/>
  <c r="J108" i="101"/>
  <c r="AC108" i="101" s="1"/>
  <c r="F108" i="101"/>
  <c r="Y108" i="101" s="1"/>
  <c r="U106" i="101"/>
  <c r="B106" i="101"/>
  <c r="Q124" i="101" s="1"/>
  <c r="P104" i="101"/>
  <c r="L104" i="101"/>
  <c r="H104" i="101"/>
  <c r="D104" i="101"/>
  <c r="P103" i="101"/>
  <c r="L103" i="101"/>
  <c r="H103" i="101"/>
  <c r="D103" i="101"/>
  <c r="P102" i="101"/>
  <c r="L102" i="101"/>
  <c r="H102" i="101"/>
  <c r="D102" i="101"/>
  <c r="P101" i="101"/>
  <c r="AI101" i="101" s="1"/>
  <c r="L101" i="101"/>
  <c r="AE101" i="101" s="1"/>
  <c r="H101" i="101"/>
  <c r="AA101" i="101" s="1"/>
  <c r="D101" i="101"/>
  <c r="W101" i="101" s="1"/>
  <c r="U99" i="101"/>
  <c r="B99" i="101"/>
  <c r="O125" i="101" s="1"/>
  <c r="AH125" i="101" s="1"/>
  <c r="B93" i="101"/>
  <c r="Q90" i="101"/>
  <c r="P90" i="101"/>
  <c r="M90" i="101"/>
  <c r="L90" i="101"/>
  <c r="I90" i="101"/>
  <c r="H90" i="101"/>
  <c r="E90" i="101"/>
  <c r="D90" i="101"/>
  <c r="R89" i="101"/>
  <c r="Q89" i="101"/>
  <c r="N89" i="101"/>
  <c r="M89" i="101"/>
  <c r="J89" i="101"/>
  <c r="I89" i="101"/>
  <c r="F89" i="101"/>
  <c r="E89" i="101"/>
  <c r="S88" i="101"/>
  <c r="R88" i="101"/>
  <c r="O88" i="101"/>
  <c r="O95" i="101" s="1"/>
  <c r="N88" i="101"/>
  <c r="N95" i="101" s="1"/>
  <c r="K88" i="101"/>
  <c r="K95" i="101" s="1"/>
  <c r="J88" i="101"/>
  <c r="G88" i="101"/>
  <c r="G95" i="101" s="1"/>
  <c r="F88" i="101"/>
  <c r="F95" i="101" s="1"/>
  <c r="C88" i="101"/>
  <c r="C95" i="101" s="1"/>
  <c r="S87" i="101"/>
  <c r="P87" i="101"/>
  <c r="P94" i="101" s="1"/>
  <c r="O87" i="101"/>
  <c r="O94" i="101" s="1"/>
  <c r="L87" i="101"/>
  <c r="L94" i="101" s="1"/>
  <c r="K87" i="101"/>
  <c r="K94" i="101" s="1"/>
  <c r="H87" i="101"/>
  <c r="H94" i="101" s="1"/>
  <c r="G87" i="101"/>
  <c r="G94" i="101" s="1"/>
  <c r="D87" i="101"/>
  <c r="D94" i="101" s="1"/>
  <c r="C87" i="101"/>
  <c r="C94" i="101" s="1"/>
  <c r="B86" i="101"/>
  <c r="S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D34" i="101"/>
  <c r="C34" i="101"/>
  <c r="G33" i="101"/>
  <c r="J29" i="101"/>
  <c r="I29" i="101"/>
  <c r="G29" i="101"/>
  <c r="F29" i="101"/>
  <c r="D29" i="101"/>
  <c r="C29" i="101"/>
  <c r="I28" i="101"/>
  <c r="G28" i="101"/>
  <c r="D28" i="101"/>
  <c r="C28" i="101"/>
  <c r="B28" i="101"/>
  <c r="J28" i="101" s="1"/>
  <c r="H22" i="101"/>
  <c r="F22" i="101"/>
  <c r="D22" i="101"/>
  <c r="C22"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E54" i="106"/>
  <c r="D54" i="106"/>
  <c r="H53" i="106"/>
  <c r="E53" i="106"/>
  <c r="D53" i="106"/>
  <c r="H52" i="106"/>
  <c r="E52" i="106"/>
  <c r="D52" i="106"/>
  <c r="H51" i="106"/>
  <c r="E51" i="106"/>
  <c r="D51" i="106"/>
  <c r="H50" i="106"/>
  <c r="E50" i="106"/>
  <c r="D50" i="106"/>
  <c r="H49" i="106"/>
  <c r="E49" i="106"/>
  <c r="D49" i="106"/>
  <c r="H48" i="106"/>
  <c r="E48" i="106"/>
  <c r="D48" i="106"/>
  <c r="H47" i="106"/>
  <c r="E47" i="106"/>
  <c r="D47" i="106"/>
  <c r="H46" i="106"/>
  <c r="E46" i="106"/>
  <c r="D46" i="106"/>
  <c r="I45" i="106"/>
  <c r="H45" i="106"/>
  <c r="E45" i="106"/>
  <c r="D45" i="106"/>
  <c r="I44" i="106"/>
  <c r="H44" i="106"/>
  <c r="E44" i="106"/>
  <c r="D44" i="106"/>
  <c r="I43" i="106"/>
  <c r="H43" i="106"/>
  <c r="E43" i="106"/>
  <c r="D43" i="106"/>
  <c r="I42" i="106"/>
  <c r="H42" i="106"/>
  <c r="E42" i="106"/>
  <c r="D42" i="106"/>
  <c r="I41" i="106"/>
  <c r="H41" i="106"/>
  <c r="E41" i="106"/>
  <c r="D41" i="106"/>
  <c r="I40" i="106"/>
  <c r="H40" i="106"/>
  <c r="E40" i="106"/>
  <c r="D40" i="106"/>
  <c r="H39" i="106"/>
  <c r="E39" i="106"/>
  <c r="D39" i="106"/>
  <c r="H38" i="106"/>
  <c r="E38" i="106"/>
  <c r="D38" i="106"/>
  <c r="H37" i="106"/>
  <c r="E37" i="106"/>
  <c r="D37" i="106"/>
  <c r="H36" i="106"/>
  <c r="E36" i="106"/>
  <c r="D36" i="106"/>
  <c r="H35" i="106"/>
  <c r="E35" i="106"/>
  <c r="D35" i="106"/>
  <c r="H34" i="106"/>
  <c r="E34" i="106"/>
  <c r="D34" i="106"/>
  <c r="H33" i="106"/>
  <c r="E33" i="106"/>
  <c r="D33" i="106"/>
  <c r="H32" i="106"/>
  <c r="E32" i="106"/>
  <c r="D32" i="106"/>
  <c r="H31" i="106"/>
  <c r="E31" i="106"/>
  <c r="D31" i="106"/>
  <c r="H30" i="106"/>
  <c r="E30" i="106"/>
  <c r="D30" i="106"/>
  <c r="H29" i="106"/>
  <c r="E29" i="106"/>
  <c r="D29" i="106"/>
  <c r="H28" i="106"/>
  <c r="E28" i="106"/>
  <c r="D28" i="106"/>
  <c r="H27" i="106"/>
  <c r="E27" i="106"/>
  <c r="D27" i="106"/>
  <c r="H26" i="106"/>
  <c r="E26" i="106"/>
  <c r="D26" i="106"/>
  <c r="H25" i="106"/>
  <c r="E25" i="106"/>
  <c r="D25" i="106"/>
  <c r="H24" i="106"/>
  <c r="E24" i="106"/>
  <c r="D24" i="106"/>
  <c r="H23" i="106"/>
  <c r="E23" i="106"/>
  <c r="D23" i="106"/>
  <c r="H22" i="106"/>
  <c r="E22" i="106"/>
  <c r="D22" i="106"/>
  <c r="H21" i="106"/>
  <c r="E21" i="106"/>
  <c r="D21" i="106"/>
  <c r="H20" i="106"/>
  <c r="E20" i="106"/>
  <c r="D20" i="106"/>
  <c r="H19" i="106"/>
  <c r="E19" i="106"/>
  <c r="D19" i="106"/>
  <c r="H18" i="106"/>
  <c r="E18" i="106"/>
  <c r="D18" i="106"/>
  <c r="H17" i="106"/>
  <c r="E17" i="106"/>
  <c r="D17" i="106"/>
  <c r="H16" i="106"/>
  <c r="E16" i="106"/>
  <c r="D16" i="106"/>
  <c r="H15" i="106"/>
  <c r="E15" i="106"/>
  <c r="D15" i="106"/>
  <c r="I14" i="106"/>
  <c r="H14" i="106"/>
  <c r="E14" i="106"/>
  <c r="D14" i="106"/>
  <c r="I13" i="106"/>
  <c r="H13" i="106"/>
  <c r="E13" i="106"/>
  <c r="D13" i="106"/>
  <c r="H12" i="106"/>
  <c r="E12" i="106"/>
  <c r="D12" i="106"/>
  <c r="H11" i="106"/>
  <c r="E11" i="106"/>
  <c r="D11" i="106"/>
  <c r="H10" i="106"/>
  <c r="E10" i="106"/>
  <c r="D10" i="106"/>
  <c r="H9" i="106"/>
  <c r="E9" i="106"/>
  <c r="D9" i="106"/>
  <c r="H8" i="106"/>
  <c r="E8" i="106"/>
  <c r="D8" i="106"/>
  <c r="H7" i="106"/>
  <c r="E7" i="106"/>
  <c r="D7" i="106"/>
  <c r="H6" i="106"/>
  <c r="H55" i="106" s="1"/>
  <c r="E6" i="106"/>
  <c r="D6" i="106"/>
  <c r="D55" i="106" s="1"/>
  <c r="U153" i="79"/>
  <c r="T153" i="79"/>
  <c r="R153" i="79"/>
  <c r="Q153" i="79"/>
  <c r="U152" i="79"/>
  <c r="T152" i="79"/>
  <c r="R152" i="79"/>
  <c r="Q152" i="79"/>
  <c r="U151" i="79"/>
  <c r="T151" i="79"/>
  <c r="R151" i="79"/>
  <c r="Q151" i="79"/>
  <c r="S151" i="79" s="1"/>
  <c r="U150" i="79"/>
  <c r="T150" i="79"/>
  <c r="R150" i="79"/>
  <c r="Q150" i="79"/>
  <c r="S150" i="79" s="1"/>
  <c r="U149" i="79"/>
  <c r="T149" i="79"/>
  <c r="R149" i="79"/>
  <c r="Q149" i="79"/>
  <c r="S149" i="79" s="1"/>
  <c r="U148" i="79"/>
  <c r="T148" i="79"/>
  <c r="R148" i="79"/>
  <c r="Q148" i="79"/>
  <c r="U147" i="79"/>
  <c r="T147" i="79"/>
  <c r="R147" i="79"/>
  <c r="Q147" i="79"/>
  <c r="S147" i="79" s="1"/>
  <c r="U146" i="79"/>
  <c r="T146" i="79"/>
  <c r="R146" i="79"/>
  <c r="Q146" i="79"/>
  <c r="S146" i="79" s="1"/>
  <c r="U145" i="79"/>
  <c r="T145" i="79"/>
  <c r="R145" i="79"/>
  <c r="Q145" i="79"/>
  <c r="S145" i="79" s="1"/>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S135" i="79" s="1"/>
  <c r="U134" i="79"/>
  <c r="T134" i="79"/>
  <c r="R134" i="79"/>
  <c r="Q134" i="79"/>
  <c r="S134" i="79" s="1"/>
  <c r="U133" i="79"/>
  <c r="T133" i="79"/>
  <c r="R133" i="79"/>
  <c r="Q133" i="79"/>
  <c r="S133" i="79" s="1"/>
  <c r="U132" i="79"/>
  <c r="T132" i="79"/>
  <c r="R132" i="79"/>
  <c r="Q132" i="79"/>
  <c r="U131" i="79"/>
  <c r="T131" i="79"/>
  <c r="R131" i="79"/>
  <c r="Q131" i="79"/>
  <c r="S131" i="79" s="1"/>
  <c r="U130" i="79"/>
  <c r="T130" i="79"/>
  <c r="R130" i="79"/>
  <c r="Q130" i="79"/>
  <c r="S130" i="79" s="1"/>
  <c r="U129" i="79"/>
  <c r="T129" i="79"/>
  <c r="R129" i="79"/>
  <c r="Q129" i="79"/>
  <c r="S129" i="79" s="1"/>
  <c r="U128" i="79"/>
  <c r="T128" i="79"/>
  <c r="R128" i="79"/>
  <c r="Q128" i="79"/>
  <c r="U127" i="79"/>
  <c r="T127" i="79"/>
  <c r="R127" i="79"/>
  <c r="Q127" i="79"/>
  <c r="S127" i="79" s="1"/>
  <c r="U126" i="79"/>
  <c r="T126" i="79"/>
  <c r="R126" i="79"/>
  <c r="Q126" i="79"/>
  <c r="S126" i="79" s="1"/>
  <c r="U125" i="79"/>
  <c r="T125" i="79"/>
  <c r="R125" i="79"/>
  <c r="Q125" i="79"/>
  <c r="S125" i="79" s="1"/>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S119" i="79" s="1"/>
  <c r="U118" i="79"/>
  <c r="T118" i="79"/>
  <c r="R118" i="79"/>
  <c r="Q118" i="79"/>
  <c r="S118" i="79" s="1"/>
  <c r="U117" i="79"/>
  <c r="T117" i="79"/>
  <c r="R117" i="79"/>
  <c r="Q117" i="79"/>
  <c r="S117" i="79" s="1"/>
  <c r="U116" i="79"/>
  <c r="T116" i="79"/>
  <c r="R116" i="79"/>
  <c r="Q116" i="79"/>
  <c r="U115" i="79"/>
  <c r="T115" i="79"/>
  <c r="R115" i="79"/>
  <c r="Q115" i="79"/>
  <c r="S115" i="79" s="1"/>
  <c r="U114" i="79"/>
  <c r="T114" i="79"/>
  <c r="R114" i="79"/>
  <c r="Q114" i="79"/>
  <c r="S114" i="79" s="1"/>
  <c r="U113" i="79"/>
  <c r="T113" i="79"/>
  <c r="R113" i="79"/>
  <c r="Q113" i="79"/>
  <c r="S113" i="79" s="1"/>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S107" i="79" s="1"/>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S39" i="79" s="1"/>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S11" i="79" s="1"/>
  <c r="Q11" i="79"/>
  <c r="U10" i="79"/>
  <c r="T10" i="79"/>
  <c r="R10" i="79"/>
  <c r="Q10" i="79"/>
  <c r="U9" i="79"/>
  <c r="T9" i="79"/>
  <c r="R9" i="79"/>
  <c r="Q9" i="79"/>
  <c r="U8" i="79"/>
  <c r="T8" i="79"/>
  <c r="R8" i="79"/>
  <c r="Q8" i="79"/>
  <c r="U7" i="79"/>
  <c r="T7" i="79"/>
  <c r="R7" i="79"/>
  <c r="Q7" i="79"/>
  <c r="U6" i="79"/>
  <c r="T6" i="79"/>
  <c r="R6" i="79"/>
  <c r="Q6" i="79"/>
  <c r="U5" i="79"/>
  <c r="T5" i="79"/>
  <c r="R5" i="79"/>
  <c r="Q5" i="79"/>
  <c r="U4" i="79"/>
  <c r="T4" i="79"/>
  <c r="R4" i="79"/>
  <c r="Q4" i="79"/>
  <c r="U3" i="79"/>
  <c r="T3" i="79"/>
  <c r="R3" i="79"/>
  <c r="Q3" i="79"/>
  <c r="U2" i="79"/>
  <c r="T2" i="79"/>
  <c r="R2" i="79"/>
  <c r="Q2" i="79"/>
  <c r="K11" i="95" l="1"/>
  <c r="F17" i="84"/>
  <c r="M11" i="115"/>
  <c r="F18" i="115"/>
  <c r="C20" i="117"/>
  <c r="N131" i="87"/>
  <c r="K7" i="88"/>
  <c r="F24" i="115"/>
  <c r="D30" i="115"/>
  <c r="C26" i="117"/>
  <c r="E16" i="114"/>
  <c r="E13" i="95"/>
  <c r="K26" i="95"/>
  <c r="E10" i="84"/>
  <c r="F10" i="84" s="1"/>
  <c r="N6" i="88"/>
  <c r="S8" i="79"/>
  <c r="S40" i="79"/>
  <c r="S56" i="79"/>
  <c r="E24" i="115"/>
  <c r="C30" i="115"/>
  <c r="E30" i="115"/>
  <c r="D26" i="117"/>
  <c r="C32" i="117"/>
  <c r="S43" i="79"/>
  <c r="S59" i="79"/>
  <c r="S87" i="79"/>
  <c r="F30" i="115"/>
  <c r="F20" i="117"/>
  <c r="E26" i="117"/>
  <c r="D32" i="117"/>
  <c r="E28" i="98"/>
  <c r="E30" i="98" s="1"/>
  <c r="H29" i="98"/>
  <c r="E28" i="114"/>
  <c r="E18" i="95"/>
  <c r="I131" i="87"/>
  <c r="N10" i="88"/>
  <c r="N17" i="88"/>
  <c r="N18" i="88"/>
  <c r="K25" i="95"/>
  <c r="M37" i="81"/>
  <c r="K7" i="95"/>
  <c r="E9" i="95"/>
  <c r="E10" i="95"/>
  <c r="K27" i="95"/>
  <c r="E6" i="84"/>
  <c r="F6" i="84" s="1"/>
  <c r="E14" i="84"/>
  <c r="I54" i="106"/>
  <c r="I53" i="106"/>
  <c r="I52" i="106"/>
  <c r="I51" i="106"/>
  <c r="I50" i="106"/>
  <c r="I49" i="106"/>
  <c r="I48" i="106"/>
  <c r="I47" i="106"/>
  <c r="I46" i="106"/>
  <c r="I39" i="106"/>
  <c r="I38" i="106"/>
  <c r="I37" i="106"/>
  <c r="I36" i="106"/>
  <c r="I35" i="106"/>
  <c r="I34" i="106"/>
  <c r="I33" i="106"/>
  <c r="I32" i="106"/>
  <c r="I31" i="106"/>
  <c r="I30" i="106"/>
  <c r="I29" i="106"/>
  <c r="I28" i="106"/>
  <c r="I27" i="106"/>
  <c r="I26" i="106"/>
  <c r="I25" i="106"/>
  <c r="I24" i="106"/>
  <c r="I23" i="106"/>
  <c r="I22" i="106"/>
  <c r="I21" i="106"/>
  <c r="I20" i="106"/>
  <c r="I19" i="106"/>
  <c r="I18" i="106"/>
  <c r="I17" i="106"/>
  <c r="I16" i="106"/>
  <c r="I15" i="106"/>
  <c r="I12" i="106"/>
  <c r="I11" i="106"/>
  <c r="I10" i="106"/>
  <c r="I9" i="106"/>
  <c r="I8" i="106"/>
  <c r="I7" i="106"/>
  <c r="I6" i="106"/>
  <c r="G36" i="101"/>
  <c r="G37" i="101" s="1"/>
  <c r="G131" i="87"/>
  <c r="K131" i="87"/>
  <c r="N10" i="115"/>
  <c r="N12" i="117" s="1"/>
  <c r="S88" i="79"/>
  <c r="T40" i="117"/>
  <c r="T41" i="117"/>
  <c r="T47" i="117"/>
  <c r="T50" i="117"/>
  <c r="T51" i="117"/>
  <c r="Z105" i="98"/>
  <c r="AE105" i="98"/>
  <c r="AK105" i="98"/>
  <c r="Z106" i="98"/>
  <c r="AE106" i="98"/>
  <c r="AK106" i="98"/>
  <c r="Z107" i="98"/>
  <c r="AE107" i="98"/>
  <c r="AK107" i="98"/>
  <c r="X112" i="98"/>
  <c r="AC112" i="98"/>
  <c r="AI112" i="98"/>
  <c r="X113" i="98"/>
  <c r="AC113" i="98"/>
  <c r="AI113" i="98"/>
  <c r="X114" i="98"/>
  <c r="AC114" i="98"/>
  <c r="AI114" i="98"/>
  <c r="Z119" i="98"/>
  <c r="AE119" i="98"/>
  <c r="AK119" i="98"/>
  <c r="Z120" i="98"/>
  <c r="AE120" i="98"/>
  <c r="AK120" i="98"/>
  <c r="Z121" i="98"/>
  <c r="AE121" i="98"/>
  <c r="AK121" i="98"/>
  <c r="Y126" i="98"/>
  <c r="AG126" i="98"/>
  <c r="Y127" i="98"/>
  <c r="AG127" i="98"/>
  <c r="Y128" i="98"/>
  <c r="AG128" i="98"/>
  <c r="AI7" i="100"/>
  <c r="Y14" i="100"/>
  <c r="AC14" i="100"/>
  <c r="AG14" i="100"/>
  <c r="AK14" i="100"/>
  <c r="AO14" i="100"/>
  <c r="Y20" i="100"/>
  <c r="AC20" i="100"/>
  <c r="AG20" i="100"/>
  <c r="AK20" i="100"/>
  <c r="AO20" i="100"/>
  <c r="Y24" i="100"/>
  <c r="AC24" i="100"/>
  <c r="AG24" i="100"/>
  <c r="AK24" i="100"/>
  <c r="AO24" i="100"/>
  <c r="AA26" i="100"/>
  <c r="AI26" i="100"/>
  <c r="S91" i="79"/>
  <c r="S103" i="79"/>
  <c r="AE102" i="101"/>
  <c r="AE103" i="101"/>
  <c r="AE104" i="101"/>
  <c r="Y109" i="101"/>
  <c r="Y110" i="101"/>
  <c r="Y111" i="101"/>
  <c r="AE116" i="101"/>
  <c r="AE117" i="101"/>
  <c r="AE118" i="101"/>
  <c r="S15" i="79"/>
  <c r="S21" i="79"/>
  <c r="S22" i="79"/>
  <c r="S23" i="79"/>
  <c r="S29" i="79"/>
  <c r="S30" i="79"/>
  <c r="S31" i="79"/>
  <c r="S37" i="79"/>
  <c r="S38" i="79"/>
  <c r="S136" i="79"/>
  <c r="S139" i="79"/>
  <c r="J95" i="101"/>
  <c r="R95" i="101"/>
  <c r="H97" i="101"/>
  <c r="P97" i="101"/>
  <c r="AI102" i="101"/>
  <c r="AI103" i="101"/>
  <c r="AI104" i="101"/>
  <c r="AC109" i="101"/>
  <c r="AC110" i="101"/>
  <c r="AC111" i="101"/>
  <c r="AI116" i="101"/>
  <c r="AI117" i="101"/>
  <c r="AI118" i="101"/>
  <c r="Y122" i="101"/>
  <c r="AG122" i="101"/>
  <c r="Y123" i="101"/>
  <c r="AG123" i="101"/>
  <c r="Y124" i="101"/>
  <c r="AG124" i="101"/>
  <c r="AC125" i="101"/>
  <c r="T46" i="115"/>
  <c r="T47" i="115"/>
  <c r="T52" i="115"/>
  <c r="T53" i="115"/>
  <c r="T56" i="115"/>
  <c r="T57" i="117"/>
  <c r="T58" i="117"/>
  <c r="T63" i="117"/>
  <c r="T64" i="117"/>
  <c r="T67" i="117"/>
  <c r="E95" i="98"/>
  <c r="M95" i="98"/>
  <c r="C97" i="98"/>
  <c r="V105" i="98"/>
  <c r="AA105" i="98"/>
  <c r="AG105" i="98"/>
  <c r="V106" i="98"/>
  <c r="AA106" i="98"/>
  <c r="AG106" i="98"/>
  <c r="V107" i="98"/>
  <c r="AA107" i="98"/>
  <c r="AG107" i="98"/>
  <c r="Y112" i="98"/>
  <c r="AE112" i="98"/>
  <c r="AJ112" i="98"/>
  <c r="Y113" i="98"/>
  <c r="AE113" i="98"/>
  <c r="AJ113" i="98"/>
  <c r="Y114" i="98"/>
  <c r="AE114" i="98"/>
  <c r="AJ114" i="98"/>
  <c r="V119" i="98"/>
  <c r="AA119" i="98"/>
  <c r="AG119" i="98"/>
  <c r="V120" i="98"/>
  <c r="AA120" i="98"/>
  <c r="AG120" i="98"/>
  <c r="V121" i="98"/>
  <c r="AA121" i="98"/>
  <c r="AG121" i="98"/>
  <c r="AA126" i="98"/>
  <c r="AI126" i="98"/>
  <c r="AA127" i="98"/>
  <c r="AI127" i="98"/>
  <c r="AA128" i="98"/>
  <c r="AI128" i="98"/>
  <c r="AK7" i="100"/>
  <c r="Z8" i="100"/>
  <c r="AD8" i="100"/>
  <c r="AH8" i="100"/>
  <c r="AL8" i="100"/>
  <c r="AO8" i="100"/>
  <c r="AB9" i="100"/>
  <c r="AF9" i="100"/>
  <c r="AJ9" i="100"/>
  <c r="AN9" i="100"/>
  <c r="Z10" i="100"/>
  <c r="AD10" i="100"/>
  <c r="AH10" i="100"/>
  <c r="AL10" i="100"/>
  <c r="AO10" i="100"/>
  <c r="AB11" i="100"/>
  <c r="AF11" i="100"/>
  <c r="AJ11" i="100"/>
  <c r="AN11" i="100"/>
  <c r="Y13" i="100"/>
  <c r="AG13" i="100"/>
  <c r="AO13" i="100"/>
  <c r="Z14" i="100"/>
  <c r="AD14" i="100"/>
  <c r="Y15" i="100"/>
  <c r="AC15" i="100"/>
  <c r="AG15" i="100"/>
  <c r="AK15" i="100"/>
  <c r="AO15" i="100"/>
  <c r="Y19" i="100"/>
  <c r="AC19" i="100"/>
  <c r="AG19" i="100"/>
  <c r="AK19" i="100"/>
  <c r="AO19" i="100"/>
  <c r="AE20" i="100"/>
  <c r="AE21" i="100"/>
  <c r="AM21" i="100"/>
  <c r="Y23" i="100"/>
  <c r="AC23" i="100"/>
  <c r="AG23" i="100"/>
  <c r="AK23" i="100"/>
  <c r="AO23" i="100"/>
  <c r="Y25" i="100"/>
  <c r="AC25" i="100"/>
  <c r="AG25" i="100"/>
  <c r="AK25" i="100"/>
  <c r="AO25" i="100"/>
  <c r="S63" i="79"/>
  <c r="S69" i="79"/>
  <c r="S70" i="79"/>
  <c r="S71" i="79"/>
  <c r="S77" i="79"/>
  <c r="S78" i="79"/>
  <c r="S79" i="79"/>
  <c r="S85" i="79"/>
  <c r="S86" i="79"/>
  <c r="W102" i="101"/>
  <c r="W103" i="101"/>
  <c r="W104" i="101"/>
  <c r="AG109" i="101"/>
  <c r="AG110" i="101"/>
  <c r="AG111" i="101"/>
  <c r="W116" i="101"/>
  <c r="W117" i="101"/>
  <c r="W118" i="101"/>
  <c r="AH122" i="101"/>
  <c r="AH123" i="101"/>
  <c r="AH124" i="101"/>
  <c r="I11" i="115"/>
  <c r="T37" i="115"/>
  <c r="T38" i="115"/>
  <c r="T60" i="115"/>
  <c r="T63" i="115"/>
  <c r="T64" i="115"/>
  <c r="W105" i="98"/>
  <c r="AC105" i="98"/>
  <c r="AH105" i="98"/>
  <c r="W106" i="98"/>
  <c r="AC106" i="98"/>
  <c r="AH106" i="98"/>
  <c r="W107" i="98"/>
  <c r="AC107" i="98"/>
  <c r="AH107" i="98"/>
  <c r="AA112" i="98"/>
  <c r="AF112" i="98"/>
  <c r="AK112" i="98"/>
  <c r="AA113" i="98"/>
  <c r="AF113" i="98"/>
  <c r="AK113" i="98"/>
  <c r="AA114" i="98"/>
  <c r="AF114" i="98"/>
  <c r="AK114" i="98"/>
  <c r="W119" i="98"/>
  <c r="AC119" i="98"/>
  <c r="AH119" i="98"/>
  <c r="W120" i="98"/>
  <c r="AC120" i="98"/>
  <c r="AH120" i="98"/>
  <c r="W121" i="98"/>
  <c r="AC121" i="98"/>
  <c r="AH121" i="98"/>
  <c r="AC126" i="98"/>
  <c r="AK126" i="98"/>
  <c r="AC127" i="98"/>
  <c r="AK127" i="98"/>
  <c r="AC128" i="98"/>
  <c r="AK128" i="98"/>
  <c r="Y11" i="100"/>
  <c r="AG11" i="100"/>
  <c r="AO11" i="100"/>
  <c r="AA13" i="100"/>
  <c r="AK13" i="100"/>
  <c r="AA15" i="100"/>
  <c r="Y16" i="100"/>
  <c r="AC16" i="100"/>
  <c r="AG16" i="100"/>
  <c r="AK16" i="100"/>
  <c r="AO16" i="100"/>
  <c r="AM16" i="100"/>
  <c r="Y18" i="100"/>
  <c r="AC18" i="100"/>
  <c r="AG18" i="100"/>
  <c r="AK18" i="100"/>
  <c r="AA20" i="100"/>
  <c r="AI20" i="100"/>
  <c r="AM20" i="100"/>
  <c r="AA24" i="100"/>
  <c r="AI24" i="100"/>
  <c r="Y26" i="100"/>
  <c r="AC26" i="100"/>
  <c r="AG26" i="100"/>
  <c r="AK26" i="100"/>
  <c r="AO26" i="100"/>
  <c r="M16" i="101"/>
  <c r="E22" i="101"/>
  <c r="G22" i="101" s="1"/>
  <c r="AA102" i="101"/>
  <c r="AA103" i="101"/>
  <c r="AA104" i="101"/>
  <c r="AK109" i="101"/>
  <c r="AK110" i="101"/>
  <c r="AK111" i="101"/>
  <c r="AA116" i="101"/>
  <c r="AA117" i="101"/>
  <c r="AA118" i="101"/>
  <c r="AC123" i="101"/>
  <c r="AK123" i="101"/>
  <c r="AC124" i="101"/>
  <c r="AK124" i="101"/>
  <c r="AK125" i="101"/>
  <c r="T44" i="115"/>
  <c r="T45" i="115"/>
  <c r="T48" i="115"/>
  <c r="T54" i="115"/>
  <c r="T55" i="115"/>
  <c r="T55" i="117"/>
  <c r="J18" i="117" s="1"/>
  <c r="T56" i="117"/>
  <c r="T59" i="117"/>
  <c r="T65" i="117"/>
  <c r="T66" i="117"/>
  <c r="I95" i="98"/>
  <c r="Q95" i="98"/>
  <c r="Y105" i="98"/>
  <c r="AD105" i="98"/>
  <c r="AI105" i="98"/>
  <c r="Y106" i="98"/>
  <c r="AD106" i="98"/>
  <c r="AI106" i="98"/>
  <c r="Y107" i="98"/>
  <c r="AD107" i="98"/>
  <c r="AI107" i="98"/>
  <c r="W112" i="98"/>
  <c r="AB112" i="98"/>
  <c r="AG112" i="98"/>
  <c r="W113" i="98"/>
  <c r="AB113" i="98"/>
  <c r="AG113" i="98"/>
  <c r="W114" i="98"/>
  <c r="AB114" i="98"/>
  <c r="AG114" i="98"/>
  <c r="Y119" i="98"/>
  <c r="AD119" i="98"/>
  <c r="AI119" i="98"/>
  <c r="Y120" i="98"/>
  <c r="AD120" i="98"/>
  <c r="AI120" i="98"/>
  <c r="Y121" i="98"/>
  <c r="AD121" i="98"/>
  <c r="AI121" i="98"/>
  <c r="W126" i="98"/>
  <c r="AE126" i="98"/>
  <c r="W127" i="98"/>
  <c r="AE127" i="98"/>
  <c r="W128" i="98"/>
  <c r="AE128" i="98"/>
  <c r="AB8" i="100"/>
  <c r="AF8" i="100"/>
  <c r="AJ8" i="100"/>
  <c r="AN8" i="100"/>
  <c r="Z9" i="100"/>
  <c r="AD9" i="100"/>
  <c r="AH9" i="100"/>
  <c r="AL9" i="100"/>
  <c r="AB10" i="100"/>
  <c r="AF10" i="100"/>
  <c r="AJ10" i="100"/>
  <c r="AN10" i="100"/>
  <c r="Z11" i="100"/>
  <c r="AD11" i="100"/>
  <c r="AH11" i="100"/>
  <c r="AL11" i="100"/>
  <c r="Y21" i="100"/>
  <c r="AC21" i="100"/>
  <c r="AG21" i="100"/>
  <c r="AK21" i="100"/>
  <c r="AO21" i="100"/>
  <c r="AE23" i="100"/>
  <c r="AE26" i="100"/>
  <c r="AE24" i="100"/>
  <c r="AM23" i="100"/>
  <c r="AM26" i="100"/>
  <c r="AM24" i="100"/>
  <c r="AA25" i="100"/>
  <c r="AE25" i="100"/>
  <c r="AI25" i="100"/>
  <c r="AM25" i="100"/>
  <c r="AB12" i="100"/>
  <c r="AF12" i="100"/>
  <c r="AJ12" i="100"/>
  <c r="AN12" i="100"/>
  <c r="AB14" i="100"/>
  <c r="AF14" i="100"/>
  <c r="AJ14" i="100"/>
  <c r="AN14" i="100"/>
  <c r="Z15" i="100"/>
  <c r="AD15" i="100"/>
  <c r="AH15" i="100"/>
  <c r="AL15" i="100"/>
  <c r="AB16" i="100"/>
  <c r="AF16" i="100"/>
  <c r="AJ16" i="100"/>
  <c r="AN16" i="100"/>
  <c r="AB18" i="100"/>
  <c r="AF18" i="100"/>
  <c r="AJ18" i="100"/>
  <c r="AN18" i="100"/>
  <c r="Z19" i="100"/>
  <c r="AD19" i="100"/>
  <c r="AH19" i="100"/>
  <c r="AL19" i="100"/>
  <c r="AB20" i="100"/>
  <c r="AF20" i="100"/>
  <c r="AJ20" i="100"/>
  <c r="AN20" i="100"/>
  <c r="Z21" i="100"/>
  <c r="AD21" i="100"/>
  <c r="AH21" i="100"/>
  <c r="AL21" i="100"/>
  <c r="Z23" i="100"/>
  <c r="AD23" i="100"/>
  <c r="AH23" i="100"/>
  <c r="AL23" i="100"/>
  <c r="AB24" i="100"/>
  <c r="AF24" i="100"/>
  <c r="AJ24" i="100"/>
  <c r="AN24" i="100"/>
  <c r="Z25" i="100"/>
  <c r="AD25" i="100"/>
  <c r="AH25" i="100"/>
  <c r="AL25" i="100"/>
  <c r="AB26" i="100"/>
  <c r="AF26" i="100"/>
  <c r="AJ26" i="100"/>
  <c r="AN26" i="100"/>
  <c r="Z27" i="100"/>
  <c r="AD27" i="100"/>
  <c r="AH27" i="100"/>
  <c r="AL27" i="100"/>
  <c r="AO27" i="100"/>
  <c r="AB28" i="100"/>
  <c r="AF28" i="100"/>
  <c r="AJ28" i="100"/>
  <c r="AB29" i="100"/>
  <c r="AF29" i="100"/>
  <c r="AJ29" i="100"/>
  <c r="AN29" i="100"/>
  <c r="AC30" i="100"/>
  <c r="AK30" i="100"/>
  <c r="Y31" i="100"/>
  <c r="AC31" i="100"/>
  <c r="AG31" i="100"/>
  <c r="AK31" i="100"/>
  <c r="AO31" i="100"/>
  <c r="AI32" i="100"/>
  <c r="AA34" i="100"/>
  <c r="Y35" i="100"/>
  <c r="AC35" i="100"/>
  <c r="AG35" i="100"/>
  <c r="AK35" i="100"/>
  <c r="AO35" i="100"/>
  <c r="AA38" i="100"/>
  <c r="Y39" i="100"/>
  <c r="AC39" i="100"/>
  <c r="AG39" i="100"/>
  <c r="AK39" i="100"/>
  <c r="AO39" i="100"/>
  <c r="AA42" i="100"/>
  <c r="Y43" i="100"/>
  <c r="AC43" i="100"/>
  <c r="AG43" i="100"/>
  <c r="AK43" i="100"/>
  <c r="AO43" i="100"/>
  <c r="Y45" i="100"/>
  <c r="AC45" i="100"/>
  <c r="AG45" i="100"/>
  <c r="AK45" i="100"/>
  <c r="AO45" i="100"/>
  <c r="AI47" i="100"/>
  <c r="AM47" i="100"/>
  <c r="Y49" i="100"/>
  <c r="AC49" i="100"/>
  <c r="AG49" i="100"/>
  <c r="AK49" i="100"/>
  <c r="AO49" i="100"/>
  <c r="AA52" i="100"/>
  <c r="AE53" i="100"/>
  <c r="AK78" i="100"/>
  <c r="AO78" i="100"/>
  <c r="AI85" i="100"/>
  <c r="AF88" i="100"/>
  <c r="AJ88" i="100"/>
  <c r="AN88" i="100"/>
  <c r="AJ89" i="100"/>
  <c r="AB96" i="100"/>
  <c r="AJ96" i="100"/>
  <c r="AA98" i="100"/>
  <c r="AE98" i="100"/>
  <c r="AI98" i="100"/>
  <c r="AM98" i="100"/>
  <c r="AA27" i="100"/>
  <c r="AI27" i="100"/>
  <c r="Y29" i="100"/>
  <c r="AG29" i="100"/>
  <c r="AO29" i="100"/>
  <c r="AI29" i="100"/>
  <c r="Y30" i="100"/>
  <c r="AI30" i="100"/>
  <c r="Y36" i="100"/>
  <c r="AC36" i="100"/>
  <c r="AG36" i="100"/>
  <c r="AK36" i="100"/>
  <c r="AO36" i="100"/>
  <c r="AM36" i="100"/>
  <c r="AA39" i="100"/>
  <c r="AM40" i="100"/>
  <c r="AI41" i="100"/>
  <c r="AE42" i="100"/>
  <c r="AE46" i="100"/>
  <c r="AM46" i="100"/>
  <c r="AI56" i="100"/>
  <c r="AI52" i="100"/>
  <c r="AM55" i="100"/>
  <c r="AM53" i="100"/>
  <c r="Z62" i="100"/>
  <c r="AD62" i="100"/>
  <c r="AH62" i="100"/>
  <c r="AL62" i="100"/>
  <c r="Z78" i="100"/>
  <c r="AD78" i="100"/>
  <c r="AH78" i="100"/>
  <c r="AL78" i="100"/>
  <c r="AN85" i="100"/>
  <c r="AH89" i="100"/>
  <c r="AH87" i="100"/>
  <c r="AB94" i="100"/>
  <c r="AB92" i="100"/>
  <c r="AF94" i="100"/>
  <c r="AF92" i="100"/>
  <c r="AJ94" i="100"/>
  <c r="AJ92" i="100"/>
  <c r="AN94" i="100"/>
  <c r="AN92" i="100"/>
  <c r="Z93" i="100"/>
  <c r="AH93" i="100"/>
  <c r="Z100" i="100"/>
  <c r="AD100" i="100"/>
  <c r="AH100" i="100"/>
  <c r="AL100" i="100"/>
  <c r="AH14" i="100"/>
  <c r="AL14" i="100"/>
  <c r="AB15" i="100"/>
  <c r="AF15" i="100"/>
  <c r="AJ15" i="100"/>
  <c r="AN15" i="100"/>
  <c r="Z16" i="100"/>
  <c r="AD16" i="100"/>
  <c r="AH16" i="100"/>
  <c r="AL16" i="100"/>
  <c r="Z18" i="100"/>
  <c r="AD18" i="100"/>
  <c r="AH18" i="100"/>
  <c r="AL18" i="100"/>
  <c r="AB19" i="100"/>
  <c r="AF19" i="100"/>
  <c r="AJ19" i="100"/>
  <c r="AN19" i="100"/>
  <c r="Z20" i="100"/>
  <c r="AD20" i="100"/>
  <c r="AH20" i="100"/>
  <c r="AL20" i="100"/>
  <c r="AB21" i="100"/>
  <c r="AF21" i="100"/>
  <c r="AJ21" i="100"/>
  <c r="AN21" i="100"/>
  <c r="AB23" i="100"/>
  <c r="AF23" i="100"/>
  <c r="AJ23" i="100"/>
  <c r="AN23" i="100"/>
  <c r="Z24" i="100"/>
  <c r="AD24" i="100"/>
  <c r="AH24" i="100"/>
  <c r="AL24" i="100"/>
  <c r="AB25" i="100"/>
  <c r="AF25" i="100"/>
  <c r="AJ25" i="100"/>
  <c r="AN25" i="100"/>
  <c r="Z26" i="100"/>
  <c r="AD26" i="100"/>
  <c r="AH26" i="100"/>
  <c r="AL26" i="100"/>
  <c r="AB27" i="100"/>
  <c r="AF27" i="100"/>
  <c r="AJ27" i="100"/>
  <c r="Z28" i="100"/>
  <c r="AD28" i="100"/>
  <c r="AH28" i="100"/>
  <c r="AL28" i="100"/>
  <c r="AA32" i="100"/>
  <c r="Y33" i="100"/>
  <c r="AC33" i="100"/>
  <c r="AG33" i="100"/>
  <c r="AK33" i="100"/>
  <c r="AO33" i="100"/>
  <c r="Y37" i="100"/>
  <c r="AC37" i="100"/>
  <c r="AG37" i="100"/>
  <c r="AK37" i="100"/>
  <c r="AO37" i="100"/>
  <c r="AI38" i="100"/>
  <c r="Y41" i="100"/>
  <c r="AC41" i="100"/>
  <c r="AG41" i="100"/>
  <c r="AK41" i="100"/>
  <c r="AO41" i="100"/>
  <c r="AI42" i="100"/>
  <c r="AA45" i="100"/>
  <c r="AI45" i="100"/>
  <c r="AM45" i="100"/>
  <c r="Y47" i="100"/>
  <c r="AC47" i="100"/>
  <c r="AG47" i="100"/>
  <c r="AK50" i="100"/>
  <c r="AK47" i="100"/>
  <c r="AO47" i="100"/>
  <c r="AA49" i="100"/>
  <c r="AI49" i="100"/>
  <c r="AM49" i="100"/>
  <c r="AA54" i="100"/>
  <c r="AH88" i="100"/>
  <c r="AL88" i="100"/>
  <c r="AF96" i="100"/>
  <c r="Y100" i="100"/>
  <c r="AC100" i="100"/>
  <c r="AG100" i="100"/>
  <c r="AK100" i="100"/>
  <c r="AO100" i="100"/>
  <c r="AA100" i="100"/>
  <c r="AE100" i="100"/>
  <c r="AI100" i="100"/>
  <c r="AM100" i="100"/>
  <c r="AE27" i="100"/>
  <c r="Y34" i="100"/>
  <c r="AC34" i="100"/>
  <c r="AG34" i="100"/>
  <c r="AK34" i="100"/>
  <c r="AO34" i="100"/>
  <c r="AA37" i="100"/>
  <c r="Y38" i="100"/>
  <c r="AC38" i="100"/>
  <c r="AG38" i="100"/>
  <c r="AK38" i="100"/>
  <c r="AO38" i="100"/>
  <c r="Y42" i="100"/>
  <c r="AC42" i="100"/>
  <c r="AG42" i="100"/>
  <c r="AK42" i="100"/>
  <c r="AE44" i="100"/>
  <c r="AM44" i="100"/>
  <c r="Y46" i="100"/>
  <c r="AC46" i="100"/>
  <c r="AG46" i="100"/>
  <c r="AK46" i="100"/>
  <c r="AO46" i="100"/>
  <c r="AE47" i="100"/>
  <c r="AE48" i="100"/>
  <c r="AI51" i="100"/>
  <c r="AM48" i="100"/>
  <c r="AI48" i="100"/>
  <c r="Y50" i="100"/>
  <c r="AG50" i="100"/>
  <c r="AO50" i="100"/>
  <c r="AE51" i="100"/>
  <c r="Y78" i="100"/>
  <c r="AA77" i="100"/>
  <c r="AE77" i="100"/>
  <c r="AG78" i="100"/>
  <c r="Y80" i="100"/>
  <c r="AC80" i="100"/>
  <c r="AD93" i="100"/>
  <c r="AB100" i="100"/>
  <c r="AF100" i="100"/>
  <c r="AJ100" i="100"/>
  <c r="AN100" i="100"/>
  <c r="AA101" i="100"/>
  <c r="AE101" i="100"/>
  <c r="AI101" i="100"/>
  <c r="AM101" i="100"/>
  <c r="AA51" i="100"/>
  <c r="AA47" i="100"/>
  <c r="AC50" i="100"/>
  <c r="Y53" i="100"/>
  <c r="AO53" i="100"/>
  <c r="AG54" i="100"/>
  <c r="Y55" i="100"/>
  <c r="AG56" i="100"/>
  <c r="Z57" i="100"/>
  <c r="AD57" i="100"/>
  <c r="AH57" i="100"/>
  <c r="AL57" i="100"/>
  <c r="AB62" i="100"/>
  <c r="AF62" i="100"/>
  <c r="AJ62" i="100"/>
  <c r="AN62" i="100"/>
  <c r="Z67" i="100"/>
  <c r="AD67" i="100"/>
  <c r="AH67" i="100"/>
  <c r="AL67" i="100"/>
  <c r="Z77" i="100"/>
  <c r="AD81" i="100"/>
  <c r="AH81" i="100"/>
  <c r="AL79" i="100"/>
  <c r="AL77" i="100"/>
  <c r="AL93" i="100"/>
  <c r="AN96" i="100"/>
  <c r="AE94" i="100"/>
  <c r="AI94" i="100"/>
  <c r="AM94" i="100"/>
  <c r="Z95" i="100"/>
  <c r="AB95" i="100"/>
  <c r="AD95" i="100"/>
  <c r="AF95" i="100"/>
  <c r="AH95" i="100"/>
  <c r="AJ95" i="100"/>
  <c r="AL95" i="100"/>
  <c r="AN95" i="100"/>
  <c r="AC96" i="100"/>
  <c r="AE96" i="100"/>
  <c r="AG96" i="100"/>
  <c r="AI96" i="100"/>
  <c r="AK96" i="100"/>
  <c r="AM96" i="100"/>
  <c r="AO96" i="100"/>
  <c r="Z101" i="100"/>
  <c r="AB99" i="100"/>
  <c r="AD101" i="100"/>
  <c r="AF99" i="100"/>
  <c r="AH101" i="100"/>
  <c r="AJ99" i="100"/>
  <c r="AL101" i="100"/>
  <c r="AN99" i="100"/>
  <c r="Z103" i="100"/>
  <c r="AF106" i="100"/>
  <c r="AJ106" i="100"/>
  <c r="AN106" i="100"/>
  <c r="AA104" i="100"/>
  <c r="Z105" i="100"/>
  <c r="AD105" i="100"/>
  <c r="Y106" i="100"/>
  <c r="AC106" i="100"/>
  <c r="AG106" i="100"/>
  <c r="AK106" i="100"/>
  <c r="AO106" i="100"/>
  <c r="AJ109" i="100"/>
  <c r="AN111" i="100"/>
  <c r="AB108" i="100"/>
  <c r="AF108" i="100"/>
  <c r="AJ108" i="100"/>
  <c r="AN108" i="100"/>
  <c r="Y109" i="100"/>
  <c r="AA109" i="100"/>
  <c r="AC109" i="100"/>
  <c r="AE109" i="100"/>
  <c r="AG109" i="100"/>
  <c r="AI109" i="100"/>
  <c r="AK109" i="100"/>
  <c r="AM109" i="100"/>
  <c r="AO109" i="100"/>
  <c r="AA110" i="100"/>
  <c r="AB112" i="100"/>
  <c r="AF112" i="100"/>
  <c r="AJ112" i="100"/>
  <c r="AN116" i="100"/>
  <c r="AB114" i="100"/>
  <c r="AF114" i="100"/>
  <c r="AJ114" i="100"/>
  <c r="AN114" i="100"/>
  <c r="AD115" i="100"/>
  <c r="AH115" i="100"/>
  <c r="AL115" i="100"/>
  <c r="Y117" i="100"/>
  <c r="AC118" i="100"/>
  <c r="AG121" i="100"/>
  <c r="AK120" i="100"/>
  <c r="AI120" i="100"/>
  <c r="AM120" i="100"/>
  <c r="AD121" i="100"/>
  <c r="Z34" i="100"/>
  <c r="AD34" i="100"/>
  <c r="AH34" i="100"/>
  <c r="AL34" i="100"/>
  <c r="AB35" i="100"/>
  <c r="AF35" i="100"/>
  <c r="AJ35" i="100"/>
  <c r="AN35" i="100"/>
  <c r="Z36" i="100"/>
  <c r="AD36" i="100"/>
  <c r="AH36" i="100"/>
  <c r="AL36" i="100"/>
  <c r="AB39" i="100"/>
  <c r="AF39" i="100"/>
  <c r="AJ39" i="100"/>
  <c r="AN39" i="100"/>
  <c r="Z40" i="100"/>
  <c r="AD40" i="100"/>
  <c r="AH40" i="100"/>
  <c r="AL40" i="100"/>
  <c r="AB41" i="100"/>
  <c r="AF41" i="100"/>
  <c r="AJ41" i="100"/>
  <c r="AN41" i="100"/>
  <c r="AB43" i="100"/>
  <c r="AF43" i="100"/>
  <c r="AJ43" i="100"/>
  <c r="AN43" i="100"/>
  <c r="Z44" i="100"/>
  <c r="AD44" i="100"/>
  <c r="AH44" i="100"/>
  <c r="AL44" i="100"/>
  <c r="AB45" i="100"/>
  <c r="AF45" i="100"/>
  <c r="AJ45" i="100"/>
  <c r="AN45" i="100"/>
  <c r="Z46" i="100"/>
  <c r="AD46" i="100"/>
  <c r="AH46" i="100"/>
  <c r="AL46" i="100"/>
  <c r="Z48" i="100"/>
  <c r="AD48" i="100"/>
  <c r="AH48" i="100"/>
  <c r="AL48" i="100"/>
  <c r="AB49" i="100"/>
  <c r="AF49" i="100"/>
  <c r="AJ49" i="100"/>
  <c r="AN49" i="100"/>
  <c r="Z50" i="100"/>
  <c r="AD50" i="100"/>
  <c r="AH50" i="100"/>
  <c r="AB51" i="100"/>
  <c r="AF51" i="100"/>
  <c r="AJ51" i="100"/>
  <c r="AN51" i="100"/>
  <c r="Z52" i="100"/>
  <c r="AD52" i="100"/>
  <c r="AH52" i="100"/>
  <c r="AL52" i="100"/>
  <c r="AE58" i="100"/>
  <c r="AM58" i="100"/>
  <c r="AE64" i="100"/>
  <c r="AM64" i="100"/>
  <c r="AE66" i="100"/>
  <c r="AM66" i="100"/>
  <c r="AE68" i="100"/>
  <c r="AM68" i="100"/>
  <c r="AE70" i="100"/>
  <c r="AM70" i="100"/>
  <c r="AO92" i="100"/>
  <c r="AB104" i="100"/>
  <c r="AF104" i="100"/>
  <c r="AJ104" i="100"/>
  <c r="AA105" i="100"/>
  <c r="AE105" i="100"/>
  <c r="AI105" i="100"/>
  <c r="AM105" i="100"/>
  <c r="AG111" i="100"/>
  <c r="AK111" i="100"/>
  <c r="AD111" i="100"/>
  <c r="AA113" i="100"/>
  <c r="AE113" i="100"/>
  <c r="AI115" i="100"/>
  <c r="AM112" i="100"/>
  <c r="Y114" i="100"/>
  <c r="AA115" i="100"/>
  <c r="AE115" i="100"/>
  <c r="Y116" i="100"/>
  <c r="AC116" i="100"/>
  <c r="AG116" i="100"/>
  <c r="AK116" i="100"/>
  <c r="AO116" i="100"/>
  <c r="AD118" i="100"/>
  <c r="AB120" i="100"/>
  <c r="AJ120" i="100"/>
  <c r="AN120" i="100"/>
  <c r="AH125" i="100"/>
  <c r="AH122" i="100"/>
  <c r="Z123" i="100"/>
  <c r="AH123" i="100"/>
  <c r="Y124" i="100"/>
  <c r="AC124" i="100"/>
  <c r="AC122" i="100"/>
  <c r="AG124" i="100"/>
  <c r="AO124" i="100"/>
  <c r="Y126" i="100"/>
  <c r="AC126" i="100"/>
  <c r="AM126" i="100"/>
  <c r="AC89" i="100"/>
  <c r="AE89" i="100"/>
  <c r="AG89" i="100"/>
  <c r="AI89" i="100"/>
  <c r="AK89" i="100"/>
  <c r="AM89" i="100"/>
  <c r="AO89" i="100"/>
  <c r="AE93" i="100"/>
  <c r="AI93" i="100"/>
  <c r="AM93" i="100"/>
  <c r="AC95" i="100"/>
  <c r="AE95" i="100"/>
  <c r="AG95" i="100"/>
  <c r="AI95" i="100"/>
  <c r="AK95" i="100"/>
  <c r="AM95" i="100"/>
  <c r="AO95" i="100"/>
  <c r="Y101" i="100"/>
  <c r="AA97" i="100"/>
  <c r="AC101" i="100"/>
  <c r="AE97" i="100"/>
  <c r="AG101" i="100"/>
  <c r="AI97" i="100"/>
  <c r="AK101" i="100"/>
  <c r="AM97" i="100"/>
  <c r="AO101" i="100"/>
  <c r="AN102" i="100"/>
  <c r="AD103" i="100"/>
  <c r="AH103" i="100"/>
  <c r="AL103" i="100"/>
  <c r="AB105" i="100"/>
  <c r="AF105" i="100"/>
  <c r="AJ105" i="100"/>
  <c r="AN105" i="100"/>
  <c r="AA106" i="100"/>
  <c r="AE106" i="100"/>
  <c r="AI106" i="100"/>
  <c r="AM106" i="100"/>
  <c r="Y108" i="100"/>
  <c r="AC111" i="100"/>
  <c r="Y110" i="100"/>
  <c r="AC110" i="100"/>
  <c r="AF110" i="100"/>
  <c r="AJ110" i="100"/>
  <c r="AN110" i="100"/>
  <c r="Z114" i="100"/>
  <c r="AD114" i="100"/>
  <c r="AH114" i="100"/>
  <c r="AL114" i="100"/>
  <c r="AO114" i="100"/>
  <c r="AA120" i="100"/>
  <c r="AE118" i="100"/>
  <c r="AI119" i="100"/>
  <c r="AM118" i="100"/>
  <c r="Y120" i="100"/>
  <c r="AC120" i="100"/>
  <c r="AG120" i="100"/>
  <c r="AJ121" i="100"/>
  <c r="AF122" i="100"/>
  <c r="AF125" i="100"/>
  <c r="AN125" i="100"/>
  <c r="AN28" i="100"/>
  <c r="Z29" i="100"/>
  <c r="AD29" i="100"/>
  <c r="AH29" i="100"/>
  <c r="AL29" i="100"/>
  <c r="AB30" i="100"/>
  <c r="AF30" i="100"/>
  <c r="AJ30" i="100"/>
  <c r="AN30" i="100"/>
  <c r="Z31" i="100"/>
  <c r="AD31" i="100"/>
  <c r="AH31" i="100"/>
  <c r="AL31" i="100"/>
  <c r="AB32" i="100"/>
  <c r="AF32" i="100"/>
  <c r="AJ32" i="100"/>
  <c r="AN32" i="100"/>
  <c r="Z33" i="100"/>
  <c r="AD33" i="100"/>
  <c r="AH33" i="100"/>
  <c r="AL33" i="100"/>
  <c r="AB34" i="100"/>
  <c r="AF34" i="100"/>
  <c r="AJ34" i="100"/>
  <c r="AN34" i="100"/>
  <c r="Z35" i="100"/>
  <c r="AD35" i="100"/>
  <c r="AH35" i="100"/>
  <c r="AL35" i="100"/>
  <c r="AB36" i="100"/>
  <c r="AF36" i="100"/>
  <c r="AJ36" i="100"/>
  <c r="AN36" i="100"/>
  <c r="Z37" i="100"/>
  <c r="AD37" i="100"/>
  <c r="AH37" i="100"/>
  <c r="AL37" i="100"/>
  <c r="AB38" i="100"/>
  <c r="AF38" i="100"/>
  <c r="AJ38" i="100"/>
  <c r="AN38" i="100"/>
  <c r="Z39" i="100"/>
  <c r="AD39" i="100"/>
  <c r="AH39" i="100"/>
  <c r="AL39" i="100"/>
  <c r="AB40" i="100"/>
  <c r="AF40" i="100"/>
  <c r="AJ40" i="100"/>
  <c r="AN40" i="100"/>
  <c r="Z41" i="100"/>
  <c r="AD41" i="100"/>
  <c r="AH41" i="100"/>
  <c r="AL41" i="100"/>
  <c r="Z43" i="100"/>
  <c r="AD43" i="100"/>
  <c r="AH43" i="100"/>
  <c r="AL43" i="100"/>
  <c r="AB44" i="100"/>
  <c r="AF44" i="100"/>
  <c r="AJ44" i="100"/>
  <c r="AN44" i="100"/>
  <c r="Z45" i="100"/>
  <c r="AD45" i="100"/>
  <c r="AH45" i="100"/>
  <c r="AL45" i="100"/>
  <c r="AB46" i="100"/>
  <c r="AF46" i="100"/>
  <c r="AJ46" i="100"/>
  <c r="AN46" i="100"/>
  <c r="AB48" i="100"/>
  <c r="AF48" i="100"/>
  <c r="AJ48" i="100"/>
  <c r="AN48" i="100"/>
  <c r="Z49" i="100"/>
  <c r="AD49" i="100"/>
  <c r="AH49" i="100"/>
  <c r="AL49" i="100"/>
  <c r="AB52" i="100"/>
  <c r="AF52" i="100"/>
  <c r="AJ52" i="100"/>
  <c r="AN52" i="100"/>
  <c r="AC54" i="100"/>
  <c r="AK53" i="100"/>
  <c r="AE54" i="100"/>
  <c r="AI54" i="100"/>
  <c r="AM54" i="100"/>
  <c r="AD77" i="100"/>
  <c r="Y102" i="100"/>
  <c r="AA102" i="100"/>
  <c r="AC102" i="100"/>
  <c r="AE102" i="100"/>
  <c r="AG102" i="100"/>
  <c r="AI102" i="100"/>
  <c r="AK102" i="100"/>
  <c r="AM102" i="100"/>
  <c r="AO102" i="100"/>
  <c r="AE103" i="100"/>
  <c r="AI103" i="100"/>
  <c r="AM103" i="100"/>
  <c r="Y105" i="100"/>
  <c r="AC105" i="100"/>
  <c r="AG105" i="100"/>
  <c r="AK105" i="100"/>
  <c r="AO105" i="100"/>
  <c r="AA107" i="100"/>
  <c r="AE107" i="100"/>
  <c r="AI107" i="100"/>
  <c r="AM107" i="100"/>
  <c r="AO110" i="100"/>
  <c r="AJ111" i="100"/>
  <c r="Y113" i="100"/>
  <c r="AC114" i="100"/>
  <c r="AC113" i="100"/>
  <c r="AG113" i="100"/>
  <c r="AK113" i="100"/>
  <c r="AG115" i="100"/>
  <c r="AA116" i="100"/>
  <c r="AE112" i="100"/>
  <c r="AI116" i="100"/>
  <c r="AM116" i="100"/>
  <c r="AK117" i="100"/>
  <c r="AA119" i="100"/>
  <c r="AE119" i="100"/>
  <c r="AM119" i="100"/>
  <c r="AA126" i="100"/>
  <c r="AE124" i="100"/>
  <c r="AI126" i="100"/>
  <c r="AM124" i="100"/>
  <c r="AL125" i="100"/>
  <c r="AE126" i="100"/>
  <c r="AK126" i="100"/>
  <c r="AH133" i="100"/>
  <c r="AA136" i="100"/>
  <c r="AE134" i="100"/>
  <c r="AI136" i="100"/>
  <c r="AM134" i="100"/>
  <c r="AD135" i="100"/>
  <c r="AL135" i="100"/>
  <c r="AN135" i="100"/>
  <c r="AB136" i="100"/>
  <c r="AF136" i="100"/>
  <c r="AJ136" i="100"/>
  <c r="AN136" i="100"/>
  <c r="AE137" i="100"/>
  <c r="AE140" i="100"/>
  <c r="AM137" i="100"/>
  <c r="AM140" i="100"/>
  <c r="Z138" i="100"/>
  <c r="AD138" i="100"/>
  <c r="AH138" i="100"/>
  <c r="AL138" i="100"/>
  <c r="Y139" i="100"/>
  <c r="AC139" i="100"/>
  <c r="AG139" i="100"/>
  <c r="AM139" i="100"/>
  <c r="Y140" i="100"/>
  <c r="AG140" i="100"/>
  <c r="AA141" i="100"/>
  <c r="AI141" i="100"/>
  <c r="Z110" i="100"/>
  <c r="AK110" i="100"/>
  <c r="AO120" i="100"/>
  <c r="AL123" i="100"/>
  <c r="AN122" i="100"/>
  <c r="AN123" i="100"/>
  <c r="Y136" i="100"/>
  <c r="AC136" i="100"/>
  <c r="AK136" i="100"/>
  <c r="AA138" i="100"/>
  <c r="AE138" i="100"/>
  <c r="AI138" i="100"/>
  <c r="AM138" i="100"/>
  <c r="AK139" i="100"/>
  <c r="Y141" i="100"/>
  <c r="AG141" i="100"/>
  <c r="AJ141" i="100"/>
  <c r="AO141" i="100"/>
  <c r="AO138" i="100"/>
  <c r="AO139" i="100"/>
  <c r="AO137" i="100"/>
  <c r="AG126" i="100"/>
  <c r="Y132" i="100"/>
  <c r="AC134" i="100"/>
  <c r="AG132" i="100"/>
  <c r="AK134" i="100"/>
  <c r="AO132" i="100"/>
  <c r="AF135" i="100"/>
  <c r="Z136" i="100"/>
  <c r="AD136" i="100"/>
  <c r="AH136" i="100"/>
  <c r="AL136" i="100"/>
  <c r="Y137" i="100"/>
  <c r="AC137" i="100"/>
  <c r="AC140" i="100"/>
  <c r="AG137" i="100"/>
  <c r="AK137" i="100"/>
  <c r="AK140" i="100"/>
  <c r="AB138" i="100"/>
  <c r="AF138" i="100"/>
  <c r="AE139" i="100"/>
  <c r="AI139" i="100"/>
  <c r="AA140" i="100"/>
  <c r="AI140" i="100"/>
  <c r="AE141" i="100"/>
  <c r="AM141" i="100"/>
  <c r="AO111" i="100"/>
  <c r="AI110" i="100"/>
  <c r="AA122" i="100"/>
  <c r="AE122" i="100"/>
  <c r="AI122" i="100"/>
  <c r="AK122" i="100"/>
  <c r="AL122" i="100"/>
  <c r="AE136" i="100"/>
  <c r="AM136" i="100"/>
  <c r="AC141" i="100"/>
  <c r="AF141" i="100"/>
  <c r="AK141" i="100"/>
  <c r="AB141" i="100"/>
  <c r="AE149" i="100"/>
  <c r="AM149" i="100"/>
  <c r="AE153" i="100"/>
  <c r="AM153" i="100"/>
  <c r="AE155" i="100"/>
  <c r="AM155" i="100"/>
  <c r="AG157" i="100"/>
  <c r="AG159" i="100"/>
  <c r="AG162" i="100"/>
  <c r="AG163" i="100"/>
  <c r="Y165" i="100"/>
  <c r="AG165" i="100"/>
  <c r="AO165" i="100"/>
  <c r="AK165" i="100"/>
  <c r="AC169" i="100"/>
  <c r="Y173" i="100"/>
  <c r="AG173" i="100"/>
  <c r="Y174" i="100"/>
  <c r="AC175" i="100"/>
  <c r="AA176" i="100"/>
  <c r="AG176" i="100"/>
  <c r="AL139" i="100"/>
  <c r="Y149" i="100"/>
  <c r="AG149" i="100"/>
  <c r="AO149" i="100"/>
  <c r="AC150" i="100"/>
  <c r="AK150" i="100"/>
  <c r="Y151" i="100"/>
  <c r="AG151" i="100"/>
  <c r="AO151" i="100"/>
  <c r="AC156" i="100"/>
  <c r="Z163" i="100"/>
  <c r="AD163" i="100"/>
  <c r="AH163" i="100"/>
  <c r="AL163" i="100"/>
  <c r="AC166" i="100"/>
  <c r="AK166" i="100"/>
  <c r="AM166" i="100"/>
  <c r="AE167" i="100"/>
  <c r="AM167" i="100"/>
  <c r="AC167" i="100"/>
  <c r="AA170" i="100"/>
  <c r="AI170" i="100"/>
  <c r="AE170" i="100"/>
  <c r="Y171" i="100"/>
  <c r="AG171" i="100"/>
  <c r="AO171" i="100"/>
  <c r="AK171" i="100"/>
  <c r="AG172" i="100"/>
  <c r="AC173" i="100"/>
  <c r="AA174" i="100"/>
  <c r="AI174" i="100"/>
  <c r="AA175" i="100"/>
  <c r="AE175" i="100"/>
  <c r="AI175" i="100"/>
  <c r="AK175" i="100"/>
  <c r="AO176" i="100"/>
  <c r="AB177" i="100"/>
  <c r="AF177" i="100"/>
  <c r="AJ177" i="100"/>
  <c r="AN177" i="100"/>
  <c r="AL141" i="100"/>
  <c r="AK157" i="100"/>
  <c r="AA158" i="100"/>
  <c r="AI158" i="100"/>
  <c r="AM158" i="100"/>
  <c r="AE159" i="100"/>
  <c r="AM159" i="100"/>
  <c r="AK159" i="100"/>
  <c r="AA160" i="100"/>
  <c r="AI160" i="100"/>
  <c r="AM160" i="100"/>
  <c r="AE161" i="100"/>
  <c r="AM161" i="100"/>
  <c r="AC162" i="100"/>
  <c r="AA164" i="100"/>
  <c r="AI164" i="100"/>
  <c r="AM164" i="100"/>
  <c r="AE165" i="100"/>
  <c r="AM165" i="100"/>
  <c r="AC165" i="100"/>
  <c r="AA168" i="100"/>
  <c r="AI168" i="100"/>
  <c r="AE168" i="100"/>
  <c r="Y169" i="100"/>
  <c r="AG169" i="100"/>
  <c r="AO169" i="100"/>
  <c r="AK169" i="100"/>
  <c r="AK173" i="100"/>
  <c r="AO174" i="100"/>
  <c r="AC176" i="100"/>
  <c r="AK176" i="100"/>
  <c r="Z178" i="100"/>
  <c r="AD178" i="100"/>
  <c r="AH178" i="100"/>
  <c r="Y148" i="100"/>
  <c r="AG148" i="100"/>
  <c r="AO148" i="100"/>
  <c r="Y154" i="100"/>
  <c r="AG154" i="100"/>
  <c r="AO154" i="100"/>
  <c r="AC157" i="100"/>
  <c r="AB158" i="100"/>
  <c r="AF158" i="100"/>
  <c r="AJ158" i="100"/>
  <c r="AN158" i="100"/>
  <c r="AO158" i="100"/>
  <c r="AC159" i="100"/>
  <c r="AO159" i="100"/>
  <c r="AE160" i="100"/>
  <c r="AO162" i="100"/>
  <c r="AE164" i="100"/>
  <c r="AA166" i="100"/>
  <c r="AI166" i="100"/>
  <c r="AE166" i="100"/>
  <c r="Y167" i="100"/>
  <c r="AG167" i="100"/>
  <c r="AO167" i="100"/>
  <c r="AK167" i="100"/>
  <c r="AC170" i="100"/>
  <c r="AK170" i="100"/>
  <c r="AM170" i="100"/>
  <c r="AE171" i="100"/>
  <c r="AM171" i="100"/>
  <c r="AC171" i="100"/>
  <c r="Y172" i="100"/>
  <c r="AC174" i="100"/>
  <c r="AK174" i="100"/>
  <c r="Y175" i="100"/>
  <c r="AG175" i="100"/>
  <c r="AO175" i="100"/>
  <c r="AB181" i="100"/>
  <c r="AF181" i="100"/>
  <c r="AJ181" i="100"/>
  <c r="AN181" i="100"/>
  <c r="AE174" i="100"/>
  <c r="AM174" i="100"/>
  <c r="AE178" i="100"/>
  <c r="AM178" i="100"/>
  <c r="AE180" i="100"/>
  <c r="AM180" i="100"/>
  <c r="AM182" i="100"/>
  <c r="AA187" i="100"/>
  <c r="AK187" i="100"/>
  <c r="AB191" i="100"/>
  <c r="AF191" i="100"/>
  <c r="AJ191" i="100"/>
  <c r="AN191" i="100"/>
  <c r="Y192" i="100"/>
  <c r="AC192" i="100"/>
  <c r="AG192" i="100"/>
  <c r="AK192" i="100"/>
  <c r="AO196" i="100"/>
  <c r="AO192" i="100"/>
  <c r="AM192" i="100"/>
  <c r="Y194" i="100"/>
  <c r="AC194" i="100"/>
  <c r="AG194" i="100"/>
  <c r="AK194" i="100"/>
  <c r="AO194" i="100"/>
  <c r="AE195" i="100"/>
  <c r="AE196" i="100"/>
  <c r="AM196" i="100"/>
  <c r="Y200" i="100"/>
  <c r="AN183" i="100"/>
  <c r="AK183" i="100"/>
  <c r="Z184" i="100"/>
  <c r="AD184" i="100"/>
  <c r="AH184" i="100"/>
  <c r="AL184" i="100"/>
  <c r="Y184" i="100"/>
  <c r="AG184" i="100"/>
  <c r="AO184" i="100"/>
  <c r="AB185" i="100"/>
  <c r="AF185" i="100"/>
  <c r="AJ185" i="100"/>
  <c r="AN185" i="100"/>
  <c r="AK185" i="100"/>
  <c r="Z186" i="100"/>
  <c r="AD186" i="100"/>
  <c r="AH186" i="100"/>
  <c r="AL186" i="100"/>
  <c r="AB189" i="100"/>
  <c r="AF189" i="100"/>
  <c r="AJ189" i="100"/>
  <c r="AN189" i="100"/>
  <c r="AE189" i="100"/>
  <c r="AC190" i="100"/>
  <c r="AK190" i="100"/>
  <c r="Y191" i="100"/>
  <c r="AG191" i="100"/>
  <c r="AO191" i="100"/>
  <c r="AA195" i="100"/>
  <c r="F199" i="100"/>
  <c r="Y197" i="100"/>
  <c r="Y198" i="100"/>
  <c r="Y199" i="100"/>
  <c r="Y201" i="100"/>
  <c r="AM177" i="100"/>
  <c r="AM183" i="100"/>
  <c r="AC188" i="100"/>
  <c r="AK188" i="100"/>
  <c r="Y189" i="100"/>
  <c r="AG189" i="100"/>
  <c r="AO189" i="100"/>
  <c r="Z190" i="100"/>
  <c r="AD190" i="100"/>
  <c r="AH190" i="100"/>
  <c r="AL190" i="100"/>
  <c r="AE194" i="100"/>
  <c r="AM194" i="100"/>
  <c r="Y196" i="100"/>
  <c r="AC196" i="100"/>
  <c r="AG196" i="100"/>
  <c r="AK196" i="100"/>
  <c r="Z167" i="100"/>
  <c r="AD167" i="100"/>
  <c r="AH167" i="100"/>
  <c r="AL167" i="100"/>
  <c r="AB168" i="100"/>
  <c r="AF168" i="100"/>
  <c r="AJ168" i="100"/>
  <c r="AN168" i="100"/>
  <c r="AB172" i="100"/>
  <c r="AF172" i="100"/>
  <c r="AJ172" i="100"/>
  <c r="AN172" i="100"/>
  <c r="Z173" i="100"/>
  <c r="AD173" i="100"/>
  <c r="AH173" i="100"/>
  <c r="AL173" i="100"/>
  <c r="Z177" i="100"/>
  <c r="AD177" i="100"/>
  <c r="AH177" i="100"/>
  <c r="AL177" i="100"/>
  <c r="AB178" i="100"/>
  <c r="AF178" i="100"/>
  <c r="AJ178" i="100"/>
  <c r="AN178" i="100"/>
  <c r="Z179" i="100"/>
  <c r="AD179" i="100"/>
  <c r="AH179" i="100"/>
  <c r="AL179" i="100"/>
  <c r="AB180" i="100"/>
  <c r="AF180" i="100"/>
  <c r="AJ180" i="100"/>
  <c r="AN180" i="100"/>
  <c r="Z181" i="100"/>
  <c r="AD181" i="100"/>
  <c r="AH181" i="100"/>
  <c r="AL181" i="100"/>
  <c r="AB182" i="100"/>
  <c r="AF182" i="100"/>
  <c r="AJ182" i="100"/>
  <c r="AK182" i="100"/>
  <c r="Z183" i="100"/>
  <c r="AD183" i="100"/>
  <c r="AH183" i="100"/>
  <c r="AL183" i="100"/>
  <c r="AB184" i="100"/>
  <c r="AF184" i="100"/>
  <c r="AJ184" i="100"/>
  <c r="AN184" i="100"/>
  <c r="AK184" i="100"/>
  <c r="Z185" i="100"/>
  <c r="AD185" i="100"/>
  <c r="AH185" i="100"/>
  <c r="AL185" i="100"/>
  <c r="AB186" i="100"/>
  <c r="AF186" i="100"/>
  <c r="AJ186" i="100"/>
  <c r="AN186" i="100"/>
  <c r="Z188" i="100"/>
  <c r="AD188" i="100"/>
  <c r="AH188" i="100"/>
  <c r="AL188" i="100"/>
  <c r="AA193" i="100"/>
  <c r="AI193" i="100"/>
  <c r="Y195" i="100"/>
  <c r="AC195" i="100"/>
  <c r="AG195" i="100"/>
  <c r="AK195" i="100"/>
  <c r="AO195" i="100"/>
  <c r="AO197" i="100"/>
  <c r="H199" i="100"/>
  <c r="P199" i="100"/>
  <c r="AO199" i="100"/>
  <c r="Z204" i="100"/>
  <c r="K204" i="100"/>
  <c r="AF203" i="100" s="1"/>
  <c r="S204" i="100"/>
  <c r="AN203" i="100" s="1"/>
  <c r="Z206" i="100"/>
  <c r="Y206" i="100"/>
  <c r="AA211" i="100"/>
  <c r="AA208" i="100"/>
  <c r="Y209" i="100"/>
  <c r="AB211" i="100"/>
  <c r="AF211" i="100"/>
  <c r="AN211" i="100"/>
  <c r="AO211" i="100"/>
  <c r="X7" i="111"/>
  <c r="Z194" i="100"/>
  <c r="AD194" i="100"/>
  <c r="AH194" i="100"/>
  <c r="AL194" i="100"/>
  <c r="AB195" i="100"/>
  <c r="AF195" i="100"/>
  <c r="AJ195" i="100"/>
  <c r="AN195" i="100"/>
  <c r="Z196" i="100"/>
  <c r="AD196" i="100"/>
  <c r="AH196" i="100"/>
  <c r="AL196" i="100"/>
  <c r="AD198" i="100"/>
  <c r="AH198" i="100"/>
  <c r="I199" i="100"/>
  <c r="Q199" i="100"/>
  <c r="AL198" i="100" s="1"/>
  <c r="Z201" i="100"/>
  <c r="Z205" i="100"/>
  <c r="AO206" i="100"/>
  <c r="AB208" i="100"/>
  <c r="AF208" i="100"/>
  <c r="AJ208" i="100"/>
  <c r="AN208" i="100"/>
  <c r="AI208" i="100"/>
  <c r="AM209" i="100"/>
  <c r="Z210" i="100"/>
  <c r="AD210" i="100"/>
  <c r="AH210" i="100"/>
  <c r="L199" i="100"/>
  <c r="Z200" i="100"/>
  <c r="AD200" i="100"/>
  <c r="AH200" i="100"/>
  <c r="AL200" i="100"/>
  <c r="G204" i="100"/>
  <c r="AB204" i="100" s="1"/>
  <c r="O204" i="100"/>
  <c r="AJ204" i="100" s="1"/>
  <c r="Y204" i="100"/>
  <c r="AI207" i="100"/>
  <c r="AB209" i="100"/>
  <c r="AF209" i="100"/>
  <c r="AN209" i="100"/>
  <c r="AG209" i="100"/>
  <c r="AA210" i="100"/>
  <c r="Y211" i="100"/>
  <c r="AG7" i="111"/>
  <c r="AB188" i="100"/>
  <c r="AF188" i="100"/>
  <c r="AJ188" i="100"/>
  <c r="AN188" i="100"/>
  <c r="Z189" i="100"/>
  <c r="AD189" i="100"/>
  <c r="AH189" i="100"/>
  <c r="AL189" i="100"/>
  <c r="AB190" i="100"/>
  <c r="AF190" i="100"/>
  <c r="AJ190" i="100"/>
  <c r="AN190" i="100"/>
  <c r="Z191" i="100"/>
  <c r="AD191" i="100"/>
  <c r="AH191" i="100"/>
  <c r="AL191" i="100"/>
  <c r="AB192" i="100"/>
  <c r="AF192" i="100"/>
  <c r="AJ192" i="100"/>
  <c r="AN192" i="100"/>
  <c r="Z193" i="100"/>
  <c r="AD193" i="100"/>
  <c r="AH193" i="100"/>
  <c r="AL193" i="100"/>
  <c r="AB194" i="100"/>
  <c r="AF194" i="100"/>
  <c r="AJ194" i="100"/>
  <c r="AN194" i="100"/>
  <c r="Z195" i="100"/>
  <c r="AD195" i="100"/>
  <c r="AH195" i="100"/>
  <c r="AL195" i="100"/>
  <c r="AB196" i="100"/>
  <c r="AF196" i="100"/>
  <c r="AJ196" i="100"/>
  <c r="AN196" i="100"/>
  <c r="Z199" i="100"/>
  <c r="M199" i="100"/>
  <c r="Z203" i="100"/>
  <c r="R204" i="100"/>
  <c r="Z207" i="100"/>
  <c r="AD207" i="100"/>
  <c r="AH207" i="100"/>
  <c r="AL207" i="100"/>
  <c r="Z208" i="100"/>
  <c r="AD208" i="100"/>
  <c r="AH208" i="100"/>
  <c r="AE211" i="100"/>
  <c r="AM211" i="100"/>
  <c r="AE208" i="100"/>
  <c r="AI211" i="100"/>
  <c r="AM208" i="100"/>
  <c r="AC209" i="100"/>
  <c r="AK209" i="100"/>
  <c r="AE210" i="100"/>
  <c r="AM210" i="100"/>
  <c r="AC211" i="100"/>
  <c r="AK211" i="100"/>
  <c r="AA6" i="111"/>
  <c r="AI6" i="111"/>
  <c r="W7" i="111"/>
  <c r="AA7" i="111"/>
  <c r="AE7" i="111"/>
  <c r="AI7" i="111"/>
  <c r="Y8" i="111"/>
  <c r="AG8" i="111"/>
  <c r="AB9" i="111"/>
  <c r="AJ9" i="111"/>
  <c r="X10" i="111"/>
  <c r="AB10" i="111"/>
  <c r="AF10" i="111"/>
  <c r="AJ10" i="111"/>
  <c r="AI12" i="111"/>
  <c r="Y13" i="111"/>
  <c r="AC13" i="111"/>
  <c r="AG13" i="111"/>
  <c r="AK13" i="111"/>
  <c r="Y15" i="111"/>
  <c r="AC15" i="111"/>
  <c r="AK15" i="111"/>
  <c r="AK18" i="111"/>
  <c r="X23" i="111"/>
  <c r="X24" i="111"/>
  <c r="AB24" i="111"/>
  <c r="AJ24" i="111"/>
  <c r="W25" i="111"/>
  <c r="AA25" i="111"/>
  <c r="AE25" i="111"/>
  <c r="AA26" i="111"/>
  <c r="AI26" i="111"/>
  <c r="W27" i="111"/>
  <c r="AA27" i="111"/>
  <c r="AE27" i="111"/>
  <c r="AI27" i="111"/>
  <c r="Y28" i="111"/>
  <c r="AG28" i="111"/>
  <c r="AB29" i="111"/>
  <c r="AA30" i="111"/>
  <c r="W31" i="111"/>
  <c r="AA31" i="111"/>
  <c r="AE31" i="111"/>
  <c r="AI31" i="111"/>
  <c r="X33" i="111"/>
  <c r="X35" i="111"/>
  <c r="AG15" i="111"/>
  <c r="AI32" i="111"/>
  <c r="Y33" i="111"/>
  <c r="AC33" i="111"/>
  <c r="AG33" i="111"/>
  <c r="AK33" i="111"/>
  <c r="Y35" i="111"/>
  <c r="AC35" i="111"/>
  <c r="AG35" i="111"/>
  <c r="AK35" i="111"/>
  <c r="AJ35" i="111"/>
  <c r="Y40" i="111"/>
  <c r="Y7" i="111"/>
  <c r="AC7" i="111"/>
  <c r="AK7" i="111"/>
  <c r="AK10" i="111"/>
  <c r="W13" i="111"/>
  <c r="AA13" i="111"/>
  <c r="AE13" i="111"/>
  <c r="AA14" i="111"/>
  <c r="AI14" i="111"/>
  <c r="W15" i="111"/>
  <c r="AA15" i="111"/>
  <c r="AE15" i="111"/>
  <c r="AI15" i="111"/>
  <c r="Y16" i="111"/>
  <c r="AG16" i="111"/>
  <c r="AI24" i="111"/>
  <c r="AG25" i="111"/>
  <c r="AK25" i="111"/>
  <c r="AJ29" i="111"/>
  <c r="AF33" i="111"/>
  <c r="AC46" i="111"/>
  <c r="AJ13" i="111"/>
  <c r="X14" i="111"/>
  <c r="AB14" i="111"/>
  <c r="AF14" i="111"/>
  <c r="AJ14" i="111"/>
  <c r="AC14" i="111"/>
  <c r="X27" i="111"/>
  <c r="X28" i="111"/>
  <c r="AB28" i="111"/>
  <c r="AJ28" i="111"/>
  <c r="AF31" i="111"/>
  <c r="AG31" i="111"/>
  <c r="AJ32" i="111"/>
  <c r="W33" i="111"/>
  <c r="AA33" i="111"/>
  <c r="AE33" i="111"/>
  <c r="AI33" i="111"/>
  <c r="AC34" i="111"/>
  <c r="AB35" i="111"/>
  <c r="AK31" i="111"/>
  <c r="Y32" i="111"/>
  <c r="AB33" i="111"/>
  <c r="AA34" i="111"/>
  <c r="W35" i="111"/>
  <c r="AA35" i="111"/>
  <c r="AE35" i="111"/>
  <c r="AI35" i="111"/>
  <c r="Y43" i="111"/>
  <c r="AC43" i="111"/>
  <c r="AK43" i="111"/>
  <c r="Y44" i="111"/>
  <c r="AB45" i="111"/>
  <c r="AA46" i="111"/>
  <c r="W47" i="111"/>
  <c r="AA47" i="111"/>
  <c r="AE47" i="111"/>
  <c r="AI47" i="111"/>
  <c r="AA57" i="111"/>
  <c r="W58" i="111"/>
  <c r="AA58" i="111"/>
  <c r="AE58" i="111"/>
  <c r="AI58" i="111"/>
  <c r="AG58" i="111"/>
  <c r="AA65" i="111"/>
  <c r="W66" i="111"/>
  <c r="AA66" i="111"/>
  <c r="AE66" i="111"/>
  <c r="AI66" i="111"/>
  <c r="X34" i="111"/>
  <c r="AB34" i="111"/>
  <c r="AF34" i="111"/>
  <c r="AJ34" i="111"/>
  <c r="X40" i="111"/>
  <c r="AB40" i="111"/>
  <c r="AJ40" i="111"/>
  <c r="AF43" i="111"/>
  <c r="AI44" i="111"/>
  <c r="Y45" i="111"/>
  <c r="AC45" i="111"/>
  <c r="AG45" i="111"/>
  <c r="AK45" i="111"/>
  <c r="X46" i="111"/>
  <c r="AB46" i="111"/>
  <c r="AF46" i="111"/>
  <c r="AJ46" i="111"/>
  <c r="X48" i="111"/>
  <c r="AB48" i="111"/>
  <c r="AJ48" i="111"/>
  <c r="W49" i="111"/>
  <c r="AA49" i="111"/>
  <c r="AE49" i="111"/>
  <c r="AK50" i="111"/>
  <c r="AF51" i="111"/>
  <c r="AI52" i="111"/>
  <c r="Y56" i="111"/>
  <c r="AC56" i="111"/>
  <c r="AG56" i="111"/>
  <c r="AK56" i="111"/>
  <c r="X57" i="111"/>
  <c r="AB57" i="111"/>
  <c r="AF57" i="111"/>
  <c r="AJ57" i="111"/>
  <c r="X59" i="111"/>
  <c r="AB59" i="111"/>
  <c r="AJ59" i="111"/>
  <c r="W60" i="111"/>
  <c r="AA60" i="111"/>
  <c r="AE60" i="111"/>
  <c r="AK61" i="111"/>
  <c r="AF62" i="111"/>
  <c r="AI63" i="111"/>
  <c r="AC64" i="111"/>
  <c r="AG64" i="111"/>
  <c r="AK64" i="111"/>
  <c r="X65" i="111"/>
  <c r="AB65" i="111"/>
  <c r="AF65" i="111"/>
  <c r="AJ65" i="111"/>
  <c r="X67" i="111"/>
  <c r="AB67" i="111"/>
  <c r="AJ67" i="111"/>
  <c r="W68" i="111"/>
  <c r="AA68" i="111"/>
  <c r="AE68" i="111"/>
  <c r="Y47" i="111"/>
  <c r="AC47" i="111"/>
  <c r="AK47" i="111"/>
  <c r="AB47" i="111"/>
  <c r="AJ47" i="111"/>
  <c r="Y48" i="111"/>
  <c r="Y58" i="111"/>
  <c r="AC58" i="111"/>
  <c r="AK58" i="111"/>
  <c r="Y59" i="111"/>
  <c r="AB60" i="111"/>
  <c r="Y66" i="111"/>
  <c r="AC66" i="111"/>
  <c r="AK66" i="111"/>
  <c r="AJ66" i="111"/>
  <c r="Y67" i="111"/>
  <c r="AH73" i="110" a="1"/>
  <c r="H19" i="102"/>
  <c r="V41" i="107"/>
  <c r="H68" i="109"/>
  <c r="AA59" i="107"/>
  <c r="U40" i="108"/>
  <c r="D62" i="105"/>
  <c r="U69" i="105"/>
  <c r="U31" i="110"/>
  <c r="AG46" i="102"/>
  <c r="J80" i="102"/>
  <c r="N62" i="105"/>
  <c r="AG95" i="105"/>
  <c r="V27" i="102"/>
  <c r="W48" i="102"/>
  <c r="L82" i="102"/>
  <c r="E59" i="105"/>
  <c r="Y89" i="109"/>
  <c r="AB68" i="108"/>
  <c r="L27" i="110"/>
  <c r="AF34" i="110"/>
  <c r="AC97" i="105"/>
  <c r="AI11" i="105"/>
  <c r="P60" i="105"/>
  <c r="W94" i="105"/>
  <c r="H18" i="81"/>
  <c r="AG45" i="102"/>
  <c r="N24" i="105"/>
  <c r="H61" i="105"/>
  <c r="Q73" i="105"/>
  <c r="AC94" i="105"/>
  <c r="G123" i="81"/>
  <c r="W10" i="107"/>
  <c r="AE60" i="107"/>
  <c r="W32" i="110"/>
  <c r="E67" i="110"/>
  <c r="AC11" i="107"/>
  <c r="AF33" i="110"/>
  <c r="H61" i="110"/>
  <c r="U39" i="107"/>
  <c r="U59" i="107"/>
  <c r="V87" i="109"/>
  <c r="F31" i="110"/>
  <c r="AI33" i="110"/>
  <c r="K39" i="110"/>
  <c r="L34" i="105"/>
  <c r="E17" i="81"/>
  <c r="W45" i="102"/>
  <c r="V48" i="102"/>
  <c r="P81" i="102"/>
  <c r="V11" i="105"/>
  <c r="F33" i="105"/>
  <c r="I38" i="105"/>
  <c r="I60" i="105"/>
  <c r="H62" i="105"/>
  <c r="V67" i="105"/>
  <c r="G73" i="105"/>
  <c r="W97" i="105"/>
  <c r="K8" i="81"/>
  <c r="J11" i="81"/>
  <c r="D20" i="81"/>
  <c r="E23" i="81"/>
  <c r="C83" i="107"/>
  <c r="AA39" i="107"/>
  <c r="Z41" i="107"/>
  <c r="P78" i="107"/>
  <c r="AE89" i="109"/>
  <c r="Q68" i="110"/>
  <c r="E81" i="102"/>
  <c r="Q82" i="102"/>
  <c r="I76" i="105"/>
  <c r="U38" i="107"/>
  <c r="V40" i="107"/>
  <c r="Y10" i="109"/>
  <c r="P17" i="109"/>
  <c r="AA38" i="109"/>
  <c r="L45" i="109"/>
  <c r="P80" i="109"/>
  <c r="I41" i="105"/>
  <c r="AH46" i="102"/>
  <c r="P78" i="102"/>
  <c r="N81" i="102"/>
  <c r="L83" i="102"/>
  <c r="N53" i="105"/>
  <c r="V38" i="107"/>
  <c r="W40" i="107"/>
  <c r="AA62" i="107"/>
  <c r="M80" i="107"/>
  <c r="AG88" i="107"/>
  <c r="AF11" i="109"/>
  <c r="W31" i="109"/>
  <c r="W40" i="109"/>
  <c r="W87" i="109"/>
  <c r="AI38" i="108"/>
  <c r="E60" i="108"/>
  <c r="AH64" i="108" a="1"/>
  <c r="AH85" i="108" a="1"/>
  <c r="AC32" i="110"/>
  <c r="F66" i="110"/>
  <c r="E26" i="81"/>
  <c r="H26" i="81"/>
  <c r="G29" i="81"/>
  <c r="D29" i="81"/>
  <c r="C29" i="81"/>
  <c r="AI82" i="102"/>
  <c r="M89" i="102"/>
  <c r="AB94" i="102"/>
  <c r="O27" i="105"/>
  <c r="E27" i="105"/>
  <c r="R25" i="105"/>
  <c r="Q24" i="105"/>
  <c r="P22" i="105"/>
  <c r="D25" i="105"/>
  <c r="M26" i="105"/>
  <c r="E34" i="105"/>
  <c r="N32" i="105"/>
  <c r="Q31" i="105"/>
  <c r="P29" i="105"/>
  <c r="R31" i="105"/>
  <c r="I33" i="105"/>
  <c r="R34" i="105"/>
  <c r="F54" i="105"/>
  <c r="D26" i="81"/>
  <c r="E29" i="81"/>
  <c r="AI55" i="105"/>
  <c r="AA25" i="102"/>
  <c r="Q33" i="102"/>
  <c r="G41" i="102"/>
  <c r="U45" i="102"/>
  <c r="V46" i="102"/>
  <c r="AA83" i="102"/>
  <c r="J87" i="102"/>
  <c r="H24" i="105"/>
  <c r="P25" i="105"/>
  <c r="J27" i="105"/>
  <c r="H31" i="105"/>
  <c r="M32" i="105"/>
  <c r="H34" i="105"/>
  <c r="H46" i="105"/>
  <c r="D48" i="105"/>
  <c r="D52" i="105"/>
  <c r="W66" i="105"/>
  <c r="AE69" i="105"/>
  <c r="Q41" i="102"/>
  <c r="I88" i="102"/>
  <c r="AA61" i="105"/>
  <c r="AB59" i="105"/>
  <c r="AB69" i="102"/>
  <c r="E10" i="81"/>
  <c r="D10" i="81"/>
  <c r="L39" i="102"/>
  <c r="AH48" i="102"/>
  <c r="AC48" i="102"/>
  <c r="AA47" i="102"/>
  <c r="AA46" i="102"/>
  <c r="Z45" i="102"/>
  <c r="AH45" i="102"/>
  <c r="W47" i="102"/>
  <c r="AG48" i="102"/>
  <c r="E87" i="102"/>
  <c r="V90" i="102"/>
  <c r="AH96" i="102"/>
  <c r="X13" i="105"/>
  <c r="AH12" i="105"/>
  <c r="AD10" i="105"/>
  <c r="AA12" i="105"/>
  <c r="J25" i="105"/>
  <c r="P26" i="105"/>
  <c r="I32" i="105"/>
  <c r="N33" i="105"/>
  <c r="AC69" i="105"/>
  <c r="H10" i="81"/>
  <c r="K13" i="81"/>
  <c r="D13" i="81"/>
  <c r="D24" i="81"/>
  <c r="K24" i="81"/>
  <c r="D120" i="81"/>
  <c r="AE38" i="107"/>
  <c r="AH39" i="107"/>
  <c r="AH40" i="107"/>
  <c r="AH41" i="107"/>
  <c r="AG68" i="107"/>
  <c r="AG87" i="107"/>
  <c r="D38" i="109"/>
  <c r="N48" i="109"/>
  <c r="L66" i="109"/>
  <c r="M69" i="109"/>
  <c r="AB88" i="109"/>
  <c r="N101" i="109"/>
  <c r="Y80" i="108" a="1"/>
  <c r="AJ80" i="108" a="1"/>
  <c r="AJ80" i="108" s="1"/>
  <c r="AE81" i="108" a="1"/>
  <c r="Y82" i="108" a="1"/>
  <c r="X83" i="108" a="1"/>
  <c r="X83" i="108" s="1"/>
  <c r="AE88" i="108" a="1"/>
  <c r="AE88" i="108" s="1"/>
  <c r="AI12" i="110"/>
  <c r="AJ31" i="110"/>
  <c r="U33" i="110"/>
  <c r="AC34" i="110"/>
  <c r="C38" i="110"/>
  <c r="P41" i="110"/>
  <c r="AE45" i="110"/>
  <c r="AA73" i="110" a="1"/>
  <c r="V76" i="110" a="1"/>
  <c r="V76" i="110" s="1"/>
  <c r="Y94" i="110" a="1"/>
  <c r="AH97" i="110" a="1"/>
  <c r="AH97" i="110" s="1"/>
  <c r="AJ104" i="110" a="1"/>
  <c r="N67" i="109"/>
  <c r="AA80" i="108" a="1"/>
  <c r="V81" i="108" a="1"/>
  <c r="V81" i="108" s="1"/>
  <c r="AI81" i="108" a="1"/>
  <c r="AG82" i="108" a="1"/>
  <c r="AD83" i="108" a="1"/>
  <c r="AD83" i="108" s="1"/>
  <c r="W89" i="108" a="1"/>
  <c r="AB95" i="110" a="1"/>
  <c r="AB95" i="110" s="1"/>
  <c r="C69" i="81"/>
  <c r="D72" i="81"/>
  <c r="C74" i="81"/>
  <c r="I80" i="81"/>
  <c r="C109" i="81"/>
  <c r="U31" i="107"/>
  <c r="Z90" i="107"/>
  <c r="AE80" i="108" a="1"/>
  <c r="W81" i="108" a="1"/>
  <c r="U82" i="108" a="1"/>
  <c r="AH82" i="108" a="1"/>
  <c r="AF83" i="108" a="1"/>
  <c r="O39" i="110"/>
  <c r="W75" i="110" a="1"/>
  <c r="V96" i="110" a="1"/>
  <c r="P80" i="102"/>
  <c r="I82" i="102"/>
  <c r="J61" i="105"/>
  <c r="K75" i="105"/>
  <c r="K16" i="81"/>
  <c r="D18" i="81"/>
  <c r="C20" i="81"/>
  <c r="I72" i="81"/>
  <c r="C120" i="81"/>
  <c r="Z13" i="107"/>
  <c r="AC38" i="107"/>
  <c r="AE39" i="107"/>
  <c r="AA40" i="107"/>
  <c r="AG41" i="107"/>
  <c r="AC48" i="107"/>
  <c r="V61" i="107"/>
  <c r="W67" i="107"/>
  <c r="P81" i="107"/>
  <c r="Z87" i="107"/>
  <c r="Y13" i="109"/>
  <c r="AC17" i="109"/>
  <c r="Y40" i="109"/>
  <c r="I47" i="109"/>
  <c r="D66" i="109"/>
  <c r="P68" i="109"/>
  <c r="X88" i="109"/>
  <c r="AC90" i="109"/>
  <c r="C101" i="109"/>
  <c r="Q13" i="108"/>
  <c r="V80" i="108" a="1"/>
  <c r="V80" i="108" s="1"/>
  <c r="AI80" i="108" a="1"/>
  <c r="AB81" i="108" a="1"/>
  <c r="AB81" i="108" s="1"/>
  <c r="X82" i="108" a="1"/>
  <c r="X82" i="108" s="1"/>
  <c r="W83" i="108" a="1"/>
  <c r="AG83" i="108" a="1"/>
  <c r="V87" i="108" a="1"/>
  <c r="Z10" i="110"/>
  <c r="P29" i="110" a="1"/>
  <c r="AF31" i="110"/>
  <c r="J33" i="110"/>
  <c r="U34" i="110"/>
  <c r="D41" i="110"/>
  <c r="X45" i="110"/>
  <c r="J52" i="110"/>
  <c r="K67" i="110"/>
  <c r="V73" i="110" a="1"/>
  <c r="AE75" i="110" a="1"/>
  <c r="AH92" i="110" a="1"/>
  <c r="AH92" i="110" s="1"/>
  <c r="AE96" i="110" a="1"/>
  <c r="AB101" i="110" a="1"/>
  <c r="S104" i="79"/>
  <c r="S140" i="79"/>
  <c r="H29" i="101"/>
  <c r="E11" i="115"/>
  <c r="C18" i="115"/>
  <c r="M15" i="98"/>
  <c r="M17" i="98" s="1"/>
  <c r="H16" i="98"/>
  <c r="K28" i="98"/>
  <c r="H29" i="114"/>
  <c r="E37" i="81"/>
  <c r="H97" i="81"/>
  <c r="I97" i="81" s="1"/>
  <c r="K13" i="95"/>
  <c r="E15" i="95"/>
  <c r="K15" i="95"/>
  <c r="E23" i="95"/>
  <c r="E25" i="95"/>
  <c r="E27" i="95"/>
  <c r="E29" i="95"/>
  <c r="K31" i="95"/>
  <c r="S75" i="79"/>
  <c r="S108" i="79"/>
  <c r="S152" i="79"/>
  <c r="J15" i="101"/>
  <c r="M15" i="101"/>
  <c r="M17" i="101" s="1"/>
  <c r="H16" i="101"/>
  <c r="K13" i="117"/>
  <c r="J16" i="114"/>
  <c r="G21" i="114"/>
  <c r="G22" i="114"/>
  <c r="F97" i="81"/>
  <c r="E8" i="88"/>
  <c r="K8" i="88"/>
  <c r="N9" i="88"/>
  <c r="H10" i="88"/>
  <c r="E12" i="88"/>
  <c r="K12" i="88"/>
  <c r="K13" i="88"/>
  <c r="E14" i="88"/>
  <c r="S12" i="79"/>
  <c r="S60" i="79"/>
  <c r="S16" i="79"/>
  <c r="S64" i="79"/>
  <c r="S72" i="79"/>
  <c r="S3" i="79"/>
  <c r="S5" i="79"/>
  <c r="S6" i="79"/>
  <c r="S7" i="79"/>
  <c r="S24" i="79"/>
  <c r="S27" i="79"/>
  <c r="S32" i="79"/>
  <c r="S45" i="79"/>
  <c r="S47" i="79"/>
  <c r="S49" i="79"/>
  <c r="S50" i="79"/>
  <c r="S51" i="79"/>
  <c r="S53" i="79"/>
  <c r="S54" i="79"/>
  <c r="S55" i="79"/>
  <c r="S80" i="79"/>
  <c r="S93" i="79"/>
  <c r="S94" i="79"/>
  <c r="S95" i="79"/>
  <c r="S97" i="79"/>
  <c r="S98" i="79"/>
  <c r="S99" i="79"/>
  <c r="S101" i="79"/>
  <c r="S102" i="79"/>
  <c r="S120" i="79"/>
  <c r="S123" i="79"/>
  <c r="E16" i="101"/>
  <c r="J16" i="101"/>
  <c r="N11" i="117"/>
  <c r="C13" i="117"/>
  <c r="L13" i="117"/>
  <c r="E16" i="98"/>
  <c r="H28" i="98"/>
  <c r="E29" i="98"/>
  <c r="K29" i="98"/>
  <c r="G41" i="98"/>
  <c r="G47" i="98" s="1"/>
  <c r="M16" i="114"/>
  <c r="E67" i="81"/>
  <c r="K67" i="81"/>
  <c r="K33" i="95"/>
  <c r="F13" i="89"/>
  <c r="H7" i="88"/>
  <c r="H11" i="88"/>
  <c r="E15" i="88"/>
  <c r="K15" i="88"/>
  <c r="E16" i="88"/>
  <c r="K16" i="88"/>
  <c r="E17" i="88"/>
  <c r="K17" i="88"/>
  <c r="E7" i="84"/>
  <c r="F7" i="84" s="1"/>
  <c r="E8" i="84"/>
  <c r="F8" i="84" s="1"/>
  <c r="E11" i="84"/>
  <c r="F11" i="84" s="1"/>
  <c r="E15" i="84"/>
  <c r="F15" i="84" s="1"/>
  <c r="E6" i="88"/>
  <c r="K6" i="88"/>
  <c r="N7" i="88"/>
  <c r="E10" i="88"/>
  <c r="K10" i="88"/>
  <c r="H12" i="88"/>
  <c r="H13" i="88"/>
  <c r="H14" i="88"/>
  <c r="N14" i="88"/>
  <c r="N15" i="88"/>
  <c r="N16" i="88"/>
  <c r="S44" i="79"/>
  <c r="S13" i="79"/>
  <c r="S14" i="79"/>
  <c r="S28" i="79"/>
  <c r="S33" i="79"/>
  <c r="S34" i="79"/>
  <c r="S35" i="79"/>
  <c r="S48" i="79"/>
  <c r="S92" i="79"/>
  <c r="S124" i="79"/>
  <c r="E28" i="101"/>
  <c r="S17" i="79"/>
  <c r="S18" i="79"/>
  <c r="S19" i="79"/>
  <c r="S61" i="79"/>
  <c r="S62" i="79"/>
  <c r="S76" i="79"/>
  <c r="S81" i="79"/>
  <c r="S82" i="79"/>
  <c r="S83" i="79"/>
  <c r="S109" i="79"/>
  <c r="S110" i="79"/>
  <c r="S111" i="79"/>
  <c r="S141" i="79"/>
  <c r="S142" i="79"/>
  <c r="S143" i="79"/>
  <c r="S46" i="79"/>
  <c r="S65" i="79"/>
  <c r="S66" i="79"/>
  <c r="S67" i="79"/>
  <c r="E22" i="98"/>
  <c r="G22" i="98" s="1"/>
  <c r="E12" i="84"/>
  <c r="F12" i="84" s="1"/>
  <c r="F131" i="87"/>
  <c r="J131" i="87"/>
  <c r="E13" i="88"/>
  <c r="H15" i="88"/>
  <c r="H16" i="88"/>
  <c r="H17" i="88"/>
  <c r="D20" i="117"/>
  <c r="H15" i="98"/>
  <c r="H67" i="81"/>
  <c r="E12" i="95"/>
  <c r="K12" i="95"/>
  <c r="E26" i="95"/>
  <c r="E30" i="95"/>
  <c r="E32" i="95"/>
  <c r="E34" i="95"/>
  <c r="E9" i="84"/>
  <c r="F9" i="84" s="1"/>
  <c r="F14" i="84"/>
  <c r="E16" i="84"/>
  <c r="F16" i="84" s="1"/>
  <c r="H6" i="88"/>
  <c r="E7" i="88"/>
  <c r="H8" i="88"/>
  <c r="E9" i="88"/>
  <c r="E11" i="88"/>
  <c r="N12" i="88"/>
  <c r="S112" i="79"/>
  <c r="S128" i="79"/>
  <c r="S144" i="79"/>
  <c r="K11" i="115"/>
  <c r="D13" i="117"/>
  <c r="I13" i="117"/>
  <c r="M13" i="117"/>
  <c r="E20" i="117"/>
  <c r="J16" i="98"/>
  <c r="J17" i="98" s="1"/>
  <c r="E15" i="114"/>
  <c r="H28" i="114"/>
  <c r="E29" i="114"/>
  <c r="E30" i="114" s="1"/>
  <c r="E14" i="95"/>
  <c r="E13" i="84"/>
  <c r="F13" i="84" s="1"/>
  <c r="E18" i="84"/>
  <c r="F18" i="84" s="1"/>
  <c r="O130" i="87"/>
  <c r="O131" i="87" s="1"/>
  <c r="C131" i="87"/>
  <c r="N13" i="88"/>
  <c r="E18" i="88"/>
  <c r="K18" i="88"/>
  <c r="S96" i="79"/>
  <c r="E29" i="101"/>
  <c r="F11" i="115"/>
  <c r="S4" i="79"/>
  <c r="S9" i="79"/>
  <c r="S10" i="79"/>
  <c r="S20" i="79"/>
  <c r="S25" i="79"/>
  <c r="S26" i="79"/>
  <c r="S36" i="79"/>
  <c r="S41" i="79"/>
  <c r="S42" i="79"/>
  <c r="S52" i="79"/>
  <c r="S57" i="79"/>
  <c r="S58" i="79"/>
  <c r="S68" i="79"/>
  <c r="S73" i="79"/>
  <c r="S74" i="79"/>
  <c r="S84" i="79"/>
  <c r="S89" i="79"/>
  <c r="S90" i="79"/>
  <c r="S100" i="79"/>
  <c r="S105" i="79"/>
  <c r="S106" i="79"/>
  <c r="S116" i="79"/>
  <c r="S121" i="79"/>
  <c r="S122" i="79"/>
  <c r="S132" i="79"/>
  <c r="S137" i="79"/>
  <c r="S138" i="79"/>
  <c r="S148" i="79"/>
  <c r="S153" i="79"/>
  <c r="E15" i="101"/>
  <c r="E17" i="101" s="1"/>
  <c r="K28" i="101"/>
  <c r="K29" i="101"/>
  <c r="C11" i="115"/>
  <c r="L11" i="115"/>
  <c r="E18" i="115"/>
  <c r="E13" i="117"/>
  <c r="J13" i="117"/>
  <c r="E15" i="98"/>
  <c r="E17" i="98" s="1"/>
  <c r="J15" i="114"/>
  <c r="M15" i="114"/>
  <c r="H16" i="114"/>
  <c r="K28" i="114"/>
  <c r="K29" i="114"/>
  <c r="G41" i="114"/>
  <c r="G47" i="114" s="1"/>
  <c r="H37" i="81"/>
  <c r="E8" i="95"/>
  <c r="E11" i="95"/>
  <c r="E16" i="95"/>
  <c r="E24" i="95"/>
  <c r="E28" i="95"/>
  <c r="E31" i="95"/>
  <c r="E33" i="95"/>
  <c r="E35" i="95"/>
  <c r="H80" i="105"/>
  <c r="L81" i="105"/>
  <c r="L82" i="105"/>
  <c r="K83" i="105"/>
  <c r="D32" i="81"/>
  <c r="K32" i="81"/>
  <c r="Q13" i="102"/>
  <c r="L13" i="102"/>
  <c r="L10" i="102"/>
  <c r="L12" i="102"/>
  <c r="P20" i="102"/>
  <c r="AI97" i="102"/>
  <c r="AI95" i="102"/>
  <c r="X88" i="102"/>
  <c r="X87" i="102"/>
  <c r="Y69" i="102"/>
  <c r="AG67" i="102"/>
  <c r="W66" i="102"/>
  <c r="AJ67" i="102"/>
  <c r="AB83" i="102"/>
  <c r="AB89" i="102"/>
  <c r="AH90" i="102"/>
  <c r="AH94" i="102"/>
  <c r="AF97" i="102"/>
  <c r="Q48" i="105"/>
  <c r="G9" i="81"/>
  <c r="E9" i="81"/>
  <c r="H28" i="81"/>
  <c r="U31" i="102"/>
  <c r="Z33" i="102"/>
  <c r="X80" i="102"/>
  <c r="O41" i="105"/>
  <c r="Q41" i="105"/>
  <c r="M40" i="105"/>
  <c r="F39" i="105"/>
  <c r="L38" i="105"/>
  <c r="E40" i="105"/>
  <c r="M80" i="105"/>
  <c r="Z31" i="102"/>
  <c r="AC34" i="102"/>
  <c r="AA66" i="102"/>
  <c r="AB68" i="102"/>
  <c r="W73" i="102"/>
  <c r="W76" i="102"/>
  <c r="W81" i="102"/>
  <c r="N90" i="102"/>
  <c r="R89" i="102"/>
  <c r="V87" i="102"/>
  <c r="AF88" i="102"/>
  <c r="AD89" i="102"/>
  <c r="AB95" i="102"/>
  <c r="P40" i="105"/>
  <c r="P55" i="105"/>
  <c r="N54" i="105"/>
  <c r="R52" i="105"/>
  <c r="I55" i="105"/>
  <c r="AH97" i="105"/>
  <c r="AG97" i="105"/>
  <c r="V97" i="105"/>
  <c r="Z96" i="105"/>
  <c r="AA95" i="105"/>
  <c r="AE94" i="105"/>
  <c r="U94" i="105"/>
  <c r="AE97" i="105"/>
  <c r="AH96" i="105"/>
  <c r="U96" i="105"/>
  <c r="Z95" i="105"/>
  <c r="AH94" i="105"/>
  <c r="AA96" i="105"/>
  <c r="O103" i="105"/>
  <c r="K104" i="105"/>
  <c r="Q102" i="105"/>
  <c r="H22" i="81"/>
  <c r="E22" i="81"/>
  <c r="D22" i="81"/>
  <c r="L83" i="105"/>
  <c r="M83" i="105"/>
  <c r="G82" i="105"/>
  <c r="H81" i="105"/>
  <c r="K80" i="105"/>
  <c r="P78" i="105"/>
  <c r="M81" i="105"/>
  <c r="Q83" i="105"/>
  <c r="Q10" i="102"/>
  <c r="P36" i="105"/>
  <c r="AF59" i="105"/>
  <c r="AE81" i="105"/>
  <c r="W82" i="105"/>
  <c r="Q80" i="105"/>
  <c r="C82" i="105"/>
  <c r="C83" i="105"/>
  <c r="G12" i="102"/>
  <c r="H17" i="102"/>
  <c r="W32" i="102"/>
  <c r="M41" i="102"/>
  <c r="L40" i="102"/>
  <c r="G38" i="102"/>
  <c r="Q39" i="102"/>
  <c r="U67" i="102"/>
  <c r="AG68" i="102"/>
  <c r="R83" i="102"/>
  <c r="P83" i="102"/>
  <c r="E83" i="102"/>
  <c r="P82" i="102"/>
  <c r="D82" i="102"/>
  <c r="M81" i="102"/>
  <c r="R80" i="102"/>
  <c r="E80" i="102"/>
  <c r="L80" i="102"/>
  <c r="H81" i="102"/>
  <c r="E82" i="102"/>
  <c r="AD82" i="102"/>
  <c r="M83" i="102"/>
  <c r="F88" i="102"/>
  <c r="L89" i="102"/>
  <c r="H90" i="102"/>
  <c r="AF96" i="102"/>
  <c r="O34" i="105"/>
  <c r="P34" i="105"/>
  <c r="F34" i="105"/>
  <c r="L33" i="105"/>
  <c r="P32" i="105"/>
  <c r="H32" i="105"/>
  <c r="N31" i="105"/>
  <c r="D31" i="105"/>
  <c r="I31" i="105"/>
  <c r="E32" i="105"/>
  <c r="E33" i="105"/>
  <c r="P33" i="105"/>
  <c r="M34" i="105"/>
  <c r="I39" i="105"/>
  <c r="F41" i="105"/>
  <c r="M45" i="105"/>
  <c r="F53" i="105"/>
  <c r="Q55" i="105"/>
  <c r="V69" i="105"/>
  <c r="W68" i="105"/>
  <c r="X66" i="105"/>
  <c r="U68" i="105"/>
  <c r="C80" i="105"/>
  <c r="E81" i="105"/>
  <c r="K82" i="105"/>
  <c r="H83" i="105"/>
  <c r="V88" i="105"/>
  <c r="Y88" i="105"/>
  <c r="V94" i="105"/>
  <c r="V95" i="105"/>
  <c r="AE96" i="105"/>
  <c r="D12" i="81"/>
  <c r="H12" i="81"/>
  <c r="G25" i="81"/>
  <c r="E25" i="81"/>
  <c r="E33" i="81"/>
  <c r="AE45" i="102"/>
  <c r="Z46" i="102"/>
  <c r="U47" i="102"/>
  <c r="AH47" i="102"/>
  <c r="AE48" i="102"/>
  <c r="AB11" i="105"/>
  <c r="AF13" i="105"/>
  <c r="I24" i="105"/>
  <c r="I25" i="105"/>
  <c r="F26" i="105"/>
  <c r="D27" i="105"/>
  <c r="R27" i="105"/>
  <c r="AA52" i="105"/>
  <c r="P59" i="105"/>
  <c r="L60" i="105"/>
  <c r="N61" i="105"/>
  <c r="R62" i="105"/>
  <c r="P74" i="105"/>
  <c r="G13" i="81"/>
  <c r="E13" i="81"/>
  <c r="J27" i="81"/>
  <c r="E34" i="81"/>
  <c r="D34" i="81"/>
  <c r="G75" i="81"/>
  <c r="G113" i="81"/>
  <c r="AD55" i="107"/>
  <c r="H88" i="107"/>
  <c r="O12" i="109"/>
  <c r="L33" i="109"/>
  <c r="Q34" i="109"/>
  <c r="K76" i="109"/>
  <c r="I76" i="109"/>
  <c r="K73" i="109"/>
  <c r="I75" i="109"/>
  <c r="M96" i="109"/>
  <c r="C94" i="109"/>
  <c r="L96" i="109"/>
  <c r="M26" i="108"/>
  <c r="G25" i="108"/>
  <c r="J24" i="108"/>
  <c r="E25" i="108"/>
  <c r="E27" i="108"/>
  <c r="H47" i="108"/>
  <c r="AH59" i="108"/>
  <c r="AH57" i="108" a="1"/>
  <c r="AH57" i="108" s="1"/>
  <c r="AD76" i="108" a="1"/>
  <c r="AG75" i="108" a="1"/>
  <c r="V75" i="108" a="1"/>
  <c r="Y74" i="108" a="1"/>
  <c r="Y74" i="108" s="1"/>
  <c r="AD73" i="108" a="1"/>
  <c r="U74" i="108" a="1"/>
  <c r="AH74" i="108" a="1"/>
  <c r="U76" i="108" a="1"/>
  <c r="P83" i="108" a="1"/>
  <c r="O83" i="108" a="1"/>
  <c r="F83" i="108" a="1"/>
  <c r="Q82" i="108" a="1"/>
  <c r="I82" i="108" a="1"/>
  <c r="N81" i="108" a="1"/>
  <c r="E81" i="108" a="1"/>
  <c r="J80" i="108" a="1"/>
  <c r="E80" i="108" a="1"/>
  <c r="Q80" i="108" a="1"/>
  <c r="I81" i="108" a="1"/>
  <c r="L82" i="108" a="1"/>
  <c r="G83" i="108" a="1"/>
  <c r="AD97" i="108" a="1"/>
  <c r="AH97" i="108" a="1"/>
  <c r="Y97" i="108" a="1"/>
  <c r="AD96" i="108" a="1"/>
  <c r="AJ95" i="108" a="1"/>
  <c r="AA95" i="108" a="1"/>
  <c r="AE94" i="108" a="1"/>
  <c r="W94" i="108" a="1"/>
  <c r="AC94" i="108" a="1"/>
  <c r="AD95" i="108" a="1"/>
  <c r="X96" i="108" a="1"/>
  <c r="U97" i="108" a="1"/>
  <c r="U97" i="108" s="1"/>
  <c r="AI97" i="108" a="1"/>
  <c r="K29" i="81"/>
  <c r="D47" i="81"/>
  <c r="G78" i="81"/>
  <c r="C81" i="81"/>
  <c r="I90" i="81"/>
  <c r="C93" i="81"/>
  <c r="G111" i="81"/>
  <c r="Z10" i="107"/>
  <c r="AH11" i="107"/>
  <c r="AA13" i="107"/>
  <c r="AG31" i="107"/>
  <c r="AA38" i="107"/>
  <c r="Z39" i="107"/>
  <c r="O40" i="107"/>
  <c r="AE40" i="107"/>
  <c r="AA41" i="107"/>
  <c r="Y52" i="107"/>
  <c r="AG59" i="107"/>
  <c r="AA61" i="107"/>
  <c r="Q80" i="107"/>
  <c r="E82" i="107"/>
  <c r="H83" i="107"/>
  <c r="Z88" i="107"/>
  <c r="AH101" i="107"/>
  <c r="P8" i="109"/>
  <c r="M11" i="109"/>
  <c r="AC12" i="109"/>
  <c r="Y18" i="109"/>
  <c r="L24" i="109"/>
  <c r="P29" i="109"/>
  <c r="K32" i="109"/>
  <c r="U33" i="109"/>
  <c r="AA39" i="109"/>
  <c r="AF41" i="109"/>
  <c r="L61" i="109"/>
  <c r="J83" i="109"/>
  <c r="K82" i="109"/>
  <c r="AC87" i="109"/>
  <c r="U89" i="109"/>
  <c r="C17" i="108"/>
  <c r="O25" i="108"/>
  <c r="M27" i="108"/>
  <c r="W31" i="108"/>
  <c r="H59" i="108"/>
  <c r="I60" i="108"/>
  <c r="E62" i="108"/>
  <c r="AH66" i="108"/>
  <c r="AH68" i="108"/>
  <c r="X73" i="108" a="1"/>
  <c r="W74" i="108" a="1"/>
  <c r="X75" i="108" a="1"/>
  <c r="X76" i="108" a="1"/>
  <c r="P78" i="108" a="1"/>
  <c r="F80" i="108" a="1"/>
  <c r="L81" i="108" a="1"/>
  <c r="D82" i="108" a="1"/>
  <c r="P82" i="108" a="1"/>
  <c r="K83" i="108" a="1"/>
  <c r="AH87" i="108" a="1"/>
  <c r="AH92" i="108" a="1"/>
  <c r="AG94" i="108" a="1"/>
  <c r="AF95" i="108" a="1"/>
  <c r="AA96" i="108" a="1"/>
  <c r="Z97" i="108" a="1"/>
  <c r="AD10" i="110"/>
  <c r="I24" i="110"/>
  <c r="M31" i="110"/>
  <c r="I38" i="110"/>
  <c r="M47" i="110"/>
  <c r="Q45" i="110"/>
  <c r="F47" i="110"/>
  <c r="K48" i="110"/>
  <c r="AH10" i="107"/>
  <c r="AC12" i="107"/>
  <c r="AG32" i="107"/>
  <c r="Y53" i="107"/>
  <c r="V60" i="107"/>
  <c r="U62" i="107"/>
  <c r="C80" i="107"/>
  <c r="G81" i="107"/>
  <c r="K82" i="107"/>
  <c r="L83" i="107"/>
  <c r="AC102" i="107"/>
  <c r="U11" i="109"/>
  <c r="G13" i="109"/>
  <c r="K25" i="109"/>
  <c r="W32" i="109"/>
  <c r="C34" i="109"/>
  <c r="AF39" i="109"/>
  <c r="R48" i="109"/>
  <c r="M46" i="109"/>
  <c r="E45" i="109"/>
  <c r="E46" i="109"/>
  <c r="I48" i="109"/>
  <c r="O54" i="109"/>
  <c r="C62" i="109"/>
  <c r="P73" i="109"/>
  <c r="AG90" i="109"/>
  <c r="AB90" i="109"/>
  <c r="AD89" i="109"/>
  <c r="AC88" i="109"/>
  <c r="AE87" i="109"/>
  <c r="U87" i="109"/>
  <c r="AH87" i="109"/>
  <c r="V89" i="109"/>
  <c r="X90" i="109"/>
  <c r="Q94" i="109"/>
  <c r="N24" i="108"/>
  <c r="C26" i="108"/>
  <c r="O27" i="108"/>
  <c r="W32" i="108"/>
  <c r="I45" i="108"/>
  <c r="M59" i="108"/>
  <c r="W67" i="108"/>
  <c r="AC73" i="108" a="1"/>
  <c r="AC73" i="108" s="1"/>
  <c r="AC74" i="108" a="1"/>
  <c r="Z75" i="108" a="1"/>
  <c r="AB76" i="108" a="1"/>
  <c r="K80" i="108" a="1"/>
  <c r="P81" i="108" a="1"/>
  <c r="E82" i="108" a="1"/>
  <c r="L83" i="108" a="1"/>
  <c r="AJ90" i="108" a="1"/>
  <c r="AC90" i="108" a="1"/>
  <c r="AI88" i="108" a="1"/>
  <c r="Z87" i="108" a="1"/>
  <c r="W88" i="108" a="1"/>
  <c r="W88" i="108" s="1"/>
  <c r="X90" i="108" a="1"/>
  <c r="X94" i="108" a="1"/>
  <c r="V95" i="108" a="1"/>
  <c r="AI95" i="108" a="1"/>
  <c r="AF96" i="108" a="1"/>
  <c r="AC97" i="108" a="1"/>
  <c r="G25" i="110"/>
  <c r="I41" i="110"/>
  <c r="C40" i="110"/>
  <c r="P38" i="110"/>
  <c r="P36" i="110" a="1"/>
  <c r="C39" i="110"/>
  <c r="O40" i="110"/>
  <c r="K55" i="110"/>
  <c r="K53" i="110"/>
  <c r="J55" i="110"/>
  <c r="R52" i="110"/>
  <c r="P50" i="110" a="1"/>
  <c r="P50" i="110" s="1"/>
  <c r="D54" i="110"/>
  <c r="C77" i="81"/>
  <c r="I79" i="81"/>
  <c r="C89" i="81"/>
  <c r="G94" i="81"/>
  <c r="U11" i="107"/>
  <c r="AE12" i="107"/>
  <c r="AA34" i="107"/>
  <c r="H80" i="107"/>
  <c r="L81" i="107"/>
  <c r="M82" i="107"/>
  <c r="Q83" i="107"/>
  <c r="H90" i="107"/>
  <c r="AC103" i="107"/>
  <c r="G10" i="109"/>
  <c r="Q13" i="109"/>
  <c r="C26" i="109"/>
  <c r="H31" i="109"/>
  <c r="C33" i="109"/>
  <c r="I34" i="109"/>
  <c r="AA47" i="109"/>
  <c r="AH47" i="109"/>
  <c r="AB46" i="109"/>
  <c r="O62" i="109"/>
  <c r="G74" i="109"/>
  <c r="N95" i="109"/>
  <c r="C19" i="108"/>
  <c r="P15" i="108" a="1"/>
  <c r="N19" i="108"/>
  <c r="O24" i="108"/>
  <c r="G26" i="108"/>
  <c r="O46" i="108"/>
  <c r="K62" i="108"/>
  <c r="E61" i="108"/>
  <c r="P59" i="108"/>
  <c r="H61" i="108"/>
  <c r="W69" i="108"/>
  <c r="V68" i="108"/>
  <c r="AA66" i="108"/>
  <c r="AF67" i="108"/>
  <c r="AE73" i="108" a="1"/>
  <c r="AF74" i="108" a="1"/>
  <c r="AF75" i="108" a="1"/>
  <c r="AJ76" i="108" a="1"/>
  <c r="C80" i="108" a="1"/>
  <c r="N80" i="108" a="1"/>
  <c r="F81" i="108" a="1"/>
  <c r="K82" i="108" a="1"/>
  <c r="D83" i="108" a="1"/>
  <c r="R83" i="108" a="1"/>
  <c r="Y94" i="108" a="1"/>
  <c r="Z95" i="108" a="1"/>
  <c r="W96" i="108" a="1"/>
  <c r="AH96" i="108" a="1"/>
  <c r="AE97" i="108" a="1"/>
  <c r="AH13" i="110"/>
  <c r="Z11" i="110"/>
  <c r="AH12" i="110"/>
  <c r="M25" i="110"/>
  <c r="F54" i="110"/>
  <c r="N80" i="110" a="1"/>
  <c r="Q81" i="110" a="1"/>
  <c r="Q81" i="110" s="1"/>
  <c r="H83" i="110" a="1"/>
  <c r="D82" i="110" a="1"/>
  <c r="I83" i="110" a="1"/>
  <c r="R102" i="110" a="1"/>
  <c r="K66" i="110"/>
  <c r="R67" i="110"/>
  <c r="P71" i="110" a="1"/>
  <c r="C80" i="110" a="1"/>
  <c r="C80" i="110" s="1"/>
  <c r="F81" i="110" a="1"/>
  <c r="L82" i="110" a="1"/>
  <c r="Q83" i="110" a="1"/>
  <c r="F95" i="110" a="1"/>
  <c r="F95" i="110" s="1"/>
  <c r="AJ102" i="110" a="1"/>
  <c r="F67" i="109"/>
  <c r="C69" i="109"/>
  <c r="U80" i="108" a="1"/>
  <c r="AC80" i="108" a="1"/>
  <c r="Z81" i="108" a="1"/>
  <c r="AF81" i="108" a="1"/>
  <c r="AD82" i="108" a="1"/>
  <c r="AD82" i="108" s="1"/>
  <c r="AB31" i="110"/>
  <c r="AB32" i="110"/>
  <c r="Y33" i="110"/>
  <c r="P64" i="110" a="1"/>
  <c r="P64" i="110" s="1"/>
  <c r="M66" i="110"/>
  <c r="J68" i="110"/>
  <c r="AA74" i="110" a="1"/>
  <c r="AF76" i="110" a="1"/>
  <c r="L80" i="110" a="1"/>
  <c r="K81" i="110" a="1"/>
  <c r="K81" i="110" s="1"/>
  <c r="P82" i="110" a="1"/>
  <c r="V95" i="110" a="1"/>
  <c r="W97" i="110" a="1"/>
  <c r="AH99" i="110" a="1"/>
  <c r="AJ103" i="110" a="1"/>
  <c r="J13" i="105"/>
  <c r="Q20" i="102"/>
  <c r="K20" i="102"/>
  <c r="M19" i="102"/>
  <c r="P18" i="102"/>
  <c r="C18" i="102"/>
  <c r="C17" i="102"/>
  <c r="K17" i="102"/>
  <c r="M18" i="102"/>
  <c r="P19" i="102"/>
  <c r="P8" i="105"/>
  <c r="H10" i="105"/>
  <c r="R10" i="105"/>
  <c r="H11" i="105"/>
  <c r="Q11" i="105"/>
  <c r="F12" i="105"/>
  <c r="P12" i="105"/>
  <c r="D13" i="105"/>
  <c r="N13" i="105"/>
  <c r="H19" i="105"/>
  <c r="M20" i="105"/>
  <c r="Q18" i="105"/>
  <c r="E17" i="105"/>
  <c r="J18" i="105"/>
  <c r="AD31" i="105"/>
  <c r="H30" i="81"/>
  <c r="E30" i="81"/>
  <c r="D30" i="81"/>
  <c r="M12" i="105"/>
  <c r="M34" i="102"/>
  <c r="M31" i="102"/>
  <c r="V53" i="102"/>
  <c r="Y59" i="102"/>
  <c r="AI60" i="102"/>
  <c r="AA34" i="105"/>
  <c r="V33" i="105"/>
  <c r="W32" i="105"/>
  <c r="X31" i="105"/>
  <c r="AH34" i="105"/>
  <c r="AI33" i="105"/>
  <c r="V31" i="105"/>
  <c r="AB32" i="105"/>
  <c r="Z59" i="102"/>
  <c r="AE61" i="102"/>
  <c r="AD97" i="102"/>
  <c r="X97" i="102"/>
  <c r="AD96" i="102"/>
  <c r="AF95" i="102"/>
  <c r="AI94" i="102"/>
  <c r="W94" i="102"/>
  <c r="AD90" i="102"/>
  <c r="AI89" i="102"/>
  <c r="V89" i="102"/>
  <c r="AA88" i="102"/>
  <c r="AF87" i="102"/>
  <c r="AH83" i="102"/>
  <c r="AH82" i="102"/>
  <c r="V82" i="102"/>
  <c r="AF81" i="102"/>
  <c r="V81" i="102"/>
  <c r="AD80" i="102"/>
  <c r="AF69" i="102"/>
  <c r="W69" i="102"/>
  <c r="AE68" i="102"/>
  <c r="U68" i="102"/>
  <c r="AB67" i="102"/>
  <c r="AG66" i="102"/>
  <c r="Y66" i="102"/>
  <c r="AE66" i="102"/>
  <c r="AA67" i="102"/>
  <c r="W68" i="102"/>
  <c r="AJ68" i="102"/>
  <c r="AE69" i="102"/>
  <c r="AF74" i="102"/>
  <c r="AA80" i="102"/>
  <c r="W82" i="102"/>
  <c r="AI83" i="102"/>
  <c r="AH88" i="102"/>
  <c r="W90" i="102"/>
  <c r="L10" i="105"/>
  <c r="H12" i="105"/>
  <c r="Q12" i="105"/>
  <c r="F13" i="105"/>
  <c r="P13" i="105"/>
  <c r="AI31" i="105"/>
  <c r="AH32" i="105"/>
  <c r="AF33" i="105"/>
  <c r="X34" i="105"/>
  <c r="AA41" i="105"/>
  <c r="AH41" i="105"/>
  <c r="V40" i="105"/>
  <c r="AB39" i="105"/>
  <c r="AF41" i="105"/>
  <c r="AI40" i="105"/>
  <c r="W39" i="105"/>
  <c r="AD38" i="105"/>
  <c r="AH40" i="105"/>
  <c r="X41" i="105"/>
  <c r="X38" i="105"/>
  <c r="V39" i="105"/>
  <c r="AD80" i="105"/>
  <c r="H14" i="81"/>
  <c r="E14" i="81"/>
  <c r="D14" i="81"/>
  <c r="P15" i="102"/>
  <c r="M17" i="102"/>
  <c r="C19" i="102"/>
  <c r="E20" i="102"/>
  <c r="AH27" i="102"/>
  <c r="AA27" i="102"/>
  <c r="AG25" i="102"/>
  <c r="V24" i="102"/>
  <c r="V26" i="102"/>
  <c r="U34" i="102"/>
  <c r="U33" i="102"/>
  <c r="AC32" i="102"/>
  <c r="AH31" i="102"/>
  <c r="AE31" i="102"/>
  <c r="AH32" i="102"/>
  <c r="AE33" i="102"/>
  <c r="AH34" i="102"/>
  <c r="AB81" i="102"/>
  <c r="AB87" i="102"/>
  <c r="V95" i="102"/>
  <c r="W96" i="102"/>
  <c r="W97" i="102"/>
  <c r="I11" i="105"/>
  <c r="P19" i="105"/>
  <c r="V24" i="105"/>
  <c r="AH25" i="105"/>
  <c r="E18" i="102"/>
  <c r="E19" i="102"/>
  <c r="H20" i="102"/>
  <c r="AA24" i="102"/>
  <c r="AG26" i="102"/>
  <c r="E31" i="102"/>
  <c r="G32" i="102"/>
  <c r="H33" i="102"/>
  <c r="K34" i="102"/>
  <c r="U60" i="102"/>
  <c r="AH64" i="102"/>
  <c r="AF66" i="102"/>
  <c r="AF67" i="102"/>
  <c r="AA68" i="102"/>
  <c r="U69" i="102"/>
  <c r="AJ69" i="102"/>
  <c r="W75" i="102"/>
  <c r="AH80" i="102"/>
  <c r="AD81" i="102"/>
  <c r="AA82" i="102"/>
  <c r="X83" i="102"/>
  <c r="R90" i="102"/>
  <c r="P90" i="102"/>
  <c r="F89" i="102"/>
  <c r="N88" i="102"/>
  <c r="R87" i="102"/>
  <c r="D87" i="102"/>
  <c r="M87" i="102"/>
  <c r="AH87" i="102"/>
  <c r="W88" i="102"/>
  <c r="D89" i="102"/>
  <c r="X89" i="102"/>
  <c r="I90" i="102"/>
  <c r="AB90" i="102"/>
  <c r="AA94" i="102"/>
  <c r="AA95" i="102"/>
  <c r="X96" i="102"/>
  <c r="AB97" i="102"/>
  <c r="D10" i="105"/>
  <c r="M10" i="105"/>
  <c r="M11" i="105"/>
  <c r="J12" i="105"/>
  <c r="I13" i="105"/>
  <c r="L17" i="105"/>
  <c r="F20" i="105"/>
  <c r="AI24" i="105"/>
  <c r="AD34" i="105"/>
  <c r="AI39" i="105"/>
  <c r="AA40" i="105"/>
  <c r="N48" i="105"/>
  <c r="R47" i="105"/>
  <c r="R46" i="105"/>
  <c r="E46" i="105"/>
  <c r="H45" i="105"/>
  <c r="L48" i="105"/>
  <c r="M47" i="105"/>
  <c r="P46" i="105"/>
  <c r="R45" i="105"/>
  <c r="E45" i="105"/>
  <c r="F48" i="105"/>
  <c r="J47" i="105"/>
  <c r="J46" i="105"/>
  <c r="P45" i="105"/>
  <c r="H47" i="105"/>
  <c r="G21" i="81"/>
  <c r="E21" i="81"/>
  <c r="D21" i="81"/>
  <c r="K21" i="81"/>
  <c r="C21" i="81"/>
  <c r="AC61" i="102"/>
  <c r="AH59" i="102"/>
  <c r="AC60" i="102"/>
  <c r="AC62" i="102"/>
  <c r="O13" i="105"/>
  <c r="L13" i="105"/>
  <c r="E13" i="105"/>
  <c r="R12" i="105"/>
  <c r="L12" i="105"/>
  <c r="E12" i="105"/>
  <c r="R11" i="105"/>
  <c r="L11" i="105"/>
  <c r="D11" i="105"/>
  <c r="Q10" i="105"/>
  <c r="I10" i="105"/>
  <c r="F10" i="105"/>
  <c r="N10" i="105"/>
  <c r="F11" i="105"/>
  <c r="N11" i="105"/>
  <c r="Y81" i="105"/>
  <c r="U81" i="105"/>
  <c r="I53" i="105"/>
  <c r="P53" i="105"/>
  <c r="H54" i="105"/>
  <c r="R54" i="105"/>
  <c r="J55" i="105"/>
  <c r="J9" i="81"/>
  <c r="J25" i="81"/>
  <c r="D63" i="81"/>
  <c r="G68" i="81"/>
  <c r="G74" i="81"/>
  <c r="I75" i="81"/>
  <c r="C85" i="81"/>
  <c r="D88" i="81"/>
  <c r="E110" i="81"/>
  <c r="C110" i="81"/>
  <c r="C119" i="81"/>
  <c r="E18" i="107"/>
  <c r="E19" i="107"/>
  <c r="K20" i="107"/>
  <c r="I41" i="107"/>
  <c r="I40" i="107"/>
  <c r="E39" i="107"/>
  <c r="K47" i="107"/>
  <c r="Z55" i="107"/>
  <c r="U55" i="107"/>
  <c r="Y54" i="107"/>
  <c r="U52" i="107"/>
  <c r="AE55" i="107"/>
  <c r="AI54" i="107"/>
  <c r="Z53" i="107"/>
  <c r="AE52" i="107"/>
  <c r="AI52" i="107"/>
  <c r="AE53" i="107"/>
  <c r="C55" i="107"/>
  <c r="P76" i="107"/>
  <c r="L75" i="107"/>
  <c r="AG94" i="107"/>
  <c r="O19" i="109"/>
  <c r="M18" i="109"/>
  <c r="Q17" i="109"/>
  <c r="K20" i="109"/>
  <c r="D19" i="109"/>
  <c r="C18" i="109"/>
  <c r="G17" i="109"/>
  <c r="G20" i="109"/>
  <c r="AA26" i="109"/>
  <c r="AH52" i="109"/>
  <c r="W55" i="109"/>
  <c r="W59" i="109"/>
  <c r="Y60" i="109"/>
  <c r="Z61" i="109"/>
  <c r="X62" i="109"/>
  <c r="AB69" i="109"/>
  <c r="W68" i="109"/>
  <c r="Z66" i="109"/>
  <c r="Y68" i="109"/>
  <c r="AG67" i="109"/>
  <c r="AH48" i="105"/>
  <c r="F52" i="105"/>
  <c r="M52" i="105"/>
  <c r="Z89" i="105"/>
  <c r="K12" i="81"/>
  <c r="J17" i="81"/>
  <c r="K28" i="81"/>
  <c r="J33" i="81"/>
  <c r="Q11" i="102"/>
  <c r="G39" i="102"/>
  <c r="Q40" i="102"/>
  <c r="AA45" i="102"/>
  <c r="U46" i="102"/>
  <c r="AC46" i="102"/>
  <c r="V47" i="102"/>
  <c r="AE47" i="102"/>
  <c r="Z48" i="102"/>
  <c r="H80" i="102"/>
  <c r="Q80" i="102"/>
  <c r="I81" i="102"/>
  <c r="J82" i="102"/>
  <c r="H83" i="102"/>
  <c r="D24" i="105"/>
  <c r="L24" i="105"/>
  <c r="R24" i="105"/>
  <c r="E25" i="105"/>
  <c r="M25" i="105"/>
  <c r="J26" i="105"/>
  <c r="Q26" i="105"/>
  <c r="H27" i="105"/>
  <c r="N27" i="105"/>
  <c r="F31" i="105"/>
  <c r="M31" i="105"/>
  <c r="D32" i="105"/>
  <c r="J32" i="105"/>
  <c r="R32" i="105"/>
  <c r="D33" i="105"/>
  <c r="J33" i="105"/>
  <c r="Q33" i="105"/>
  <c r="J34" i="105"/>
  <c r="Q34" i="105"/>
  <c r="D38" i="105"/>
  <c r="N38" i="105"/>
  <c r="L39" i="105"/>
  <c r="H40" i="105"/>
  <c r="R40" i="105"/>
  <c r="L41" i="105"/>
  <c r="P50" i="105"/>
  <c r="H52" i="105"/>
  <c r="N52" i="105"/>
  <c r="D53" i="105"/>
  <c r="J53" i="105"/>
  <c r="R53" i="105"/>
  <c r="L54" i="105"/>
  <c r="D55" i="105"/>
  <c r="N55" i="105"/>
  <c r="M59" i="105"/>
  <c r="E60" i="105"/>
  <c r="D61" i="105"/>
  <c r="R61" i="105"/>
  <c r="J62" i="105"/>
  <c r="AD66" i="105"/>
  <c r="AC67" i="105"/>
  <c r="AG68" i="105"/>
  <c r="D74" i="105"/>
  <c r="G80" i="105"/>
  <c r="P80" i="105"/>
  <c r="G81" i="105"/>
  <c r="P81" i="105"/>
  <c r="E82" i="105"/>
  <c r="M82" i="105"/>
  <c r="G83" i="105"/>
  <c r="P83" i="105"/>
  <c r="Z87" i="105"/>
  <c r="AG89" i="105"/>
  <c r="AA94" i="105"/>
  <c r="U95" i="105"/>
  <c r="AC95" i="105"/>
  <c r="W96" i="105"/>
  <c r="AG96" i="105"/>
  <c r="Z97" i="105"/>
  <c r="C8" i="81"/>
  <c r="C9" i="81"/>
  <c r="K9" i="81"/>
  <c r="C12" i="81"/>
  <c r="J13" i="81"/>
  <c r="C16" i="81"/>
  <c r="C17" i="81"/>
  <c r="K17" i="81"/>
  <c r="H20" i="81"/>
  <c r="C24" i="81"/>
  <c r="C25" i="81"/>
  <c r="K25" i="81"/>
  <c r="C28" i="81"/>
  <c r="J29" i="81"/>
  <c r="C32" i="81"/>
  <c r="C33" i="81"/>
  <c r="K33" i="81"/>
  <c r="D39" i="81"/>
  <c r="L47" i="81"/>
  <c r="I55" i="81"/>
  <c r="J55" i="81" s="1"/>
  <c r="F63" i="81"/>
  <c r="C73" i="81"/>
  <c r="G83" i="81"/>
  <c r="I88" i="81"/>
  <c r="C90" i="81"/>
  <c r="C103" i="81"/>
  <c r="C105" i="81"/>
  <c r="C115" i="81"/>
  <c r="G115" i="81"/>
  <c r="F120" i="81"/>
  <c r="C121" i="81"/>
  <c r="P8" i="107"/>
  <c r="AA10" i="107"/>
  <c r="W11" i="107"/>
  <c r="V12" i="107"/>
  <c r="AG12" i="107"/>
  <c r="E17" i="107"/>
  <c r="G18" i="107"/>
  <c r="L19" i="107"/>
  <c r="P20" i="107"/>
  <c r="P36" i="107"/>
  <c r="D39" i="107"/>
  <c r="E41" i="107"/>
  <c r="E45" i="107"/>
  <c r="P48" i="107"/>
  <c r="G52" i="107"/>
  <c r="G53" i="107"/>
  <c r="G54" i="107"/>
  <c r="L55" i="107"/>
  <c r="V89" i="107"/>
  <c r="I18" i="109"/>
  <c r="R20" i="109"/>
  <c r="AH24" i="109"/>
  <c r="AH26" i="109"/>
  <c r="M41" i="109"/>
  <c r="L38" i="109"/>
  <c r="H40" i="109"/>
  <c r="C39" i="109"/>
  <c r="J39" i="109"/>
  <c r="AF48" i="109"/>
  <c r="J62" i="109"/>
  <c r="Q61" i="109"/>
  <c r="F60" i="109"/>
  <c r="H59" i="109"/>
  <c r="P57" i="109"/>
  <c r="AC59" i="109"/>
  <c r="AC60" i="109"/>
  <c r="AE61" i="109"/>
  <c r="Z73" i="109"/>
  <c r="U73" i="109"/>
  <c r="AC76" i="109"/>
  <c r="Y74" i="109"/>
  <c r="F24" i="105"/>
  <c r="M24" i="105"/>
  <c r="H25" i="105"/>
  <c r="N25" i="105"/>
  <c r="E26" i="105"/>
  <c r="L26" i="105"/>
  <c r="R26" i="105"/>
  <c r="I27" i="105"/>
  <c r="P27" i="105"/>
  <c r="F38" i="105"/>
  <c r="Q38" i="105"/>
  <c r="D39" i="105"/>
  <c r="N39" i="105"/>
  <c r="J40" i="105"/>
  <c r="D41" i="105"/>
  <c r="N41" i="105"/>
  <c r="I52" i="105"/>
  <c r="Q52" i="105"/>
  <c r="E53" i="105"/>
  <c r="L53" i="105"/>
  <c r="D54" i="105"/>
  <c r="M54" i="105"/>
  <c r="F55" i="105"/>
  <c r="P66" i="105"/>
  <c r="E67" i="105"/>
  <c r="I68" i="105"/>
  <c r="AI87" i="105"/>
  <c r="V90" i="105"/>
  <c r="H8" i="81"/>
  <c r="D9" i="81"/>
  <c r="H16" i="81"/>
  <c r="D17" i="81"/>
  <c r="H24" i="81"/>
  <c r="D25" i="81"/>
  <c r="H32" i="81"/>
  <c r="D33" i="81"/>
  <c r="L39" i="81"/>
  <c r="I63" i="81"/>
  <c r="J63" i="81" s="1"/>
  <c r="G82" i="81"/>
  <c r="I82" i="81"/>
  <c r="I84" i="81"/>
  <c r="G84" i="81"/>
  <c r="E104" i="81"/>
  <c r="C104" i="81"/>
  <c r="AC13" i="107"/>
  <c r="AE13" i="107"/>
  <c r="U13" i="107"/>
  <c r="Z12" i="107"/>
  <c r="AE11" i="107"/>
  <c r="V11" i="107"/>
  <c r="AE10" i="107"/>
  <c r="U10" i="107"/>
  <c r="AG10" i="107"/>
  <c r="AA11" i="107"/>
  <c r="W12" i="107"/>
  <c r="W13" i="107"/>
  <c r="AH13" i="107"/>
  <c r="K17" i="107"/>
  <c r="P18" i="107"/>
  <c r="P19" i="107"/>
  <c r="L52" i="107"/>
  <c r="P53" i="107"/>
  <c r="Q54" i="107"/>
  <c r="P74" i="107"/>
  <c r="AG90" i="107"/>
  <c r="U90" i="107"/>
  <c r="AA89" i="107"/>
  <c r="AE88" i="107"/>
  <c r="V87" i="107"/>
  <c r="AA90" i="107"/>
  <c r="AG89" i="107"/>
  <c r="U89" i="107"/>
  <c r="V88" i="107"/>
  <c r="AA87" i="107"/>
  <c r="U88" i="107"/>
  <c r="AE89" i="107"/>
  <c r="E17" i="109"/>
  <c r="AB62" i="109"/>
  <c r="AA62" i="109"/>
  <c r="AA61" i="109"/>
  <c r="AB60" i="109"/>
  <c r="AA59" i="109"/>
  <c r="AF62" i="109"/>
  <c r="W62" i="109"/>
  <c r="AG61" i="109"/>
  <c r="Y61" i="109"/>
  <c r="AG60" i="109"/>
  <c r="W60" i="109"/>
  <c r="AE59" i="109"/>
  <c r="V59" i="109"/>
  <c r="AH59" i="109"/>
  <c r="AG62" i="109"/>
  <c r="AA67" i="109"/>
  <c r="C91" i="81"/>
  <c r="I91" i="81"/>
  <c r="C99" i="81"/>
  <c r="G99" i="81"/>
  <c r="E112" i="81"/>
  <c r="F112" i="81" s="1"/>
  <c r="C112" i="81"/>
  <c r="L20" i="107"/>
  <c r="G20" i="107"/>
  <c r="K19" i="107"/>
  <c r="K18" i="107"/>
  <c r="L17" i="107"/>
  <c r="P15" i="107"/>
  <c r="P17" i="107"/>
  <c r="Q18" i="107"/>
  <c r="E20" i="107"/>
  <c r="K48" i="107"/>
  <c r="G47" i="107"/>
  <c r="P45" i="107"/>
  <c r="E48" i="107"/>
  <c r="K46" i="107"/>
  <c r="P46" i="107"/>
  <c r="E55" i="107"/>
  <c r="C54" i="107"/>
  <c r="Q53" i="107"/>
  <c r="C53" i="107"/>
  <c r="C52" i="107"/>
  <c r="P55" i="107"/>
  <c r="L54" i="107"/>
  <c r="H53" i="107"/>
  <c r="K52" i="107"/>
  <c r="P50" i="107"/>
  <c r="AC97" i="107"/>
  <c r="AE95" i="107"/>
  <c r="V97" i="107"/>
  <c r="U94" i="107"/>
  <c r="Y27" i="109"/>
  <c r="AE26" i="109"/>
  <c r="AA25" i="109"/>
  <c r="AA24" i="109"/>
  <c r="AC27" i="109"/>
  <c r="X55" i="109"/>
  <c r="V52" i="109"/>
  <c r="AG54" i="109"/>
  <c r="Y53" i="109"/>
  <c r="W54" i="109"/>
  <c r="U59" i="109"/>
  <c r="U61" i="109"/>
  <c r="U66" i="109"/>
  <c r="U69" i="109"/>
  <c r="AH27" i="108"/>
  <c r="AJ27" i="108"/>
  <c r="AC27" i="108"/>
  <c r="U27" i="108"/>
  <c r="AG26" i="108"/>
  <c r="AA26" i="108"/>
  <c r="AF25" i="108"/>
  <c r="X25" i="108"/>
  <c r="AJ24" i="108"/>
  <c r="AC24" i="108"/>
  <c r="W24" i="108"/>
  <c r="AE27" i="108"/>
  <c r="AB26" i="108"/>
  <c r="AI25" i="108"/>
  <c r="AA25" i="108"/>
  <c r="AG24" i="108"/>
  <c r="X24" i="108"/>
  <c r="AI24" i="108"/>
  <c r="U25" i="108"/>
  <c r="AG25" i="108"/>
  <c r="U26" i="108"/>
  <c r="AF26" i="108"/>
  <c r="AF27" i="108"/>
  <c r="R90" i="108" a="1"/>
  <c r="R90" i="108" s="1"/>
  <c r="L90" i="108" a="1"/>
  <c r="L90" i="108" s="1"/>
  <c r="F90" i="108" a="1"/>
  <c r="M89" i="108" a="1"/>
  <c r="E89" i="108" a="1"/>
  <c r="N88" i="108" a="1"/>
  <c r="F88" i="108" a="1"/>
  <c r="O87" i="108" a="1"/>
  <c r="O87" i="108" s="1"/>
  <c r="G87" i="108" a="1"/>
  <c r="G87" i="108" s="1"/>
  <c r="P90" i="108" a="1"/>
  <c r="P90" i="108" s="1"/>
  <c r="I90" i="108" a="1"/>
  <c r="L89" i="108" a="1"/>
  <c r="L89" i="108" s="1"/>
  <c r="J90" i="108" a="1"/>
  <c r="J90" i="108" s="1"/>
  <c r="C90" i="108" a="1"/>
  <c r="P89" i="108" a="1"/>
  <c r="P89" i="108" s="1"/>
  <c r="D89" i="108" a="1"/>
  <c r="D89" i="108" s="1"/>
  <c r="R88" i="108" a="1"/>
  <c r="G88" i="108" a="1"/>
  <c r="G88" i="108" s="1"/>
  <c r="K87" i="108" a="1"/>
  <c r="K87" i="108" s="1"/>
  <c r="D87" i="108" a="1"/>
  <c r="R87" i="108" a="1"/>
  <c r="C88" i="108" a="1"/>
  <c r="C88" i="108" s="1"/>
  <c r="P88" i="108" a="1"/>
  <c r="H89" i="108" a="1"/>
  <c r="H89" i="108" s="1"/>
  <c r="O90" i="108" a="1"/>
  <c r="AE33" i="107"/>
  <c r="W38" i="107"/>
  <c r="AH38" i="107"/>
  <c r="W39" i="107"/>
  <c r="AG39" i="107"/>
  <c r="U40" i="107"/>
  <c r="AC40" i="107"/>
  <c r="U41" i="107"/>
  <c r="AC41" i="107"/>
  <c r="V59" i="107"/>
  <c r="U60" i="107"/>
  <c r="AG60" i="107"/>
  <c r="AG61" i="107"/>
  <c r="AE62" i="107"/>
  <c r="AC66" i="107"/>
  <c r="Z69" i="107"/>
  <c r="K80" i="107"/>
  <c r="E81" i="107"/>
  <c r="M81" i="107"/>
  <c r="G82" i="107"/>
  <c r="Q82" i="107"/>
  <c r="K83" i="107"/>
  <c r="W102" i="107"/>
  <c r="L10" i="109"/>
  <c r="N11" i="109"/>
  <c r="L12" i="109"/>
  <c r="AH12" i="109"/>
  <c r="AE13" i="109"/>
  <c r="E24" i="109"/>
  <c r="C25" i="109"/>
  <c r="I26" i="109"/>
  <c r="O31" i="109"/>
  <c r="O32" i="109"/>
  <c r="M33" i="109"/>
  <c r="U41" i="109"/>
  <c r="C45" i="109"/>
  <c r="P45" i="109"/>
  <c r="J46" i="109"/>
  <c r="E47" i="109"/>
  <c r="K48" i="109"/>
  <c r="C66" i="109"/>
  <c r="O66" i="109"/>
  <c r="I67" i="109"/>
  <c r="C73" i="109"/>
  <c r="E74" i="109"/>
  <c r="G75" i="109"/>
  <c r="O80" i="109"/>
  <c r="E10" i="108"/>
  <c r="L20" i="108"/>
  <c r="O19" i="108"/>
  <c r="J18" i="108"/>
  <c r="L18" i="108"/>
  <c r="G17" i="108"/>
  <c r="H20" i="108"/>
  <c r="AH22" i="108" a="1"/>
  <c r="AH22" i="108" s="1"/>
  <c r="Y24" i="108"/>
  <c r="W25" i="108"/>
  <c r="W26" i="108"/>
  <c r="AJ26" i="108"/>
  <c r="X27" i="108"/>
  <c r="AI27" i="108"/>
  <c r="AJ41" i="108"/>
  <c r="AI41" i="108"/>
  <c r="AC39" i="108"/>
  <c r="AE40" i="108"/>
  <c r="Y41" i="108"/>
  <c r="M45" i="108"/>
  <c r="H69" i="108"/>
  <c r="M68" i="108"/>
  <c r="N66" i="108"/>
  <c r="AI76" i="108" a="1"/>
  <c r="AE76" i="108" a="1"/>
  <c r="AE76" i="108" s="1"/>
  <c r="Z76" i="108" a="1"/>
  <c r="AJ75" i="108" a="1"/>
  <c r="AE75" i="108" a="1"/>
  <c r="Y75" i="108" a="1"/>
  <c r="AJ74" i="108" a="1"/>
  <c r="AE74" i="108" a="1"/>
  <c r="AE74" i="108" s="1"/>
  <c r="Z74" i="108" a="1"/>
  <c r="V74" i="108" a="1"/>
  <c r="AG73" i="108" a="1"/>
  <c r="AB73" i="108" a="1"/>
  <c r="W73" i="108" a="1"/>
  <c r="W73" i="108" s="1"/>
  <c r="AH71" i="108" a="1"/>
  <c r="AH76" i="108" a="1"/>
  <c r="AA76" i="108" a="1"/>
  <c r="AI75" i="108" a="1"/>
  <c r="AB75" i="108" a="1"/>
  <c r="U75" i="108" a="1"/>
  <c r="U75" i="108" s="1"/>
  <c r="AD74" i="108" a="1"/>
  <c r="AH73" i="108" a="1"/>
  <c r="AA73" i="108" a="1"/>
  <c r="U73" i="108" a="1"/>
  <c r="U73" i="108" s="1"/>
  <c r="Z73" i="108" a="1"/>
  <c r="AI73" i="108" a="1"/>
  <c r="AB74" i="108" a="1"/>
  <c r="AI74" i="108" a="1"/>
  <c r="AC75" i="108" a="1"/>
  <c r="AC75" i="108" s="1"/>
  <c r="W76" i="108" a="1"/>
  <c r="AG76" i="108" a="1"/>
  <c r="AG76" i="108" s="1"/>
  <c r="P85" i="108" a="1"/>
  <c r="P85" i="108" s="1"/>
  <c r="F87" i="108" a="1"/>
  <c r="E88" i="108" a="1"/>
  <c r="E88" i="108" s="1"/>
  <c r="K89" i="108" a="1"/>
  <c r="D90" i="108" a="1"/>
  <c r="D90" i="108" s="1"/>
  <c r="O104" i="109"/>
  <c r="M104" i="109"/>
  <c r="G102" i="109"/>
  <c r="O102" i="109"/>
  <c r="C104" i="109"/>
  <c r="AB24" i="108"/>
  <c r="AB25" i="108"/>
  <c r="Y26" i="108"/>
  <c r="Y27" i="108"/>
  <c r="M48" i="108"/>
  <c r="I47" i="108"/>
  <c r="H46" i="108"/>
  <c r="C45" i="108"/>
  <c r="D48" i="108"/>
  <c r="M46" i="108"/>
  <c r="C46" i="108"/>
  <c r="H48" i="108"/>
  <c r="AE62" i="108"/>
  <c r="AC59" i="108"/>
  <c r="J73" i="108"/>
  <c r="I87" i="108" a="1"/>
  <c r="I87" i="108" s="1"/>
  <c r="J88" i="108" a="1"/>
  <c r="Q89" i="108" a="1"/>
  <c r="G90" i="108" a="1"/>
  <c r="D94" i="108" a="1"/>
  <c r="AE59" i="107"/>
  <c r="Z60" i="107"/>
  <c r="Z61" i="107"/>
  <c r="Z62" i="107"/>
  <c r="U68" i="107"/>
  <c r="G80" i="107"/>
  <c r="P80" i="107"/>
  <c r="H81" i="107"/>
  <c r="C82" i="107"/>
  <c r="L82" i="107"/>
  <c r="E83" i="107"/>
  <c r="P83" i="107"/>
  <c r="AD10" i="109"/>
  <c r="AA11" i="109"/>
  <c r="AH31" i="109"/>
  <c r="AF34" i="109"/>
  <c r="K45" i="109"/>
  <c r="C46" i="109"/>
  <c r="N46" i="109"/>
  <c r="L47" i="109"/>
  <c r="C48" i="109"/>
  <c r="R69" i="109"/>
  <c r="J69" i="109"/>
  <c r="G68" i="109"/>
  <c r="O67" i="109"/>
  <c r="C67" i="109"/>
  <c r="I66" i="109"/>
  <c r="Q67" i="109"/>
  <c r="L68" i="109"/>
  <c r="E69" i="109"/>
  <c r="Q76" i="109"/>
  <c r="P75" i="109"/>
  <c r="E75" i="109"/>
  <c r="M74" i="109"/>
  <c r="E73" i="109"/>
  <c r="R76" i="109"/>
  <c r="O75" i="109"/>
  <c r="R74" i="109"/>
  <c r="C74" i="109"/>
  <c r="L73" i="109"/>
  <c r="N74" i="109"/>
  <c r="G76" i="109"/>
  <c r="F83" i="109"/>
  <c r="I81" i="109"/>
  <c r="E82" i="109"/>
  <c r="D80" i="109"/>
  <c r="M81" i="109"/>
  <c r="J13" i="108"/>
  <c r="K10" i="108"/>
  <c r="H12" i="108"/>
  <c r="N11" i="108"/>
  <c r="AE24" i="108"/>
  <c r="AC25" i="108"/>
  <c r="AE26" i="108"/>
  <c r="AA27" i="108"/>
  <c r="E38" i="108"/>
  <c r="O38" i="108"/>
  <c r="L87" i="108" a="1"/>
  <c r="M88" i="108" a="1"/>
  <c r="M88" i="108" s="1"/>
  <c r="M90" i="108" a="1"/>
  <c r="Q97" i="108" a="1"/>
  <c r="Q97" i="108" s="1"/>
  <c r="C96" i="108" a="1"/>
  <c r="C96" i="108" s="1"/>
  <c r="R94" i="108" a="1"/>
  <c r="L97" i="108" a="1"/>
  <c r="N96" i="108" a="1"/>
  <c r="O97" i="108" a="1"/>
  <c r="O97" i="108" s="1"/>
  <c r="Q96" i="108" a="1"/>
  <c r="Q96" i="108" s="1"/>
  <c r="G94" i="108" a="1"/>
  <c r="G94" i="108" s="1"/>
  <c r="O95" i="108" a="1"/>
  <c r="O95" i="108" s="1"/>
  <c r="J96" i="108" a="1"/>
  <c r="M97" i="109"/>
  <c r="G96" i="109"/>
  <c r="I94" i="109"/>
  <c r="I95" i="109"/>
  <c r="J97" i="109"/>
  <c r="I27" i="108"/>
  <c r="R26" i="108"/>
  <c r="E26" i="108"/>
  <c r="N25" i="108"/>
  <c r="G24" i="108"/>
  <c r="P22" i="108" a="1"/>
  <c r="P22" i="108" s="1"/>
  <c r="C24" i="108"/>
  <c r="M25" i="108"/>
  <c r="N26" i="108"/>
  <c r="C27" i="108"/>
  <c r="R27" i="108"/>
  <c r="AC34" i="108"/>
  <c r="AE31" i="108"/>
  <c r="AD33" i="108"/>
  <c r="I62" i="108"/>
  <c r="M61" i="108"/>
  <c r="O60" i="108"/>
  <c r="C60" i="108"/>
  <c r="O59" i="108"/>
  <c r="C59" i="108"/>
  <c r="P57" i="108" a="1"/>
  <c r="E59" i="108"/>
  <c r="M60" i="108"/>
  <c r="O61" i="108"/>
  <c r="P62" i="108"/>
  <c r="AI83" i="108" a="1"/>
  <c r="AH83" i="108" a="1"/>
  <c r="AC83" i="108" a="1"/>
  <c r="AJ82" i="108" a="1"/>
  <c r="AJ82" i="108" s="1"/>
  <c r="AE82" i="108" a="1"/>
  <c r="AA82" i="108" a="1"/>
  <c r="V82" i="108" a="1"/>
  <c r="V82" i="108" s="1"/>
  <c r="AH81" i="108" a="1"/>
  <c r="AC81" i="108" a="1"/>
  <c r="Y81" i="108" a="1"/>
  <c r="AG80" i="108" a="1"/>
  <c r="AB80" i="108" a="1"/>
  <c r="AB80" i="108" s="1"/>
  <c r="W80" i="108" a="1"/>
  <c r="AH78" i="108" a="1"/>
  <c r="AH78" i="108" s="1"/>
  <c r="Z80" i="108" a="1"/>
  <c r="AF80" i="108" a="1"/>
  <c r="X81" i="108" a="1"/>
  <c r="X81" i="108" s="1"/>
  <c r="AD81" i="108" a="1"/>
  <c r="AD81" i="108" s="1"/>
  <c r="AB82" i="108" a="1"/>
  <c r="AB82" i="108" s="1"/>
  <c r="AI82" i="108" a="1"/>
  <c r="U83" i="108" a="1"/>
  <c r="AA83" i="108" a="1"/>
  <c r="AJ83" i="108" a="1"/>
  <c r="AJ83" i="108" s="1"/>
  <c r="U10" i="110"/>
  <c r="W11" i="110"/>
  <c r="W12" i="110"/>
  <c r="X17" i="110"/>
  <c r="AI17" i="110"/>
  <c r="AG18" i="110"/>
  <c r="AE19" i="110"/>
  <c r="AB20" i="110"/>
  <c r="AH34" i="110"/>
  <c r="AG34" i="110"/>
  <c r="AA34" i="110"/>
  <c r="AE33" i="110"/>
  <c r="X33" i="110"/>
  <c r="AG32" i="110"/>
  <c r="AA32" i="110"/>
  <c r="AE31" i="110"/>
  <c r="W31" i="110"/>
  <c r="AH29" i="110" a="1"/>
  <c r="AH29" i="110" s="1"/>
  <c r="AB34" i="110"/>
  <c r="AJ33" i="110"/>
  <c r="AA33" i="110"/>
  <c r="AI32" i="110"/>
  <c r="X32" i="110"/>
  <c r="AG31" i="110"/>
  <c r="Y31" i="110"/>
  <c r="AA31" i="110"/>
  <c r="U32" i="110"/>
  <c r="AF32" i="110"/>
  <c r="AC33" i="110"/>
  <c r="W34" i="110"/>
  <c r="AI34" i="110"/>
  <c r="G46" i="110"/>
  <c r="P43" i="110" a="1"/>
  <c r="P43" i="110" s="1"/>
  <c r="AF52" i="110"/>
  <c r="AE59" i="110"/>
  <c r="Y62" i="110"/>
  <c r="P13" i="110"/>
  <c r="K13" i="110"/>
  <c r="H10" i="110"/>
  <c r="AA17" i="110"/>
  <c r="Y18" i="110"/>
  <c r="U19" i="110"/>
  <c r="AF19" i="110"/>
  <c r="AA27" i="110"/>
  <c r="AA25" i="110"/>
  <c r="AI27" i="110"/>
  <c r="Z24" i="110"/>
  <c r="U27" i="110"/>
  <c r="AH20" i="110"/>
  <c r="AG20" i="110"/>
  <c r="Y20" i="110"/>
  <c r="AG19" i="110"/>
  <c r="AA19" i="110"/>
  <c r="AJ18" i="110"/>
  <c r="AB18" i="110"/>
  <c r="U18" i="110"/>
  <c r="AC17" i="110"/>
  <c r="W17" i="110"/>
  <c r="AC20" i="110"/>
  <c r="AJ19" i="110"/>
  <c r="Y19" i="110"/>
  <c r="AF18" i="110"/>
  <c r="W18" i="110"/>
  <c r="AB17" i="110"/>
  <c r="AH15" i="110" a="1"/>
  <c r="AH15" i="110" s="1"/>
  <c r="AF17" i="110"/>
  <c r="AA18" i="110"/>
  <c r="W19" i="110"/>
  <c r="W20" i="110"/>
  <c r="AI20" i="110"/>
  <c r="AF55" i="110"/>
  <c r="AB53" i="110"/>
  <c r="V52" i="110"/>
  <c r="AI54" i="110"/>
  <c r="U55" i="110"/>
  <c r="X54" i="110"/>
  <c r="Z53" i="110"/>
  <c r="AD52" i="110"/>
  <c r="U53" i="110"/>
  <c r="AC54" i="110"/>
  <c r="AA61" i="110"/>
  <c r="AI61" i="110"/>
  <c r="AI60" i="110"/>
  <c r="U62" i="110"/>
  <c r="AE60" i="110"/>
  <c r="AA59" i="110"/>
  <c r="AI62" i="110"/>
  <c r="U61" i="110"/>
  <c r="AH57" i="110" a="1"/>
  <c r="AD13" i="110"/>
  <c r="AC12" i="110"/>
  <c r="AE11" i="110"/>
  <c r="AH10" i="110"/>
  <c r="H11" i="110"/>
  <c r="K12" i="110"/>
  <c r="Y13" i="110"/>
  <c r="U17" i="110"/>
  <c r="AG17" i="110"/>
  <c r="AE18" i="110"/>
  <c r="AB19" i="110"/>
  <c r="X20" i="110"/>
  <c r="AJ20" i="110"/>
  <c r="AE26" i="110"/>
  <c r="AH50" i="110" a="1"/>
  <c r="Z52" i="110"/>
  <c r="AJ53" i="110"/>
  <c r="Y59" i="110"/>
  <c r="Y61" i="110"/>
  <c r="X69" i="110"/>
  <c r="X66" i="110"/>
  <c r="AB67" i="110"/>
  <c r="AI66" i="110"/>
  <c r="AH64" i="110" a="1"/>
  <c r="AH64" i="110" s="1"/>
  <c r="O90" i="110" a="1"/>
  <c r="C90" i="110" a="1"/>
  <c r="E89" i="110" a="1"/>
  <c r="E89" i="110" s="1"/>
  <c r="M87" i="110" a="1"/>
  <c r="M87" i="110" s="1"/>
  <c r="C87" i="110" a="1"/>
  <c r="C87" i="110" s="1"/>
  <c r="K90" i="110" a="1"/>
  <c r="M89" i="110" a="1"/>
  <c r="M89" i="110" s="1"/>
  <c r="C89" i="110" a="1"/>
  <c r="C89" i="110" s="1"/>
  <c r="E88" i="110" a="1"/>
  <c r="E88" i="110" s="1"/>
  <c r="K87" i="110" a="1"/>
  <c r="K87" i="110" s="1"/>
  <c r="G87" i="110" a="1"/>
  <c r="G87" i="110" s="1"/>
  <c r="Q90" i="110" a="1"/>
  <c r="G90" i="110" a="1"/>
  <c r="K89" i="110" a="1"/>
  <c r="K89" i="110" s="1"/>
  <c r="M88" i="110" a="1"/>
  <c r="M88" i="110" s="1"/>
  <c r="C88" i="110" a="1"/>
  <c r="C88" i="110" s="1"/>
  <c r="P85" i="110" a="1"/>
  <c r="N90" i="110" a="1"/>
  <c r="N90" i="110" s="1"/>
  <c r="AA87" i="109"/>
  <c r="W88" i="109"/>
  <c r="AE88" i="109"/>
  <c r="AA89" i="109"/>
  <c r="W90" i="109"/>
  <c r="AF90" i="109"/>
  <c r="AB66" i="108"/>
  <c r="I80" i="108" a="1"/>
  <c r="O80" i="108" a="1"/>
  <c r="D81" i="108" a="1"/>
  <c r="J81" i="108" a="1"/>
  <c r="Q81" i="108" a="1"/>
  <c r="G82" i="108" a="1"/>
  <c r="O82" i="108" a="1"/>
  <c r="J83" i="108" a="1"/>
  <c r="AD87" i="108" a="1"/>
  <c r="AA88" i="108" a="1"/>
  <c r="AA88" i="108" s="1"/>
  <c r="AA89" i="108" a="1"/>
  <c r="AB94" i="108" a="1"/>
  <c r="AI94" i="108" a="1"/>
  <c r="AI94" i="108" s="1"/>
  <c r="X95" i="108" a="1"/>
  <c r="AE95" i="108" a="1"/>
  <c r="V96" i="108" a="1"/>
  <c r="AB96" i="108" a="1"/>
  <c r="AI96" i="108" a="1"/>
  <c r="W97" i="108" a="1"/>
  <c r="M27" i="110"/>
  <c r="D27" i="110"/>
  <c r="O24" i="110"/>
  <c r="P22" i="110" a="1"/>
  <c r="Q26" i="110"/>
  <c r="M41" i="110"/>
  <c r="P40" i="110"/>
  <c r="E40" i="110"/>
  <c r="I39" i="110"/>
  <c r="K38" i="110"/>
  <c r="E38" i="110"/>
  <c r="D39" i="110"/>
  <c r="H40" i="110"/>
  <c r="E41" i="110"/>
  <c r="W73" i="110" a="1"/>
  <c r="W74" i="110" a="1"/>
  <c r="X75" i="110" a="1"/>
  <c r="U80" i="110" a="1"/>
  <c r="U80" i="110" s="1"/>
  <c r="AG80" i="110" a="1"/>
  <c r="AG80" i="110" s="1"/>
  <c r="Y80" i="110" a="1"/>
  <c r="Y80" i="110" s="1"/>
  <c r="K88" i="110" a="1"/>
  <c r="K88" i="110" s="1"/>
  <c r="E87" i="110" a="1"/>
  <c r="E87" i="110" s="1"/>
  <c r="L60" i="110"/>
  <c r="L59" i="110"/>
  <c r="AI76" i="110" a="1"/>
  <c r="AC76" i="110" a="1"/>
  <c r="AD75" i="110" a="1"/>
  <c r="AH74" i="110" a="1"/>
  <c r="AH74" i="110" s="1"/>
  <c r="Z74" i="110" a="1"/>
  <c r="Z74" i="110" s="1"/>
  <c r="AG73" i="110" a="1"/>
  <c r="Z73" i="110" a="1"/>
  <c r="AJ76" i="110" a="1"/>
  <c r="Z76" i="110" a="1"/>
  <c r="AI75" i="110" a="1"/>
  <c r="AA75" i="110" a="1"/>
  <c r="AE74" i="110" a="1"/>
  <c r="X74" i="110" a="1"/>
  <c r="AE73" i="110" a="1"/>
  <c r="Y73" i="110" a="1"/>
  <c r="AH71" i="110" a="1"/>
  <c r="AD73" i="110" a="1"/>
  <c r="AD74" i="110" a="1"/>
  <c r="AH75" i="110" a="1"/>
  <c r="AG76" i="110" a="1"/>
  <c r="I87" i="110" a="1"/>
  <c r="I87" i="110" s="1"/>
  <c r="F90" i="110" a="1"/>
  <c r="F90" i="110" s="1"/>
  <c r="K32" i="110"/>
  <c r="F52" i="110"/>
  <c r="F53" i="110"/>
  <c r="Q54" i="110"/>
  <c r="I55" i="110"/>
  <c r="E66" i="110"/>
  <c r="Q66" i="110"/>
  <c r="G67" i="110"/>
  <c r="F68" i="110"/>
  <c r="G69" i="110"/>
  <c r="F80" i="110" a="1"/>
  <c r="Q80" i="110" a="1"/>
  <c r="Q80" i="110" s="1"/>
  <c r="L81" i="110" a="1"/>
  <c r="H82" i="110" a="1"/>
  <c r="Q82" i="110" a="1"/>
  <c r="L83" i="110" a="1"/>
  <c r="AH94" i="110" a="1"/>
  <c r="AH94" i="110" s="1"/>
  <c r="W95" i="110" a="1"/>
  <c r="AE95" i="110" a="1"/>
  <c r="W96" i="110" a="1"/>
  <c r="AH96" i="110" a="1"/>
  <c r="AH96" i="110" s="1"/>
  <c r="Y97" i="110" a="1"/>
  <c r="AJ97" i="110" a="1"/>
  <c r="AJ97" i="110" s="1"/>
  <c r="J101" i="110" a="1"/>
  <c r="AF101" i="110" a="1"/>
  <c r="X102" i="110" a="1"/>
  <c r="X103" i="110" a="1"/>
  <c r="X104" i="110" a="1"/>
  <c r="K80" i="110" a="1"/>
  <c r="K80" i="110" s="1"/>
  <c r="C81" i="110" a="1"/>
  <c r="C81" i="110" s="1"/>
  <c r="N81" i="110" a="1"/>
  <c r="I82" i="110" a="1"/>
  <c r="D83" i="110" a="1"/>
  <c r="V94" i="110" a="1"/>
  <c r="AB94" i="110" a="1"/>
  <c r="AB94" i="110" s="1"/>
  <c r="AJ94" i="110" a="1"/>
  <c r="AJ94" i="110" s="1"/>
  <c r="Y95" i="110" a="1"/>
  <c r="AH95" i="110" a="1"/>
  <c r="AH95" i="110" s="1"/>
  <c r="Y96" i="110" a="1"/>
  <c r="AJ96" i="110" a="1"/>
  <c r="AJ96" i="110" s="1"/>
  <c r="AB97" i="110" a="1"/>
  <c r="AB97" i="110" s="1"/>
  <c r="O101" i="110" a="1"/>
  <c r="O101" i="110" s="1"/>
  <c r="AJ101" i="110" a="1"/>
  <c r="AB102" i="110" a="1"/>
  <c r="AB103" i="110" a="1"/>
  <c r="AB104" i="110" a="1"/>
  <c r="W94" i="110" a="1"/>
  <c r="AE94" i="110" a="1"/>
  <c r="AJ95" i="110" a="1"/>
  <c r="AJ95" i="110" s="1"/>
  <c r="AB96" i="110" a="1"/>
  <c r="AB96" i="110" s="1"/>
  <c r="V97" i="110" a="1"/>
  <c r="X101" i="110" a="1"/>
  <c r="G102" i="110" a="1"/>
  <c r="G102" i="110" s="1"/>
  <c r="AF102" i="110" a="1"/>
  <c r="AF103" i="110" a="1"/>
  <c r="AF104" i="110" a="1"/>
  <c r="AC18" i="102"/>
  <c r="R69" i="102"/>
  <c r="G69" i="102"/>
  <c r="N68" i="102"/>
  <c r="C68" i="102"/>
  <c r="M67" i="102"/>
  <c r="I66" i="102"/>
  <c r="G66" i="102"/>
  <c r="M68" i="102"/>
  <c r="N104" i="102"/>
  <c r="F76" i="102"/>
  <c r="C75" i="102"/>
  <c r="C74" i="102"/>
  <c r="C73" i="102"/>
  <c r="E96" i="102"/>
  <c r="M96" i="102"/>
  <c r="V18" i="102"/>
  <c r="AE18" i="102"/>
  <c r="K33" i="102"/>
  <c r="K46" i="102"/>
  <c r="C48" i="102"/>
  <c r="M66" i="102"/>
  <c r="C69" i="102"/>
  <c r="AF76" i="102"/>
  <c r="AA75" i="102"/>
  <c r="AA74" i="102"/>
  <c r="AA73" i="102"/>
  <c r="AB73" i="102"/>
  <c r="U74" i="102"/>
  <c r="AG74" i="102"/>
  <c r="AB75" i="102"/>
  <c r="X76" i="102"/>
  <c r="H96" i="102"/>
  <c r="N96" i="102"/>
  <c r="O20" i="105"/>
  <c r="N20" i="105"/>
  <c r="I20" i="105"/>
  <c r="D20" i="105"/>
  <c r="N19" i="105"/>
  <c r="I19" i="105"/>
  <c r="D19" i="105"/>
  <c r="N18" i="105"/>
  <c r="I18" i="105"/>
  <c r="D18" i="105"/>
  <c r="N17" i="105"/>
  <c r="I17" i="105"/>
  <c r="D17" i="105"/>
  <c r="F17" i="105"/>
  <c r="M17" i="105"/>
  <c r="E18" i="105"/>
  <c r="L18" i="105"/>
  <c r="R18" i="105"/>
  <c r="J19" i="105"/>
  <c r="Q19" i="105"/>
  <c r="H20" i="105"/>
  <c r="P20" i="105"/>
  <c r="G15" i="81"/>
  <c r="K15" i="81"/>
  <c r="D15" i="81"/>
  <c r="C15" i="81"/>
  <c r="H15" i="81"/>
  <c r="G19" i="81"/>
  <c r="K19" i="81"/>
  <c r="D19" i="81"/>
  <c r="H19" i="81"/>
  <c r="C19" i="81"/>
  <c r="G31" i="81"/>
  <c r="K31" i="81"/>
  <c r="D31" i="81"/>
  <c r="C31" i="81"/>
  <c r="H31" i="81"/>
  <c r="Q48" i="102"/>
  <c r="H48" i="102"/>
  <c r="P47" i="102"/>
  <c r="E47" i="102"/>
  <c r="M46" i="102"/>
  <c r="C46" i="102"/>
  <c r="K45" i="102"/>
  <c r="E45" i="102"/>
  <c r="K47" i="102"/>
  <c r="I67" i="102"/>
  <c r="N69" i="102"/>
  <c r="J97" i="102"/>
  <c r="Q97" i="102"/>
  <c r="U17" i="102"/>
  <c r="AC17" i="102"/>
  <c r="Z20" i="102"/>
  <c r="AH20" i="102"/>
  <c r="H32" i="102"/>
  <c r="Q32" i="102"/>
  <c r="P43" i="102"/>
  <c r="H45" i="102"/>
  <c r="AD55" i="102"/>
  <c r="AC55" i="102"/>
  <c r="AG53" i="102"/>
  <c r="AA52" i="102"/>
  <c r="AA53" i="102"/>
  <c r="N67" i="102"/>
  <c r="R68" i="102"/>
  <c r="P92" i="102"/>
  <c r="H94" i="102"/>
  <c r="P94" i="102"/>
  <c r="E97" i="102"/>
  <c r="L97" i="102"/>
  <c r="R97" i="102"/>
  <c r="AA76" i="105"/>
  <c r="AH75" i="105"/>
  <c r="W75" i="105"/>
  <c r="AA74" i="105"/>
  <c r="AH73" i="105"/>
  <c r="W73" i="105"/>
  <c r="AG76" i="105"/>
  <c r="AD75" i="105"/>
  <c r="AD74" i="105"/>
  <c r="AC73" i="105"/>
  <c r="Y76" i="105"/>
  <c r="AA75" i="105"/>
  <c r="AH74" i="105"/>
  <c r="W74" i="105"/>
  <c r="AI73" i="105"/>
  <c r="V73" i="105"/>
  <c r="AD73" i="105"/>
  <c r="AG74" i="105"/>
  <c r="AI75" i="105"/>
  <c r="AH76" i="105"/>
  <c r="AA104" i="105"/>
  <c r="AH102" i="105"/>
  <c r="W101" i="105"/>
  <c r="AH104" i="105"/>
  <c r="W103" i="105"/>
  <c r="AA102" i="105"/>
  <c r="V17" i="102"/>
  <c r="AE17" i="102"/>
  <c r="Z19" i="102"/>
  <c r="P29" i="102"/>
  <c r="H31" i="102"/>
  <c r="K32" i="102"/>
  <c r="E34" i="102"/>
  <c r="M45" i="102"/>
  <c r="P46" i="102"/>
  <c r="E48" i="102"/>
  <c r="V52" i="102"/>
  <c r="U54" i="102"/>
  <c r="AE62" i="102"/>
  <c r="AJ61" i="102"/>
  <c r="Y61" i="102"/>
  <c r="AE60" i="102"/>
  <c r="V60" i="102"/>
  <c r="AD59" i="102"/>
  <c r="V59" i="102"/>
  <c r="AC59" i="102"/>
  <c r="Y60" i="102"/>
  <c r="AJ60" i="102"/>
  <c r="AI61" i="102"/>
  <c r="AI62" i="102"/>
  <c r="C67" i="102"/>
  <c r="R67" i="102"/>
  <c r="D88" i="102"/>
  <c r="J88" i="102"/>
  <c r="Q88" i="102"/>
  <c r="D90" i="102"/>
  <c r="J90" i="102"/>
  <c r="F95" i="102"/>
  <c r="M95" i="102"/>
  <c r="I96" i="102"/>
  <c r="P96" i="102"/>
  <c r="W101" i="102"/>
  <c r="W102" i="102"/>
  <c r="AH102" i="102"/>
  <c r="AD103" i="102"/>
  <c r="P15" i="105"/>
  <c r="H17" i="105"/>
  <c r="P17" i="105"/>
  <c r="F18" i="105"/>
  <c r="M18" i="105"/>
  <c r="E19" i="105"/>
  <c r="L19" i="105"/>
  <c r="R19" i="105"/>
  <c r="J20" i="105"/>
  <c r="Q20" i="105"/>
  <c r="AI27" i="105"/>
  <c r="W27" i="105"/>
  <c r="X26" i="105"/>
  <c r="AB24" i="105"/>
  <c r="AF26" i="105"/>
  <c r="AD46" i="105"/>
  <c r="AH62" i="105"/>
  <c r="AD62" i="105"/>
  <c r="AF61" i="105"/>
  <c r="AH60" i="105"/>
  <c r="AI59" i="105"/>
  <c r="X59" i="105"/>
  <c r="AF62" i="105"/>
  <c r="AH61" i="105"/>
  <c r="AI60" i="105"/>
  <c r="W59" i="105"/>
  <c r="W62" i="105"/>
  <c r="X61" i="105"/>
  <c r="AA60" i="105"/>
  <c r="AD59" i="105"/>
  <c r="V60" i="105"/>
  <c r="I67" i="105"/>
  <c r="M68" i="105"/>
  <c r="D69" i="105"/>
  <c r="C87" i="105"/>
  <c r="O101" i="105"/>
  <c r="G103" i="105"/>
  <c r="Q104" i="105"/>
  <c r="E15" i="81"/>
  <c r="E19" i="81"/>
  <c r="E31" i="81"/>
  <c r="AE20" i="102"/>
  <c r="W20" i="102"/>
  <c r="AC19" i="102"/>
  <c r="V19" i="102"/>
  <c r="AH18" i="102"/>
  <c r="AA18" i="102"/>
  <c r="U18" i="102"/>
  <c r="AG17" i="102"/>
  <c r="Z17" i="102"/>
  <c r="U19" i="102"/>
  <c r="AE19" i="102"/>
  <c r="N74" i="102"/>
  <c r="I95" i="102"/>
  <c r="Q95" i="102"/>
  <c r="AA104" i="102"/>
  <c r="AH103" i="102"/>
  <c r="W103" i="102"/>
  <c r="AD102" i="102"/>
  <c r="AI101" i="102"/>
  <c r="AA101" i="102"/>
  <c r="AD101" i="102"/>
  <c r="AA102" i="102"/>
  <c r="AA103" i="102"/>
  <c r="W104" i="102"/>
  <c r="AH104" i="102"/>
  <c r="W19" i="102"/>
  <c r="AG19" i="102"/>
  <c r="P34" i="102"/>
  <c r="H34" i="102"/>
  <c r="M33" i="102"/>
  <c r="G33" i="102"/>
  <c r="L32" i="102"/>
  <c r="E32" i="102"/>
  <c r="Q31" i="102"/>
  <c r="K31" i="102"/>
  <c r="C31" i="102"/>
  <c r="G31" i="102"/>
  <c r="P31" i="102"/>
  <c r="C34" i="102"/>
  <c r="L34" i="102"/>
  <c r="M47" i="102"/>
  <c r="D95" i="102"/>
  <c r="L95" i="102"/>
  <c r="R95" i="102"/>
  <c r="V101" i="102"/>
  <c r="AH101" i="102"/>
  <c r="AF102" i="102"/>
  <c r="AB103" i="102"/>
  <c r="X104" i="102"/>
  <c r="W18" i="102"/>
  <c r="AG18" i="102"/>
  <c r="AA20" i="102"/>
  <c r="C33" i="102"/>
  <c r="L33" i="102"/>
  <c r="C47" i="102"/>
  <c r="N66" i="102"/>
  <c r="G68" i="102"/>
  <c r="I69" i="102"/>
  <c r="N73" i="102"/>
  <c r="AF73" i="102"/>
  <c r="W74" i="102"/>
  <c r="N75" i="102"/>
  <c r="AH75" i="102"/>
  <c r="AD76" i="102"/>
  <c r="O90" i="102"/>
  <c r="Q90" i="102"/>
  <c r="L90" i="102"/>
  <c r="F90" i="102"/>
  <c r="P89" i="102"/>
  <c r="J89" i="102"/>
  <c r="E89" i="102"/>
  <c r="R88" i="102"/>
  <c r="M88" i="102"/>
  <c r="H88" i="102"/>
  <c r="Q87" i="102"/>
  <c r="L87" i="102"/>
  <c r="F87" i="102"/>
  <c r="P85" i="102"/>
  <c r="H87" i="102"/>
  <c r="N87" i="102"/>
  <c r="H89" i="102"/>
  <c r="N89" i="102"/>
  <c r="J94" i="102"/>
  <c r="Q94" i="102"/>
  <c r="F97" i="102"/>
  <c r="M97" i="102"/>
  <c r="E66" i="105"/>
  <c r="C89" i="105"/>
  <c r="M13" i="102"/>
  <c r="Q12" i="102"/>
  <c r="L11" i="102"/>
  <c r="G10" i="102"/>
  <c r="G11" i="102"/>
  <c r="G13" i="102"/>
  <c r="W17" i="102"/>
  <c r="AH17" i="102"/>
  <c r="Z18" i="102"/>
  <c r="AA19" i="102"/>
  <c r="U20" i="102"/>
  <c r="AC20" i="102"/>
  <c r="AG34" i="102"/>
  <c r="Z34" i="102"/>
  <c r="AH33" i="102"/>
  <c r="W33" i="102"/>
  <c r="AE32" i="102"/>
  <c r="U32" i="102"/>
  <c r="AC31" i="102"/>
  <c r="L31" i="102"/>
  <c r="W31" i="102"/>
  <c r="C32" i="102"/>
  <c r="M32" i="102"/>
  <c r="Z32" i="102"/>
  <c r="E33" i="102"/>
  <c r="P33" i="102"/>
  <c r="AC33" i="102"/>
  <c r="G34" i="102"/>
  <c r="Q34" i="102"/>
  <c r="AE34" i="102"/>
  <c r="C45" i="102"/>
  <c r="P45" i="102"/>
  <c r="E46" i="102"/>
  <c r="H47" i="102"/>
  <c r="K48" i="102"/>
  <c r="AG52" i="102"/>
  <c r="AC54" i="102"/>
  <c r="U59" i="102"/>
  <c r="AG59" i="102"/>
  <c r="Z60" i="102"/>
  <c r="X61" i="102"/>
  <c r="X62" i="102"/>
  <c r="AJ62" i="102"/>
  <c r="C66" i="102"/>
  <c r="R66" i="102"/>
  <c r="G67" i="102"/>
  <c r="I68" i="102"/>
  <c r="M69" i="102"/>
  <c r="U73" i="102"/>
  <c r="AG73" i="102"/>
  <c r="AB74" i="102"/>
  <c r="U75" i="102"/>
  <c r="AI75" i="102"/>
  <c r="O83" i="102"/>
  <c r="N83" i="102"/>
  <c r="I83" i="102"/>
  <c r="D83" i="102"/>
  <c r="R82" i="102"/>
  <c r="M82" i="102"/>
  <c r="H82" i="102"/>
  <c r="Q81" i="102"/>
  <c r="L81" i="102"/>
  <c r="F81" i="102"/>
  <c r="N80" i="102"/>
  <c r="I80" i="102"/>
  <c r="D80" i="102"/>
  <c r="F80" i="102"/>
  <c r="M80" i="102"/>
  <c r="D81" i="102"/>
  <c r="J81" i="102"/>
  <c r="R81" i="102"/>
  <c r="F82" i="102"/>
  <c r="N82" i="102"/>
  <c r="J83" i="102"/>
  <c r="Q83" i="102"/>
  <c r="I87" i="102"/>
  <c r="P87" i="102"/>
  <c r="E88" i="102"/>
  <c r="L88" i="102"/>
  <c r="I89" i="102"/>
  <c r="Q89" i="102"/>
  <c r="E90" i="102"/>
  <c r="M90" i="102"/>
  <c r="E94" i="102"/>
  <c r="L94" i="102"/>
  <c r="R94" i="102"/>
  <c r="H95" i="102"/>
  <c r="N95" i="102"/>
  <c r="D96" i="102"/>
  <c r="J96" i="102"/>
  <c r="R96" i="102"/>
  <c r="H97" i="102"/>
  <c r="AB101" i="102"/>
  <c r="X102" i="102"/>
  <c r="V103" i="102"/>
  <c r="AI103" i="102"/>
  <c r="AF104" i="102"/>
  <c r="AH13" i="105"/>
  <c r="AI12" i="105"/>
  <c r="V12" i="105"/>
  <c r="W11" i="105"/>
  <c r="X10" i="105"/>
  <c r="AF10" i="105"/>
  <c r="AD11" i="105"/>
  <c r="AB12" i="105"/>
  <c r="AA13" i="105"/>
  <c r="J17" i="105"/>
  <c r="Q17" i="105"/>
  <c r="H18" i="105"/>
  <c r="P18" i="105"/>
  <c r="F19" i="105"/>
  <c r="M19" i="105"/>
  <c r="E20" i="105"/>
  <c r="L20" i="105"/>
  <c r="R20" i="105"/>
  <c r="AA25" i="105"/>
  <c r="O48" i="105"/>
  <c r="R48" i="105"/>
  <c r="M48" i="105"/>
  <c r="H48" i="105"/>
  <c r="N47" i="105"/>
  <c r="I47" i="105"/>
  <c r="D47" i="105"/>
  <c r="Q46" i="105"/>
  <c r="L46" i="105"/>
  <c r="F46" i="105"/>
  <c r="N45" i="105"/>
  <c r="I45" i="105"/>
  <c r="D45" i="105"/>
  <c r="P48" i="105"/>
  <c r="J48" i="105"/>
  <c r="E48" i="105"/>
  <c r="Q47" i="105"/>
  <c r="L47" i="105"/>
  <c r="F47" i="105"/>
  <c r="N46" i="105"/>
  <c r="I46" i="105"/>
  <c r="D46" i="105"/>
  <c r="Q45" i="105"/>
  <c r="L45" i="105"/>
  <c r="F45" i="105"/>
  <c r="P43" i="105"/>
  <c r="J45" i="105"/>
  <c r="AF45" i="105"/>
  <c r="M46" i="105"/>
  <c r="E47" i="105"/>
  <c r="P47" i="105"/>
  <c r="I48" i="105"/>
  <c r="V59" i="105"/>
  <c r="AB60" i="105"/>
  <c r="X62" i="105"/>
  <c r="I66" i="105"/>
  <c r="L67" i="105"/>
  <c r="V75" i="105"/>
  <c r="W76" i="105"/>
  <c r="I87" i="105"/>
  <c r="H88" i="105"/>
  <c r="H89" i="105"/>
  <c r="AD101" i="105"/>
  <c r="G11" i="81"/>
  <c r="K11" i="81"/>
  <c r="D11" i="81"/>
  <c r="H11" i="81"/>
  <c r="C11" i="81"/>
  <c r="J15" i="81"/>
  <c r="J19" i="81"/>
  <c r="G23" i="81"/>
  <c r="K23" i="81"/>
  <c r="D23" i="81"/>
  <c r="C23" i="81"/>
  <c r="H23" i="81"/>
  <c r="G27" i="81"/>
  <c r="K27" i="81"/>
  <c r="D27" i="81"/>
  <c r="H27" i="81"/>
  <c r="C27" i="81"/>
  <c r="J31" i="81"/>
  <c r="AA17" i="102"/>
  <c r="V20" i="102"/>
  <c r="AG20" i="102"/>
  <c r="H46" i="102"/>
  <c r="M48" i="102"/>
  <c r="O97" i="102"/>
  <c r="N97" i="102"/>
  <c r="I97" i="102"/>
  <c r="D97" i="102"/>
  <c r="Q96" i="102"/>
  <c r="L96" i="102"/>
  <c r="F96" i="102"/>
  <c r="P95" i="102"/>
  <c r="J95" i="102"/>
  <c r="E95" i="102"/>
  <c r="N94" i="102"/>
  <c r="I94" i="102"/>
  <c r="D94" i="102"/>
  <c r="F94" i="102"/>
  <c r="M94" i="102"/>
  <c r="AA48" i="105"/>
  <c r="AB47" i="105"/>
  <c r="X45" i="105"/>
  <c r="W46" i="105"/>
  <c r="M69" i="105"/>
  <c r="E69" i="105"/>
  <c r="O68" i="105"/>
  <c r="H68" i="105"/>
  <c r="R67" i="105"/>
  <c r="M67" i="105"/>
  <c r="H67" i="105"/>
  <c r="R66" i="105"/>
  <c r="M66" i="105"/>
  <c r="H66" i="105"/>
  <c r="P69" i="105"/>
  <c r="H69" i="105"/>
  <c r="K68" i="105"/>
  <c r="C68" i="105"/>
  <c r="Q67" i="105"/>
  <c r="J67" i="105"/>
  <c r="D67" i="105"/>
  <c r="Q66" i="105"/>
  <c r="J66" i="105"/>
  <c r="D66" i="105"/>
  <c r="K69" i="105"/>
  <c r="C69" i="105"/>
  <c r="P68" i="105"/>
  <c r="E68" i="105"/>
  <c r="N67" i="105"/>
  <c r="F67" i="105"/>
  <c r="N66" i="105"/>
  <c r="F66" i="105"/>
  <c r="P64" i="105"/>
  <c r="L66" i="105"/>
  <c r="P67" i="105"/>
  <c r="D68" i="105"/>
  <c r="O69" i="105"/>
  <c r="AA73" i="105"/>
  <c r="Y74" i="105"/>
  <c r="AC75" i="105"/>
  <c r="AD76" i="105"/>
  <c r="L90" i="105"/>
  <c r="I89" i="105"/>
  <c r="O88" i="105"/>
  <c r="G88" i="105"/>
  <c r="O87" i="105"/>
  <c r="D87" i="105"/>
  <c r="H90" i="105"/>
  <c r="L89" i="105"/>
  <c r="L88" i="105"/>
  <c r="L87" i="105"/>
  <c r="O90" i="105"/>
  <c r="D90" i="105"/>
  <c r="Q89" i="105"/>
  <c r="D89" i="105"/>
  <c r="D88" i="105"/>
  <c r="H87" i="105"/>
  <c r="Q87" i="105"/>
  <c r="M88" i="105"/>
  <c r="O89" i="105"/>
  <c r="M90" i="105"/>
  <c r="O104" i="105"/>
  <c r="E104" i="105"/>
  <c r="P103" i="105"/>
  <c r="K102" i="105"/>
  <c r="G101" i="105"/>
  <c r="D104" i="105"/>
  <c r="I103" i="105"/>
  <c r="L102" i="105"/>
  <c r="P101" i="105"/>
  <c r="P99" i="105"/>
  <c r="L104" i="105"/>
  <c r="D102" i="105"/>
  <c r="I101" i="105"/>
  <c r="E102" i="105"/>
  <c r="AD103" i="105"/>
  <c r="D43" i="81"/>
  <c r="L43" i="81"/>
  <c r="F43" i="81"/>
  <c r="J43" i="81" s="1"/>
  <c r="L59" i="81"/>
  <c r="J70" i="81"/>
  <c r="D70" i="81"/>
  <c r="J76" i="81"/>
  <c r="C76" i="81"/>
  <c r="J86" i="81"/>
  <c r="D86" i="81"/>
  <c r="J92" i="81"/>
  <c r="C92" i="81"/>
  <c r="E114" i="81"/>
  <c r="C114" i="81"/>
  <c r="E124" i="81"/>
  <c r="D124" i="81"/>
  <c r="M27" i="107"/>
  <c r="G27" i="107"/>
  <c r="L26" i="107"/>
  <c r="E26" i="107"/>
  <c r="Q25" i="107"/>
  <c r="K25" i="107"/>
  <c r="C25" i="107"/>
  <c r="M24" i="107"/>
  <c r="G24" i="107"/>
  <c r="P22" i="107"/>
  <c r="H24" i="107"/>
  <c r="Q24" i="107"/>
  <c r="H25" i="107"/>
  <c r="H26" i="107"/>
  <c r="Q26" i="107"/>
  <c r="H27" i="107"/>
  <c r="Q27" i="107"/>
  <c r="O62" i="107"/>
  <c r="I60" i="107"/>
  <c r="I61" i="107"/>
  <c r="AG76" i="107"/>
  <c r="W75" i="107"/>
  <c r="AC74" i="107"/>
  <c r="AH73" i="107"/>
  <c r="AH76" i="107"/>
  <c r="AC75" i="107"/>
  <c r="W73" i="107"/>
  <c r="AC76" i="107"/>
  <c r="L104" i="107"/>
  <c r="P103" i="107"/>
  <c r="E103" i="107"/>
  <c r="Q102" i="107"/>
  <c r="G102" i="107"/>
  <c r="K101" i="107"/>
  <c r="P99" i="107"/>
  <c r="G104" i="107"/>
  <c r="Q103" i="107"/>
  <c r="L102" i="107"/>
  <c r="G101" i="107"/>
  <c r="P101" i="107"/>
  <c r="K102" i="107"/>
  <c r="G103" i="107"/>
  <c r="Q104" i="107"/>
  <c r="E17" i="102"/>
  <c r="P17" i="102"/>
  <c r="H18" i="102"/>
  <c r="K19" i="102"/>
  <c r="C20" i="102"/>
  <c r="M20" i="102"/>
  <c r="V25" i="102"/>
  <c r="AA26" i="102"/>
  <c r="AG27" i="102"/>
  <c r="Q38" i="102"/>
  <c r="G40" i="102"/>
  <c r="L41" i="102"/>
  <c r="V45" i="102"/>
  <c r="AC45" i="102"/>
  <c r="W46" i="102"/>
  <c r="AE46" i="102"/>
  <c r="Z47" i="102"/>
  <c r="AG47" i="102"/>
  <c r="U48" i="102"/>
  <c r="AA48" i="102"/>
  <c r="U66" i="102"/>
  <c r="AB66" i="102"/>
  <c r="AJ66" i="102"/>
  <c r="W67" i="102"/>
  <c r="AE67" i="102"/>
  <c r="Y68" i="102"/>
  <c r="AF68" i="102"/>
  <c r="AA69" i="102"/>
  <c r="AG69" i="102"/>
  <c r="W80" i="102"/>
  <c r="AF80" i="102"/>
  <c r="X81" i="102"/>
  <c r="AI81" i="102"/>
  <c r="AB82" i="102"/>
  <c r="V83" i="102"/>
  <c r="AF83" i="102"/>
  <c r="AA87" i="102"/>
  <c r="AI87" i="102"/>
  <c r="AD88" i="102"/>
  <c r="W89" i="102"/>
  <c r="AF89" i="102"/>
  <c r="AA90" i="102"/>
  <c r="AI90" i="102"/>
  <c r="V94" i="102"/>
  <c r="AD94" i="102"/>
  <c r="X95" i="102"/>
  <c r="AH95" i="102"/>
  <c r="AA96" i="102"/>
  <c r="V97" i="102"/>
  <c r="E10" i="105"/>
  <c r="J10" i="105"/>
  <c r="P10" i="105"/>
  <c r="E11" i="105"/>
  <c r="J11" i="105"/>
  <c r="P11" i="105"/>
  <c r="D12" i="105"/>
  <c r="I12" i="105"/>
  <c r="N12" i="105"/>
  <c r="H13" i="105"/>
  <c r="M13" i="105"/>
  <c r="R13" i="105"/>
  <c r="E24" i="105"/>
  <c r="J24" i="105"/>
  <c r="P24" i="105"/>
  <c r="F25" i="105"/>
  <c r="L25" i="105"/>
  <c r="Q25" i="105"/>
  <c r="D26" i="105"/>
  <c r="I26" i="105"/>
  <c r="N26" i="105"/>
  <c r="F27" i="105"/>
  <c r="L27" i="105"/>
  <c r="Q27" i="105"/>
  <c r="E31" i="105"/>
  <c r="J31" i="105"/>
  <c r="P31" i="105"/>
  <c r="W31" i="105"/>
  <c r="AF31" i="105"/>
  <c r="F32" i="105"/>
  <c r="L32" i="105"/>
  <c r="Q32" i="105"/>
  <c r="AA32" i="105"/>
  <c r="AI32" i="105"/>
  <c r="H33" i="105"/>
  <c r="M33" i="105"/>
  <c r="R33" i="105"/>
  <c r="AB33" i="105"/>
  <c r="D34" i="105"/>
  <c r="I34" i="105"/>
  <c r="N34" i="105"/>
  <c r="W34" i="105"/>
  <c r="AF34" i="105"/>
  <c r="H38" i="105"/>
  <c r="M38" i="105"/>
  <c r="R38" i="105"/>
  <c r="AF38" i="105"/>
  <c r="H39" i="105"/>
  <c r="M39" i="105"/>
  <c r="R39" i="105"/>
  <c r="AD39" i="105"/>
  <c r="F40" i="105"/>
  <c r="L40" i="105"/>
  <c r="Q40" i="105"/>
  <c r="AB40" i="105"/>
  <c r="E41" i="105"/>
  <c r="J41" i="105"/>
  <c r="P41" i="105"/>
  <c r="O55" i="105"/>
  <c r="R55" i="105"/>
  <c r="M55" i="105"/>
  <c r="H55" i="105"/>
  <c r="P54" i="105"/>
  <c r="J54" i="105"/>
  <c r="E54" i="105"/>
  <c r="Q53" i="105"/>
  <c r="E52" i="105"/>
  <c r="J52" i="105"/>
  <c r="P52" i="105"/>
  <c r="AH52" i="105"/>
  <c r="H53" i="105"/>
  <c r="M53" i="105"/>
  <c r="X53" i="105"/>
  <c r="I54" i="105"/>
  <c r="Q54" i="105"/>
  <c r="E55" i="105"/>
  <c r="L55" i="105"/>
  <c r="V55" i="105"/>
  <c r="D59" i="105"/>
  <c r="J59" i="105"/>
  <c r="R59" i="105"/>
  <c r="F60" i="105"/>
  <c r="N60" i="105"/>
  <c r="E61" i="105"/>
  <c r="M61" i="105"/>
  <c r="E62" i="105"/>
  <c r="D73" i="105"/>
  <c r="AE80" i="105"/>
  <c r="U87" i="105"/>
  <c r="G12" i="81"/>
  <c r="E12" i="81"/>
  <c r="J12" i="81"/>
  <c r="G14" i="81"/>
  <c r="J14" i="81"/>
  <c r="C14" i="81"/>
  <c r="K14" i="81"/>
  <c r="G20" i="81"/>
  <c r="E20" i="81"/>
  <c r="J20" i="81"/>
  <c r="G22" i="81"/>
  <c r="J22" i="81"/>
  <c r="C22" i="81"/>
  <c r="K22" i="81"/>
  <c r="G28" i="81"/>
  <c r="E28" i="81"/>
  <c r="J28" i="81"/>
  <c r="G30" i="81"/>
  <c r="J30" i="81"/>
  <c r="C30" i="81"/>
  <c r="K30" i="81"/>
  <c r="F39" i="81"/>
  <c r="J47" i="81"/>
  <c r="D59" i="81"/>
  <c r="C70" i="81"/>
  <c r="E70" i="81" s="1"/>
  <c r="G71" i="81"/>
  <c r="J74" i="81"/>
  <c r="K74" i="81" s="1"/>
  <c r="D74" i="81"/>
  <c r="D76" i="81"/>
  <c r="J80" i="81"/>
  <c r="K80" i="81" s="1"/>
  <c r="C80" i="81"/>
  <c r="E80" i="81" s="1"/>
  <c r="I83" i="81"/>
  <c r="C86" i="81"/>
  <c r="G87" i="81"/>
  <c r="J90" i="81"/>
  <c r="K90" i="81" s="1"/>
  <c r="D90" i="81"/>
  <c r="D92" i="81"/>
  <c r="C102" i="81"/>
  <c r="F102" i="81" s="1"/>
  <c r="E106" i="81"/>
  <c r="F106" i="81" s="1"/>
  <c r="C106" i="81"/>
  <c r="G107" i="81"/>
  <c r="D110" i="81"/>
  <c r="D114" i="81"/>
  <c r="E116" i="81"/>
  <c r="F116" i="81" s="1"/>
  <c r="D116" i="81"/>
  <c r="C117" i="81"/>
  <c r="C124" i="81"/>
  <c r="AE27" i="107"/>
  <c r="Y26" i="107"/>
  <c r="K24" i="107"/>
  <c r="AD24" i="107"/>
  <c r="L25" i="107"/>
  <c r="AE25" i="107"/>
  <c r="K26" i="107"/>
  <c r="AI26" i="107"/>
  <c r="K27" i="107"/>
  <c r="Z27" i="107"/>
  <c r="V31" i="107"/>
  <c r="V32" i="107"/>
  <c r="U33" i="107"/>
  <c r="AG33" i="107"/>
  <c r="AG34" i="107"/>
  <c r="D38" i="107"/>
  <c r="O39" i="107"/>
  <c r="G45" i="107"/>
  <c r="E46" i="107"/>
  <c r="Q46" i="107"/>
  <c r="L47" i="107"/>
  <c r="M55" i="107"/>
  <c r="G55" i="107"/>
  <c r="P54" i="107"/>
  <c r="H54" i="107"/>
  <c r="L53" i="107"/>
  <c r="E53" i="107"/>
  <c r="P52" i="107"/>
  <c r="H52" i="107"/>
  <c r="K55" i="107"/>
  <c r="M54" i="107"/>
  <c r="E54" i="107"/>
  <c r="K53" i="107"/>
  <c r="Q52" i="107"/>
  <c r="E52" i="107"/>
  <c r="M52" i="107"/>
  <c r="M53" i="107"/>
  <c r="K54" i="107"/>
  <c r="H55" i="107"/>
  <c r="I62" i="107"/>
  <c r="U66" i="107"/>
  <c r="AG66" i="107"/>
  <c r="AC67" i="107"/>
  <c r="V68" i="107"/>
  <c r="AH68" i="107"/>
  <c r="AE69" i="107"/>
  <c r="G73" i="107"/>
  <c r="AC73" i="107"/>
  <c r="W74" i="107"/>
  <c r="P75" i="107"/>
  <c r="K76" i="107"/>
  <c r="C87" i="107"/>
  <c r="M90" i="107"/>
  <c r="W94" i="107"/>
  <c r="V95" i="107"/>
  <c r="AG95" i="107"/>
  <c r="AC96" i="107"/>
  <c r="AA97" i="107"/>
  <c r="AG104" i="107"/>
  <c r="AC104" i="107"/>
  <c r="AH103" i="107"/>
  <c r="W101" i="107"/>
  <c r="W104" i="107"/>
  <c r="AH102" i="107"/>
  <c r="AC101" i="107"/>
  <c r="Q101" i="107"/>
  <c r="P102" i="107"/>
  <c r="K103" i="107"/>
  <c r="E104" i="107"/>
  <c r="AH104" i="107"/>
  <c r="C10" i="109"/>
  <c r="M10" i="109"/>
  <c r="E11" i="109"/>
  <c r="O11" i="109"/>
  <c r="E12" i="109"/>
  <c r="AE18" i="109"/>
  <c r="V19" i="109"/>
  <c r="AG27" i="109"/>
  <c r="X27" i="109"/>
  <c r="AG26" i="109"/>
  <c r="W26" i="109"/>
  <c r="AF25" i="109"/>
  <c r="U25" i="109"/>
  <c r="AD24" i="109"/>
  <c r="V24" i="109"/>
  <c r="AE27" i="109"/>
  <c r="Z26" i="109"/>
  <c r="AC25" i="109"/>
  <c r="W24" i="109"/>
  <c r="AC24" i="109"/>
  <c r="Y25" i="109"/>
  <c r="U26" i="109"/>
  <c r="J34" i="109"/>
  <c r="Q33" i="109"/>
  <c r="G33" i="109"/>
  <c r="M32" i="109"/>
  <c r="E32" i="109"/>
  <c r="M31" i="109"/>
  <c r="C31" i="109"/>
  <c r="K34" i="109"/>
  <c r="I33" i="109"/>
  <c r="R32" i="109"/>
  <c r="F32" i="109"/>
  <c r="P31" i="109"/>
  <c r="E31" i="109"/>
  <c r="I31" i="109"/>
  <c r="Z31" i="109"/>
  <c r="G32" i="109"/>
  <c r="Y32" i="109"/>
  <c r="D33" i="109"/>
  <c r="Y33" i="109"/>
  <c r="E34" i="109"/>
  <c r="W34" i="109"/>
  <c r="V38" i="109"/>
  <c r="AG39" i="109"/>
  <c r="Z40" i="109"/>
  <c r="AE48" i="109"/>
  <c r="Y48" i="109"/>
  <c r="AD45" i="109"/>
  <c r="U46" i="109"/>
  <c r="K52" i="109"/>
  <c r="I53" i="109"/>
  <c r="I62" i="109"/>
  <c r="I61" i="109"/>
  <c r="K60" i="109"/>
  <c r="O59" i="109"/>
  <c r="Q62" i="109"/>
  <c r="D61" i="109"/>
  <c r="M60" i="109"/>
  <c r="E59" i="109"/>
  <c r="M59" i="109"/>
  <c r="E60" i="109"/>
  <c r="C61" i="109"/>
  <c r="L51" i="81"/>
  <c r="D51" i="81"/>
  <c r="L55" i="81"/>
  <c r="F59" i="81"/>
  <c r="J59" i="81" s="1"/>
  <c r="J68" i="81"/>
  <c r="K68" i="81" s="1"/>
  <c r="C68" i="81"/>
  <c r="G70" i="81"/>
  <c r="I71" i="81"/>
  <c r="E74" i="81"/>
  <c r="G76" i="81"/>
  <c r="J78" i="81"/>
  <c r="K78" i="81" s="1"/>
  <c r="D78" i="81"/>
  <c r="J84" i="81"/>
  <c r="C84" i="81"/>
  <c r="G86" i="81"/>
  <c r="I87" i="81"/>
  <c r="E90" i="81"/>
  <c r="G92" i="81"/>
  <c r="J94" i="81"/>
  <c r="K94" i="81" s="1"/>
  <c r="D94" i="81"/>
  <c r="E98" i="81"/>
  <c r="C98" i="81"/>
  <c r="D102" i="81"/>
  <c r="E108" i="81"/>
  <c r="D108" i="81"/>
  <c r="I10" i="107"/>
  <c r="D12" i="107"/>
  <c r="C24" i="107"/>
  <c r="L24" i="107"/>
  <c r="E25" i="107"/>
  <c r="M25" i="107"/>
  <c r="C26" i="107"/>
  <c r="M26" i="107"/>
  <c r="C27" i="107"/>
  <c r="L27" i="107"/>
  <c r="AA31" i="107"/>
  <c r="Z32" i="107"/>
  <c r="V33" i="107"/>
  <c r="K41" i="107"/>
  <c r="P40" i="107"/>
  <c r="D40" i="107"/>
  <c r="K39" i="107"/>
  <c r="O38" i="107"/>
  <c r="I38" i="107"/>
  <c r="P39" i="107"/>
  <c r="E40" i="107"/>
  <c r="P41" i="107"/>
  <c r="Q48" i="107"/>
  <c r="G48" i="107"/>
  <c r="P47" i="107"/>
  <c r="E47" i="107"/>
  <c r="L46" i="107"/>
  <c r="K45" i="107"/>
  <c r="P43" i="107"/>
  <c r="L45" i="107"/>
  <c r="G46" i="107"/>
  <c r="Q47" i="107"/>
  <c r="L48" i="107"/>
  <c r="I59" i="107"/>
  <c r="D69" i="107"/>
  <c r="K66" i="107"/>
  <c r="I69" i="107"/>
  <c r="I68" i="107"/>
  <c r="D66" i="107"/>
  <c r="V66" i="107"/>
  <c r="I67" i="107"/>
  <c r="AE67" i="107"/>
  <c r="Z68" i="107"/>
  <c r="V69" i="107"/>
  <c r="K73" i="107"/>
  <c r="G74" i="107"/>
  <c r="AH74" i="107"/>
  <c r="Q75" i="107"/>
  <c r="H87" i="107"/>
  <c r="AA94" i="107"/>
  <c r="W95" i="107"/>
  <c r="U96" i="107"/>
  <c r="AH96" i="107"/>
  <c r="E101" i="107"/>
  <c r="L103" i="107"/>
  <c r="K104" i="107"/>
  <c r="R13" i="109"/>
  <c r="K13" i="109"/>
  <c r="C13" i="109"/>
  <c r="Q12" i="109"/>
  <c r="K12" i="109"/>
  <c r="D12" i="109"/>
  <c r="R11" i="109"/>
  <c r="J11" i="109"/>
  <c r="C11" i="109"/>
  <c r="P10" i="109"/>
  <c r="H10" i="109"/>
  <c r="N13" i="109"/>
  <c r="F13" i="109"/>
  <c r="P12" i="109"/>
  <c r="G12" i="109"/>
  <c r="I11" i="109"/>
  <c r="K10" i="109"/>
  <c r="E10" i="109"/>
  <c r="Q10" i="109"/>
  <c r="G11" i="109"/>
  <c r="I12" i="109"/>
  <c r="M13" i="109"/>
  <c r="AG19" i="109"/>
  <c r="AE31" i="109"/>
  <c r="AB32" i="109"/>
  <c r="AA33" i="109"/>
  <c r="AB41" i="109"/>
  <c r="AD40" i="109"/>
  <c r="AB39" i="109"/>
  <c r="AD38" i="109"/>
  <c r="U38" i="109"/>
  <c r="W41" i="109"/>
  <c r="AE40" i="109"/>
  <c r="X39" i="109"/>
  <c r="AG38" i="109"/>
  <c r="Z38" i="109"/>
  <c r="U39" i="109"/>
  <c r="AH40" i="109"/>
  <c r="AE41" i="109"/>
  <c r="AE76" i="109"/>
  <c r="U76" i="109"/>
  <c r="AD75" i="109"/>
  <c r="AA74" i="109"/>
  <c r="AH73" i="109"/>
  <c r="W73" i="109"/>
  <c r="Y76" i="109"/>
  <c r="Y75" i="109"/>
  <c r="AG74" i="109"/>
  <c r="U74" i="109"/>
  <c r="AD73" i="109"/>
  <c r="X76" i="109"/>
  <c r="AH75" i="109"/>
  <c r="W75" i="109"/>
  <c r="AF74" i="109"/>
  <c r="AC73" i="109"/>
  <c r="AF76" i="109"/>
  <c r="AG75" i="109"/>
  <c r="AB74" i="109"/>
  <c r="AA75" i="109"/>
  <c r="AB31" i="105"/>
  <c r="V32" i="105"/>
  <c r="AD32" i="105"/>
  <c r="X33" i="105"/>
  <c r="AH33" i="105"/>
  <c r="E38" i="105"/>
  <c r="J38" i="105"/>
  <c r="P38" i="105"/>
  <c r="E39" i="105"/>
  <c r="J39" i="105"/>
  <c r="P39" i="105"/>
  <c r="D40" i="105"/>
  <c r="I40" i="105"/>
  <c r="N40" i="105"/>
  <c r="H41" i="105"/>
  <c r="M41" i="105"/>
  <c r="R41" i="105"/>
  <c r="W54" i="105"/>
  <c r="O62" i="105"/>
  <c r="Q62" i="105"/>
  <c r="L62" i="105"/>
  <c r="F62" i="105"/>
  <c r="Q61" i="105"/>
  <c r="L61" i="105"/>
  <c r="F61" i="105"/>
  <c r="R60" i="105"/>
  <c r="M60" i="105"/>
  <c r="H60" i="105"/>
  <c r="Q59" i="105"/>
  <c r="L59" i="105"/>
  <c r="F59" i="105"/>
  <c r="P57" i="105"/>
  <c r="H59" i="105"/>
  <c r="N59" i="105"/>
  <c r="D60" i="105"/>
  <c r="J60" i="105"/>
  <c r="Q60" i="105"/>
  <c r="I61" i="105"/>
  <c r="P61" i="105"/>
  <c r="I62" i="105"/>
  <c r="P62" i="105"/>
  <c r="K76" i="105"/>
  <c r="P76" i="105"/>
  <c r="D75" i="105"/>
  <c r="O74" i="105"/>
  <c r="K73" i="105"/>
  <c r="P71" i="105"/>
  <c r="L73" i="105"/>
  <c r="G74" i="105"/>
  <c r="L75" i="105"/>
  <c r="Q76" i="105"/>
  <c r="AI83" i="105"/>
  <c r="AH83" i="105"/>
  <c r="AH81" i="105"/>
  <c r="U80" i="105"/>
  <c r="W80" i="105"/>
  <c r="AG90" i="105"/>
  <c r="Y90" i="105"/>
  <c r="AI89" i="105"/>
  <c r="U89" i="105"/>
  <c r="AE88" i="105"/>
  <c r="AA87" i="105"/>
  <c r="AG87" i="105"/>
  <c r="AD88" i="105"/>
  <c r="AA89" i="105"/>
  <c r="AD90" i="105"/>
  <c r="G8" i="81"/>
  <c r="E8" i="81"/>
  <c r="J8" i="81"/>
  <c r="G10" i="81"/>
  <c r="J10" i="81"/>
  <c r="C10" i="81"/>
  <c r="K10" i="81"/>
  <c r="G16" i="81"/>
  <c r="E16" i="81"/>
  <c r="J16" i="81"/>
  <c r="G18" i="81"/>
  <c r="J18" i="81"/>
  <c r="C18" i="81"/>
  <c r="K18" i="81"/>
  <c r="G24" i="81"/>
  <c r="E24" i="81"/>
  <c r="J24" i="81"/>
  <c r="G26" i="81"/>
  <c r="J26" i="81"/>
  <c r="C26" i="81"/>
  <c r="K26" i="81"/>
  <c r="G32" i="81"/>
  <c r="E32" i="81"/>
  <c r="J32" i="81"/>
  <c r="G34" i="81"/>
  <c r="J34" i="81"/>
  <c r="C34" i="81"/>
  <c r="K34" i="81"/>
  <c r="J39" i="81"/>
  <c r="F51" i="81"/>
  <c r="J51" i="81" s="1"/>
  <c r="D55" i="81"/>
  <c r="D64" i="81"/>
  <c r="D68" i="81"/>
  <c r="I70" i="81"/>
  <c r="J72" i="81"/>
  <c r="K72" i="81" s="1"/>
  <c r="C72" i="81"/>
  <c r="E72" i="81" s="1"/>
  <c r="I76" i="81"/>
  <c r="C78" i="81"/>
  <c r="E78" i="81" s="1"/>
  <c r="G79" i="81"/>
  <c r="J82" i="81"/>
  <c r="K82" i="81" s="1"/>
  <c r="D82" i="81"/>
  <c r="E82" i="81" s="1"/>
  <c r="D84" i="81"/>
  <c r="I86" i="81"/>
  <c r="J88" i="81"/>
  <c r="K88" i="81" s="1"/>
  <c r="C88" i="81"/>
  <c r="E88" i="81" s="1"/>
  <c r="I92" i="81"/>
  <c r="C94" i="81"/>
  <c r="D98" i="81"/>
  <c r="E100" i="81"/>
  <c r="F100" i="81" s="1"/>
  <c r="D100" i="81"/>
  <c r="C101" i="81"/>
  <c r="C108" i="81"/>
  <c r="F110" i="81"/>
  <c r="C118" i="81"/>
  <c r="F118" i="81" s="1"/>
  <c r="E122" i="81"/>
  <c r="C122" i="81"/>
  <c r="K13" i="107"/>
  <c r="K11" i="107"/>
  <c r="K10" i="107"/>
  <c r="O12" i="107"/>
  <c r="P13" i="107"/>
  <c r="E24" i="107"/>
  <c r="P24" i="107"/>
  <c r="G25" i="107"/>
  <c r="P25" i="107"/>
  <c r="G26" i="107"/>
  <c r="P26" i="107"/>
  <c r="E27" i="107"/>
  <c r="P27" i="107"/>
  <c r="AE34" i="107"/>
  <c r="U34" i="107"/>
  <c r="Z33" i="107"/>
  <c r="AE32" i="107"/>
  <c r="U32" i="107"/>
  <c r="Z31" i="107"/>
  <c r="AE31" i="107"/>
  <c r="AA32" i="107"/>
  <c r="AA33" i="107"/>
  <c r="Z34" i="107"/>
  <c r="AH48" i="107"/>
  <c r="AC45" i="107"/>
  <c r="AC47" i="107"/>
  <c r="AH69" i="107"/>
  <c r="AA69" i="107"/>
  <c r="U69" i="107"/>
  <c r="AE68" i="107"/>
  <c r="W68" i="107"/>
  <c r="AH67" i="107"/>
  <c r="AA67" i="107"/>
  <c r="U67" i="107"/>
  <c r="AE66" i="107"/>
  <c r="W66" i="107"/>
  <c r="AC69" i="107"/>
  <c r="AA68" i="107"/>
  <c r="Z67" i="107"/>
  <c r="AH66" i="107"/>
  <c r="Z66" i="107"/>
  <c r="AA66" i="107"/>
  <c r="V67" i="107"/>
  <c r="AG67" i="107"/>
  <c r="AC68" i="107"/>
  <c r="W69" i="107"/>
  <c r="Q76" i="107"/>
  <c r="G76" i="107"/>
  <c r="K75" i="107"/>
  <c r="L74" i="107"/>
  <c r="P73" i="107"/>
  <c r="E73" i="107"/>
  <c r="L76" i="107"/>
  <c r="G75" i="107"/>
  <c r="Q74" i="107"/>
  <c r="E74" i="107"/>
  <c r="L73" i="107"/>
  <c r="P71" i="107"/>
  <c r="Q73" i="107"/>
  <c r="K74" i="107"/>
  <c r="E75" i="107"/>
  <c r="AH75" i="107"/>
  <c r="W76" i="107"/>
  <c r="Q90" i="107"/>
  <c r="C90" i="107"/>
  <c r="H89" i="107"/>
  <c r="M88" i="107"/>
  <c r="M89" i="107"/>
  <c r="C88" i="107"/>
  <c r="M87" i="107"/>
  <c r="AE97" i="107"/>
  <c r="W97" i="107"/>
  <c r="AG96" i="107"/>
  <c r="Z96" i="107"/>
  <c r="AH95" i="107"/>
  <c r="AA95" i="107"/>
  <c r="U95" i="107"/>
  <c r="AC94" i="107"/>
  <c r="V94" i="107"/>
  <c r="AH97" i="107"/>
  <c r="Z97" i="107"/>
  <c r="AE96" i="107"/>
  <c r="V96" i="107"/>
  <c r="AC95" i="107"/>
  <c r="AH94" i="107"/>
  <c r="Z94" i="107"/>
  <c r="AE94" i="107"/>
  <c r="Z95" i="107"/>
  <c r="W96" i="107"/>
  <c r="U97" i="107"/>
  <c r="AG97" i="107"/>
  <c r="L101" i="107"/>
  <c r="E102" i="107"/>
  <c r="P104" i="107"/>
  <c r="AG20" i="109"/>
  <c r="W17" i="109"/>
  <c r="AA19" i="109"/>
  <c r="AH17" i="109"/>
  <c r="AC20" i="109"/>
  <c r="AB34" i="109"/>
  <c r="U34" i="109"/>
  <c r="AG33" i="109"/>
  <c r="Z33" i="109"/>
  <c r="AE32" i="109"/>
  <c r="X32" i="109"/>
  <c r="AC31" i="109"/>
  <c r="V31" i="109"/>
  <c r="AG34" i="109"/>
  <c r="X34" i="109"/>
  <c r="AE33" i="109"/>
  <c r="V33" i="109"/>
  <c r="AC32" i="109"/>
  <c r="AA31" i="109"/>
  <c r="U31" i="109"/>
  <c r="AG31" i="109"/>
  <c r="AG32" i="109"/>
  <c r="AD33" i="109"/>
  <c r="AC34" i="109"/>
  <c r="M55" i="109"/>
  <c r="H54" i="109"/>
  <c r="Q53" i="109"/>
  <c r="D52" i="109"/>
  <c r="G101" i="109"/>
  <c r="O101" i="109"/>
  <c r="I102" i="109"/>
  <c r="C103" i="109"/>
  <c r="M103" i="109"/>
  <c r="E104" i="109"/>
  <c r="U17" i="108"/>
  <c r="AH19" i="108"/>
  <c r="AG20" i="108"/>
  <c r="AD34" i="108"/>
  <c r="W34" i="108"/>
  <c r="AI33" i="108"/>
  <c r="AC33" i="108"/>
  <c r="U33" i="108"/>
  <c r="AI32" i="108"/>
  <c r="AC32" i="108"/>
  <c r="U32" i="108"/>
  <c r="AH31" i="108"/>
  <c r="Z31" i="108"/>
  <c r="H31" i="108"/>
  <c r="Y31" i="108"/>
  <c r="AI31" i="108"/>
  <c r="Y32" i="108"/>
  <c r="AH32" i="108"/>
  <c r="W33" i="108"/>
  <c r="AE33" i="108"/>
  <c r="U34" i="108"/>
  <c r="AE34" i="108"/>
  <c r="AA38" i="108"/>
  <c r="U39" i="108"/>
  <c r="AE39" i="108"/>
  <c r="X40" i="108"/>
  <c r="AI40" i="108"/>
  <c r="AA41" i="108"/>
  <c r="Y52" i="108"/>
  <c r="AI52" i="108"/>
  <c r="Y53" i="108"/>
  <c r="AI53" i="108"/>
  <c r="W54" i="108"/>
  <c r="AG54" i="108"/>
  <c r="AA55" i="108"/>
  <c r="AJ55" i="108"/>
  <c r="P66" i="108"/>
  <c r="H67" i="108"/>
  <c r="P68" i="108"/>
  <c r="O73" i="108"/>
  <c r="D74" i="108"/>
  <c r="F75" i="108"/>
  <c r="M83" i="109"/>
  <c r="E83" i="109"/>
  <c r="H82" i="109"/>
  <c r="N81" i="109"/>
  <c r="F81" i="109"/>
  <c r="K80" i="109"/>
  <c r="G80" i="109"/>
  <c r="Q80" i="109"/>
  <c r="Q81" i="109"/>
  <c r="M82" i="109"/>
  <c r="K83" i="109"/>
  <c r="N104" i="109"/>
  <c r="G104" i="109"/>
  <c r="O103" i="109"/>
  <c r="I103" i="109"/>
  <c r="R102" i="109"/>
  <c r="J102" i="109"/>
  <c r="C102" i="109"/>
  <c r="M101" i="109"/>
  <c r="E101" i="109"/>
  <c r="I101" i="109"/>
  <c r="R101" i="109"/>
  <c r="M102" i="109"/>
  <c r="E103" i="109"/>
  <c r="N103" i="109"/>
  <c r="I104" i="109"/>
  <c r="R104" i="109"/>
  <c r="AF17" i="108"/>
  <c r="AE18" i="108"/>
  <c r="AJ19" i="108"/>
  <c r="AH20" i="108"/>
  <c r="M31" i="108"/>
  <c r="AC31" i="108"/>
  <c r="H32" i="108"/>
  <c r="Z32" i="108"/>
  <c r="C33" i="108"/>
  <c r="Y33" i="108"/>
  <c r="AH33" i="108"/>
  <c r="Y34" i="108"/>
  <c r="AH34" i="108"/>
  <c r="AH41" i="108"/>
  <c r="AG41" i="108"/>
  <c r="AB41" i="108"/>
  <c r="W41" i="108"/>
  <c r="AG40" i="108"/>
  <c r="AB40" i="108"/>
  <c r="W40" i="108"/>
  <c r="AG39" i="108"/>
  <c r="AB39" i="108"/>
  <c r="W39" i="108"/>
  <c r="AG38" i="108"/>
  <c r="AB38" i="108"/>
  <c r="AE41" i="108"/>
  <c r="X41" i="108"/>
  <c r="AF40" i="108"/>
  <c r="Y40" i="108"/>
  <c r="AI39" i="108"/>
  <c r="AA39" i="108"/>
  <c r="AJ38" i="108"/>
  <c r="AC38" i="108"/>
  <c r="W38" i="108"/>
  <c r="AH36" i="108" a="1"/>
  <c r="AH36" i="108" s="1"/>
  <c r="U38" i="108"/>
  <c r="AE38" i="108"/>
  <c r="X39" i="108"/>
  <c r="AF39" i="108"/>
  <c r="AA40" i="108"/>
  <c r="AJ40" i="108"/>
  <c r="AC41" i="108"/>
  <c r="O55" i="108"/>
  <c r="M54" i="108"/>
  <c r="G53" i="108"/>
  <c r="G54" i="108"/>
  <c r="M52" i="108"/>
  <c r="AB52" i="108"/>
  <c r="M53" i="108"/>
  <c r="AA53" i="108"/>
  <c r="AJ53" i="108"/>
  <c r="AA54" i="108"/>
  <c r="AJ54" i="108"/>
  <c r="AB55" i="108"/>
  <c r="R69" i="108"/>
  <c r="J69" i="108"/>
  <c r="D69" i="108"/>
  <c r="N68" i="108"/>
  <c r="H68" i="108"/>
  <c r="P67" i="108"/>
  <c r="I67" i="108"/>
  <c r="M66" i="108"/>
  <c r="E66" i="108"/>
  <c r="P64" i="108" a="1"/>
  <c r="P64" i="108" s="1"/>
  <c r="N69" i="108"/>
  <c r="E69" i="108"/>
  <c r="J68" i="108"/>
  <c r="N67" i="108"/>
  <c r="E67" i="108"/>
  <c r="J66" i="108"/>
  <c r="M69" i="108"/>
  <c r="R68" i="108"/>
  <c r="I68" i="108"/>
  <c r="M67" i="108"/>
  <c r="D67" i="108"/>
  <c r="R66" i="108"/>
  <c r="I66" i="108"/>
  <c r="D66" i="108"/>
  <c r="J67" i="108"/>
  <c r="D68" i="108"/>
  <c r="I69" i="108"/>
  <c r="Q76" i="108"/>
  <c r="O76" i="108"/>
  <c r="J76" i="108"/>
  <c r="D76" i="108"/>
  <c r="N75" i="108"/>
  <c r="H75" i="108"/>
  <c r="C75" i="108"/>
  <c r="R74" i="108"/>
  <c r="L74" i="108"/>
  <c r="G74" i="108"/>
  <c r="P73" i="108"/>
  <c r="K73" i="108"/>
  <c r="F73" i="108"/>
  <c r="R76" i="108"/>
  <c r="K76" i="108"/>
  <c r="C76" i="108"/>
  <c r="P75" i="108"/>
  <c r="J75" i="108"/>
  <c r="O74" i="108"/>
  <c r="H74" i="108"/>
  <c r="N73" i="108"/>
  <c r="G73" i="108"/>
  <c r="P76" i="108"/>
  <c r="H76" i="108"/>
  <c r="O75" i="108"/>
  <c r="G75" i="108"/>
  <c r="N74" i="108"/>
  <c r="F74" i="108"/>
  <c r="L73" i="108"/>
  <c r="D73" i="108"/>
  <c r="P71" i="108" a="1"/>
  <c r="P71" i="108" s="1"/>
  <c r="C73" i="108"/>
  <c r="R73" i="108"/>
  <c r="J74" i="108"/>
  <c r="K75" i="108"/>
  <c r="F76" i="108"/>
  <c r="Q20" i="109"/>
  <c r="F20" i="109"/>
  <c r="P19" i="109"/>
  <c r="E19" i="109"/>
  <c r="R18" i="109"/>
  <c r="G18" i="109"/>
  <c r="K17" i="109"/>
  <c r="P15" i="109"/>
  <c r="L17" i="109"/>
  <c r="N18" i="109"/>
  <c r="I19" i="109"/>
  <c r="M20" i="109"/>
  <c r="M48" i="109"/>
  <c r="F48" i="109"/>
  <c r="Q47" i="109"/>
  <c r="K47" i="109"/>
  <c r="D47" i="109"/>
  <c r="O46" i="109"/>
  <c r="I46" i="109"/>
  <c r="M45" i="109"/>
  <c r="G45" i="109"/>
  <c r="P43" i="109"/>
  <c r="H45" i="109"/>
  <c r="Q45" i="109"/>
  <c r="G46" i="109"/>
  <c r="R46" i="109"/>
  <c r="G47" i="109"/>
  <c r="P47" i="109"/>
  <c r="G48" i="109"/>
  <c r="Q48" i="109"/>
  <c r="AC55" i="109"/>
  <c r="AE54" i="109"/>
  <c r="AA52" i="109"/>
  <c r="AC52" i="109"/>
  <c r="AA53" i="109"/>
  <c r="Z54" i="109"/>
  <c r="AE55" i="109"/>
  <c r="AD68" i="109"/>
  <c r="X67" i="109"/>
  <c r="AG66" i="109"/>
  <c r="AA66" i="109"/>
  <c r="AF67" i="109"/>
  <c r="AE68" i="109"/>
  <c r="M76" i="109"/>
  <c r="F76" i="109"/>
  <c r="Q75" i="109"/>
  <c r="K75" i="109"/>
  <c r="D75" i="109"/>
  <c r="O74" i="109"/>
  <c r="I74" i="109"/>
  <c r="M73" i="109"/>
  <c r="G73" i="109"/>
  <c r="P71" i="109"/>
  <c r="H73" i="109"/>
  <c r="Q73" i="109"/>
  <c r="J74" i="109"/>
  <c r="L75" i="109"/>
  <c r="C76" i="109"/>
  <c r="N76" i="109"/>
  <c r="P78" i="109"/>
  <c r="I80" i="109"/>
  <c r="G81" i="109"/>
  <c r="D82" i="109"/>
  <c r="O82" i="109"/>
  <c r="Q83" i="109"/>
  <c r="R97" i="109"/>
  <c r="C97" i="109"/>
  <c r="E96" i="109"/>
  <c r="F95" i="109"/>
  <c r="H94" i="109"/>
  <c r="O94" i="109"/>
  <c r="O95" i="109"/>
  <c r="E97" i="109"/>
  <c r="P99" i="109"/>
  <c r="J101" i="109"/>
  <c r="E102" i="109"/>
  <c r="N102" i="109"/>
  <c r="G103" i="109"/>
  <c r="R103" i="109"/>
  <c r="J104" i="109"/>
  <c r="L12" i="108"/>
  <c r="C11" i="108"/>
  <c r="O10" i="108"/>
  <c r="F13" i="108"/>
  <c r="AH17" i="108"/>
  <c r="N27" i="108"/>
  <c r="G27" i="108"/>
  <c r="O26" i="108"/>
  <c r="I26" i="108"/>
  <c r="R25" i="108"/>
  <c r="J25" i="108"/>
  <c r="C25" i="108"/>
  <c r="M24" i="108"/>
  <c r="E24" i="108"/>
  <c r="I24" i="108"/>
  <c r="R24" i="108"/>
  <c r="I25" i="108"/>
  <c r="J26" i="108"/>
  <c r="J27" i="108"/>
  <c r="AH29" i="108" a="1"/>
  <c r="AH29" i="108" s="1"/>
  <c r="U31" i="108"/>
  <c r="AD31" i="108"/>
  <c r="L32" i="108"/>
  <c r="AD32" i="108"/>
  <c r="L33" i="108"/>
  <c r="Z33" i="108"/>
  <c r="Z34" i="108"/>
  <c r="AI34" i="108"/>
  <c r="X38" i="108"/>
  <c r="AF38" i="108"/>
  <c r="Y39" i="108"/>
  <c r="AJ39" i="108"/>
  <c r="AC40" i="108"/>
  <c r="U41" i="108"/>
  <c r="AF41" i="108"/>
  <c r="P50" i="108" a="1"/>
  <c r="P50" i="108" s="1"/>
  <c r="R52" i="108"/>
  <c r="AE52" i="108"/>
  <c r="R53" i="108"/>
  <c r="AC53" i="108"/>
  <c r="R54" i="108"/>
  <c r="AB54" i="108"/>
  <c r="U55" i="108"/>
  <c r="H66" i="108"/>
  <c r="R67" i="108"/>
  <c r="E68" i="108"/>
  <c r="P69" i="108"/>
  <c r="H73" i="108"/>
  <c r="K74" i="108"/>
  <c r="L75" i="108"/>
  <c r="G76" i="108"/>
  <c r="AI20" i="108"/>
  <c r="AF19" i="108"/>
  <c r="AF18" i="108"/>
  <c r="AI17" i="108"/>
  <c r="AH15" i="108" a="1"/>
  <c r="AH15" i="108" s="1"/>
  <c r="AJ18" i="108"/>
  <c r="U19" i="108"/>
  <c r="U20" i="108"/>
  <c r="Q34" i="108"/>
  <c r="Q31" i="108"/>
  <c r="C31" i="108"/>
  <c r="P29" i="108" a="1"/>
  <c r="G31" i="108"/>
  <c r="M33" i="108"/>
  <c r="M34" i="108"/>
  <c r="AH55" i="108"/>
  <c r="AI55" i="108"/>
  <c r="AC55" i="108"/>
  <c r="X55" i="108"/>
  <c r="AI54" i="108"/>
  <c r="AC54" i="108"/>
  <c r="X54" i="108"/>
  <c r="AG53" i="108"/>
  <c r="AB53" i="108"/>
  <c r="W53" i="108"/>
  <c r="AF52" i="108"/>
  <c r="AA52" i="108"/>
  <c r="U52" i="108"/>
  <c r="AH50" i="108" a="1"/>
  <c r="AH50" i="108" s="1"/>
  <c r="AE55" i="108"/>
  <c r="W55" i="108"/>
  <c r="AF54" i="108"/>
  <c r="Y54" i="108"/>
  <c r="AE53" i="108"/>
  <c r="X53" i="108"/>
  <c r="AJ52" i="108"/>
  <c r="AC52" i="108"/>
  <c r="W52" i="108"/>
  <c r="X52" i="108"/>
  <c r="AG52" i="108"/>
  <c r="U53" i="108"/>
  <c r="AF53" i="108"/>
  <c r="U54" i="108"/>
  <c r="AE54" i="108"/>
  <c r="Y55" i="108"/>
  <c r="AG55" i="108"/>
  <c r="C74" i="108"/>
  <c r="P74" i="108"/>
  <c r="D75" i="108"/>
  <c r="R75" i="108"/>
  <c r="L76" i="108"/>
  <c r="R104" i="108" a="1"/>
  <c r="N104" i="108" a="1"/>
  <c r="J104" i="108" a="1"/>
  <c r="F104" i="108" a="1"/>
  <c r="R103" i="108" a="1"/>
  <c r="O103" i="108" a="1"/>
  <c r="K103" i="108" a="1"/>
  <c r="G103" i="108" a="1"/>
  <c r="C103" i="108" a="1"/>
  <c r="O102" i="108" a="1"/>
  <c r="K102" i="108" a="1"/>
  <c r="G102" i="108" a="1"/>
  <c r="D102" i="108" a="1"/>
  <c r="P101" i="108" a="1"/>
  <c r="L101" i="108" a="1"/>
  <c r="H101" i="108" a="1"/>
  <c r="D101" i="108" a="1"/>
  <c r="F101" i="108" a="1"/>
  <c r="K101" i="108" a="1"/>
  <c r="Q101" i="108" a="1"/>
  <c r="J102" i="108" a="1"/>
  <c r="P102" i="108" a="1"/>
  <c r="E103" i="108" a="1"/>
  <c r="J103" i="108" a="1"/>
  <c r="D104" i="108" a="1"/>
  <c r="I104" i="108" a="1"/>
  <c r="O104" i="108" a="1"/>
  <c r="F20" i="110"/>
  <c r="K19" i="110"/>
  <c r="O18" i="110"/>
  <c r="Q17" i="110"/>
  <c r="E17" i="110"/>
  <c r="O17" i="110"/>
  <c r="J18" i="110"/>
  <c r="I19" i="110"/>
  <c r="E20" i="110"/>
  <c r="AA46" i="110"/>
  <c r="AG46" i="110"/>
  <c r="U47" i="110"/>
  <c r="AF47" i="110"/>
  <c r="U48" i="110"/>
  <c r="AD48" i="110"/>
  <c r="AF66" i="105"/>
  <c r="AE67" i="105"/>
  <c r="AE68" i="105"/>
  <c r="E80" i="105"/>
  <c r="L80" i="105"/>
  <c r="C81" i="105"/>
  <c r="K81" i="105"/>
  <c r="Q81" i="105"/>
  <c r="H82" i="105"/>
  <c r="P82" i="105"/>
  <c r="E83" i="105"/>
  <c r="Z94" i="105"/>
  <c r="AG94" i="105"/>
  <c r="W95" i="105"/>
  <c r="AE95" i="105"/>
  <c r="V96" i="105"/>
  <c r="AC96" i="105"/>
  <c r="U97" i="105"/>
  <c r="AA97" i="105"/>
  <c r="H9" i="81"/>
  <c r="H13" i="81"/>
  <c r="H17" i="81"/>
  <c r="H21" i="81"/>
  <c r="H25" i="81"/>
  <c r="H29" i="81"/>
  <c r="H33" i="81"/>
  <c r="V10" i="107"/>
  <c r="AC10" i="107"/>
  <c r="Z11" i="107"/>
  <c r="AG11" i="107"/>
  <c r="U12" i="107"/>
  <c r="AA12" i="107"/>
  <c r="AH12" i="107"/>
  <c r="V13" i="107"/>
  <c r="G17" i="107"/>
  <c r="Q17" i="107"/>
  <c r="L18" i="107"/>
  <c r="G19" i="107"/>
  <c r="Q19" i="107"/>
  <c r="Z38" i="107"/>
  <c r="AG38" i="107"/>
  <c r="V39" i="107"/>
  <c r="AC39" i="107"/>
  <c r="Z40" i="107"/>
  <c r="AG40" i="107"/>
  <c r="W41" i="107"/>
  <c r="AD52" i="107"/>
  <c r="U53" i="107"/>
  <c r="AI53" i="107"/>
  <c r="AD54" i="107"/>
  <c r="Z59" i="107"/>
  <c r="AA60" i="107"/>
  <c r="U61" i="107"/>
  <c r="AE61" i="107"/>
  <c r="V62" i="107"/>
  <c r="E80" i="107"/>
  <c r="L80" i="107"/>
  <c r="C81" i="107"/>
  <c r="K81" i="107"/>
  <c r="Q81" i="107"/>
  <c r="H82" i="107"/>
  <c r="P82" i="107"/>
  <c r="G83" i="107"/>
  <c r="U87" i="107"/>
  <c r="AE87" i="107"/>
  <c r="AA88" i="107"/>
  <c r="Z89" i="107"/>
  <c r="V90" i="107"/>
  <c r="Q39" i="109"/>
  <c r="P40" i="109"/>
  <c r="N41" i="109"/>
  <c r="Z59" i="109"/>
  <c r="AG59" i="109"/>
  <c r="X60" i="109"/>
  <c r="AE60" i="109"/>
  <c r="V61" i="109"/>
  <c r="AD61" i="109"/>
  <c r="U62" i="109"/>
  <c r="H66" i="109"/>
  <c r="Q66" i="109"/>
  <c r="J67" i="109"/>
  <c r="E68" i="109"/>
  <c r="M68" i="109"/>
  <c r="G69" i="109"/>
  <c r="Z87" i="109"/>
  <c r="AG87" i="109"/>
  <c r="Y88" i="109"/>
  <c r="AG88" i="109"/>
  <c r="Z89" i="109"/>
  <c r="AG89" i="109"/>
  <c r="AA90" i="109"/>
  <c r="Q17" i="108"/>
  <c r="E19" i="108"/>
  <c r="U24" i="108"/>
  <c r="AA24" i="108"/>
  <c r="AF24" i="108"/>
  <c r="Y25" i="108"/>
  <c r="AE25" i="108"/>
  <c r="AJ25" i="108"/>
  <c r="X26" i="108"/>
  <c r="AC26" i="108"/>
  <c r="AI26" i="108"/>
  <c r="W27" i="108"/>
  <c r="AB27" i="108"/>
  <c r="AG27" i="108"/>
  <c r="I48" i="108"/>
  <c r="O47" i="108"/>
  <c r="D47" i="108"/>
  <c r="I46" i="108"/>
  <c r="O45" i="108"/>
  <c r="D45" i="108"/>
  <c r="P43" i="108" a="1"/>
  <c r="H45" i="108"/>
  <c r="D46" i="108"/>
  <c r="C47" i="108"/>
  <c r="C48" i="108"/>
  <c r="O48" i="108"/>
  <c r="O62" i="108"/>
  <c r="H62" i="108"/>
  <c r="P61" i="108"/>
  <c r="I61" i="108"/>
  <c r="C61" i="108"/>
  <c r="K60" i="108"/>
  <c r="D60" i="108"/>
  <c r="K59" i="108"/>
  <c r="D59" i="108"/>
  <c r="I59" i="108"/>
  <c r="H60" i="108"/>
  <c r="P60" i="108"/>
  <c r="K61" i="108"/>
  <c r="D62" i="108"/>
  <c r="M62" i="108"/>
  <c r="AJ69" i="108"/>
  <c r="AF69" i="108"/>
  <c r="AA68" i="108"/>
  <c r="AE67" i="108"/>
  <c r="AJ66" i="108"/>
  <c r="V66" i="108"/>
  <c r="Z67" i="108"/>
  <c r="AJ68" i="108"/>
  <c r="Z69" i="108"/>
  <c r="J83" i="108"/>
  <c r="Q83" i="108" a="1"/>
  <c r="M83" i="108" a="1"/>
  <c r="I83" i="108" a="1"/>
  <c r="E83" i="108" a="1"/>
  <c r="R82" i="108" a="1"/>
  <c r="N82" i="108" a="1"/>
  <c r="J82" i="108" a="1"/>
  <c r="F82" i="108" a="1"/>
  <c r="O81" i="108" a="1"/>
  <c r="K81" i="108" a="1"/>
  <c r="G81" i="108" a="1"/>
  <c r="C81" i="108" a="1"/>
  <c r="P80" i="108" a="1"/>
  <c r="L80" i="108" a="1"/>
  <c r="H80" i="108" a="1"/>
  <c r="D80" i="108" a="1"/>
  <c r="G80" i="108" a="1"/>
  <c r="M80" i="108" a="1"/>
  <c r="R80" i="108" a="1"/>
  <c r="H81" i="108" a="1"/>
  <c r="M81" i="108" a="1"/>
  <c r="R81" i="108" a="1"/>
  <c r="C82" i="108" a="1"/>
  <c r="H82" i="108" a="1"/>
  <c r="M82" i="108" a="1"/>
  <c r="C83" i="108" a="1"/>
  <c r="H83" i="108" a="1"/>
  <c r="N83" i="108" a="1"/>
  <c r="Q90" i="108" a="1"/>
  <c r="N90" i="108" a="1"/>
  <c r="K90" i="108" a="1"/>
  <c r="H90" i="108" a="1"/>
  <c r="H90" i="108" s="1"/>
  <c r="E90" i="108" a="1"/>
  <c r="O89" i="108" a="1"/>
  <c r="I89" i="108" a="1"/>
  <c r="F89" i="108" a="1"/>
  <c r="C89" i="108" a="1"/>
  <c r="Q88" i="108" a="1"/>
  <c r="Q88" i="108" s="1"/>
  <c r="L88" i="108" a="1"/>
  <c r="I88" i="108" a="1"/>
  <c r="I88" i="108" s="1"/>
  <c r="D88" i="108" a="1"/>
  <c r="P87" i="108" a="1"/>
  <c r="M87" i="108" a="1"/>
  <c r="M87" i="108" s="1"/>
  <c r="H87" i="108" a="1"/>
  <c r="E87" i="108" a="1"/>
  <c r="E87" i="108" s="1"/>
  <c r="C87" i="108" a="1"/>
  <c r="C87" i="108" s="1"/>
  <c r="J87" i="108" a="1"/>
  <c r="N87" i="108" a="1"/>
  <c r="Q87" i="108" a="1"/>
  <c r="Q87" i="108" s="1"/>
  <c r="AA87" i="108" a="1"/>
  <c r="AA87" i="108" s="1"/>
  <c r="H88" i="108" a="1"/>
  <c r="K88" i="108" a="1"/>
  <c r="K88" i="108" s="1"/>
  <c r="O88" i="108" a="1"/>
  <c r="O88" i="108" s="1"/>
  <c r="X88" i="108" a="1"/>
  <c r="AF88" i="108" a="1"/>
  <c r="AJ88" i="108" a="1"/>
  <c r="G89" i="108" a="1"/>
  <c r="J89" i="108" a="1"/>
  <c r="J89" i="108" s="1"/>
  <c r="N89" i="108" a="1"/>
  <c r="R89" i="108" a="1"/>
  <c r="R89" i="108" s="1"/>
  <c r="X89" i="108" a="1"/>
  <c r="AG89" i="108" a="1"/>
  <c r="U90" i="108" a="1"/>
  <c r="Z90" i="108" a="1"/>
  <c r="AD90" i="108" a="1"/>
  <c r="AH90" i="108" a="1"/>
  <c r="AH90" i="108" s="1"/>
  <c r="AJ97" i="108" a="1"/>
  <c r="AF97" i="108" a="1"/>
  <c r="AB97" i="108" a="1"/>
  <c r="X97" i="108" a="1"/>
  <c r="AG96" i="108" a="1"/>
  <c r="AC96" i="108" a="1"/>
  <c r="Y96" i="108" a="1"/>
  <c r="U96" i="108" a="1"/>
  <c r="AG95" i="108" a="1"/>
  <c r="AC95" i="108" a="1"/>
  <c r="Y95" i="108" a="1"/>
  <c r="U95" i="108" a="1"/>
  <c r="AH94" i="108" a="1"/>
  <c r="AD94" i="108" a="1"/>
  <c r="Z94" i="108" a="1"/>
  <c r="V94" i="108" a="1"/>
  <c r="H94" i="108" a="1"/>
  <c r="L94" i="108" a="1"/>
  <c r="O94" i="108" a="1"/>
  <c r="O94" i="108" s="1"/>
  <c r="U94" i="108" a="1"/>
  <c r="AA94" i="108" a="1"/>
  <c r="AF94" i="108" a="1"/>
  <c r="AJ94" i="108" a="1"/>
  <c r="F95" i="108" a="1"/>
  <c r="I95" i="108" a="1"/>
  <c r="I95" i="108" s="1"/>
  <c r="W95" i="108" a="1"/>
  <c r="AB95" i="108" a="1"/>
  <c r="AH95" i="108" a="1"/>
  <c r="D96" i="108" a="1"/>
  <c r="G96" i="108" a="1"/>
  <c r="G96" i="108" s="1"/>
  <c r="K96" i="108" a="1"/>
  <c r="K96" i="108" s="1"/>
  <c r="R96" i="108" a="1"/>
  <c r="Z96" i="108" a="1"/>
  <c r="AE96" i="108" a="1"/>
  <c r="AJ96" i="108" a="1"/>
  <c r="F97" i="108" a="1"/>
  <c r="I97" i="108" a="1"/>
  <c r="I97" i="108" s="1"/>
  <c r="V97" i="108" a="1"/>
  <c r="AA97" i="108" a="1"/>
  <c r="AG97" i="108" a="1"/>
  <c r="P99" i="108" a="1"/>
  <c r="G101" i="108" a="1"/>
  <c r="M101" i="108" a="1"/>
  <c r="R101" i="108" a="1"/>
  <c r="F102" i="108" a="1"/>
  <c r="F102" i="108" s="1"/>
  <c r="L102" i="108" a="1"/>
  <c r="Q102" i="108" a="1"/>
  <c r="F103" i="108" a="1"/>
  <c r="L103" i="108" a="1"/>
  <c r="P103" i="108" a="1"/>
  <c r="P103" i="108" s="1"/>
  <c r="E104" i="108" a="1"/>
  <c r="K104" i="108" a="1"/>
  <c r="P104" i="108" a="1"/>
  <c r="AE13" i="110"/>
  <c r="W13" i="110"/>
  <c r="AD12" i="110"/>
  <c r="U12" i="110"/>
  <c r="AD11" i="110"/>
  <c r="AC10" i="110"/>
  <c r="L10" i="110"/>
  <c r="W10" i="110"/>
  <c r="AI10" i="110"/>
  <c r="L11" i="110"/>
  <c r="Y11" i="110"/>
  <c r="C12" i="110"/>
  <c r="M12" i="110"/>
  <c r="Z12" i="110"/>
  <c r="C13" i="110"/>
  <c r="M13" i="110"/>
  <c r="Z13" i="110"/>
  <c r="P15" i="110" a="1"/>
  <c r="C17" i="110"/>
  <c r="Q18" i="110"/>
  <c r="N19" i="110"/>
  <c r="K20" i="110"/>
  <c r="AA24" i="110"/>
  <c r="AE25" i="110"/>
  <c r="U26" i="110"/>
  <c r="AG26" i="110"/>
  <c r="Y27" i="110"/>
  <c r="O34" i="110"/>
  <c r="R32" i="110"/>
  <c r="G31" i="110"/>
  <c r="E32" i="110"/>
  <c r="Q33" i="110"/>
  <c r="O41" i="110"/>
  <c r="H41" i="110"/>
  <c r="K40" i="110"/>
  <c r="D40" i="110"/>
  <c r="M39" i="110"/>
  <c r="E39" i="110"/>
  <c r="O38" i="110"/>
  <c r="H38" i="110"/>
  <c r="D38" i="110"/>
  <c r="M38" i="110"/>
  <c r="H39" i="110"/>
  <c r="P39" i="110"/>
  <c r="I40" i="110"/>
  <c r="C41" i="110"/>
  <c r="K41" i="110"/>
  <c r="N48" i="110"/>
  <c r="R48" i="110"/>
  <c r="C48" i="110"/>
  <c r="N46" i="110"/>
  <c r="I45" i="110"/>
  <c r="Y45" i="110"/>
  <c r="AF45" i="110"/>
  <c r="U46" i="110"/>
  <c r="AB46" i="110"/>
  <c r="AI46" i="110"/>
  <c r="Y47" i="110"/>
  <c r="AG47" i="110"/>
  <c r="W48" i="110"/>
  <c r="AI48" i="110"/>
  <c r="K52" i="110"/>
  <c r="C53" i="110"/>
  <c r="L53" i="110"/>
  <c r="K54" i="110"/>
  <c r="Q62" i="110"/>
  <c r="H62" i="110"/>
  <c r="M61" i="110"/>
  <c r="D61" i="110"/>
  <c r="I60" i="110"/>
  <c r="H59" i="110"/>
  <c r="D62" i="110"/>
  <c r="G61" i="110"/>
  <c r="Q60" i="110"/>
  <c r="D60" i="110"/>
  <c r="G59" i="110"/>
  <c r="P57" i="110" a="1"/>
  <c r="I62" i="110"/>
  <c r="C62" i="110"/>
  <c r="O61" i="110"/>
  <c r="H60" i="110"/>
  <c r="D59" i="110"/>
  <c r="O62" i="110"/>
  <c r="M59" i="110"/>
  <c r="L61" i="110"/>
  <c r="L62" i="110"/>
  <c r="X87" i="108" a="1"/>
  <c r="AB87" i="108" a="1"/>
  <c r="AE87" i="108" a="1"/>
  <c r="AE87" i="108" s="1"/>
  <c r="AJ87" i="108" a="1"/>
  <c r="U88" i="108" a="1"/>
  <c r="U88" i="108" s="1"/>
  <c r="Z88" i="108" a="1"/>
  <c r="AC88" i="108" a="1"/>
  <c r="AC88" i="108" s="1"/>
  <c r="AG88" i="108" a="1"/>
  <c r="U89" i="108" a="1"/>
  <c r="Y89" i="108" a="1"/>
  <c r="AC89" i="108" a="1"/>
  <c r="AH89" i="108" a="1"/>
  <c r="V90" i="108" a="1"/>
  <c r="V90" i="108" s="1"/>
  <c r="AA90" i="108" a="1"/>
  <c r="AE90" i="108" a="1"/>
  <c r="E94" i="108" a="1"/>
  <c r="E94" i="108" s="1"/>
  <c r="I94" i="108" a="1"/>
  <c r="I94" i="108" s="1"/>
  <c r="P94" i="108" a="1"/>
  <c r="C95" i="108" a="1"/>
  <c r="C95" i="108" s="1"/>
  <c r="J95" i="108" a="1"/>
  <c r="N95" i="108" a="1"/>
  <c r="Q95" i="108" a="1"/>
  <c r="Q95" i="108" s="1"/>
  <c r="L96" i="108" a="1"/>
  <c r="O96" i="108" a="1"/>
  <c r="O96" i="108" s="1"/>
  <c r="C97" i="108" a="1"/>
  <c r="C97" i="108" s="1"/>
  <c r="J97" i="108" a="1"/>
  <c r="N97" i="108" a="1"/>
  <c r="C101" i="108" a="1"/>
  <c r="I101" i="108" a="1"/>
  <c r="N101" i="108" a="1"/>
  <c r="C102" i="108" a="1"/>
  <c r="H102" i="108" a="1"/>
  <c r="M102" i="108" a="1"/>
  <c r="R102" i="108" a="1"/>
  <c r="H103" i="108" a="1"/>
  <c r="M103" i="108" a="1"/>
  <c r="Q103" i="108" a="1"/>
  <c r="G104" i="108" a="1"/>
  <c r="L104" i="108" a="1"/>
  <c r="Q104" i="108" a="1"/>
  <c r="E10" i="110"/>
  <c r="M10" i="110"/>
  <c r="E11" i="110"/>
  <c r="M11" i="110"/>
  <c r="G12" i="110"/>
  <c r="P12" i="110"/>
  <c r="G13" i="110"/>
  <c r="I17" i="110"/>
  <c r="F18" i="110"/>
  <c r="N20" i="110"/>
  <c r="AE24" i="110"/>
  <c r="V25" i="110"/>
  <c r="AI25" i="110"/>
  <c r="Y26" i="110"/>
  <c r="AA45" i="110"/>
  <c r="AI45" i="110"/>
  <c r="W46" i="110"/>
  <c r="AC46" i="110"/>
  <c r="AA47" i="110"/>
  <c r="AJ47" i="110"/>
  <c r="N55" i="110"/>
  <c r="F55" i="110"/>
  <c r="N54" i="110"/>
  <c r="H54" i="110"/>
  <c r="C54" i="110"/>
  <c r="O53" i="110"/>
  <c r="J53" i="110"/>
  <c r="O55" i="110"/>
  <c r="E55" i="110"/>
  <c r="O54" i="110"/>
  <c r="G54" i="110"/>
  <c r="N53" i="110"/>
  <c r="G53" i="110"/>
  <c r="N52" i="110"/>
  <c r="H52" i="110"/>
  <c r="C52" i="110"/>
  <c r="Q55" i="110"/>
  <c r="C55" i="110"/>
  <c r="J54" i="110"/>
  <c r="R53" i="110"/>
  <c r="H53" i="110"/>
  <c r="O52" i="110"/>
  <c r="G52" i="110"/>
  <c r="D52" i="110"/>
  <c r="L52" i="110"/>
  <c r="D53" i="110"/>
  <c r="P53" i="110"/>
  <c r="L54" i="110"/>
  <c r="O59" i="110"/>
  <c r="C60" i="110"/>
  <c r="AI90" i="108" a="1"/>
  <c r="AF90" i="108" a="1"/>
  <c r="AB90" i="108" a="1"/>
  <c r="AB90" i="108" s="1"/>
  <c r="Y90" i="108" a="1"/>
  <c r="AJ89" i="108" a="1"/>
  <c r="AF89" i="108" a="1"/>
  <c r="AB89" i="108" a="1"/>
  <c r="AB89" i="108" s="1"/>
  <c r="V89" i="108" a="1"/>
  <c r="V89" i="108" s="1"/>
  <c r="AB88" i="108" a="1"/>
  <c r="Y88" i="108" a="1"/>
  <c r="V88" i="108" a="1"/>
  <c r="AI87" i="108" a="1"/>
  <c r="AI87" i="108" s="1"/>
  <c r="AF87" i="108" a="1"/>
  <c r="AC87" i="108" a="1"/>
  <c r="AC87" i="108" s="1"/>
  <c r="W87" i="108" a="1"/>
  <c r="W87" i="108" s="1"/>
  <c r="U87" i="108" a="1"/>
  <c r="U87" i="108" s="1"/>
  <c r="Y87" i="108" a="1"/>
  <c r="AG87" i="108" a="1"/>
  <c r="AD88" i="108" a="1"/>
  <c r="AH88" i="108" a="1"/>
  <c r="AH88" i="108" s="1"/>
  <c r="Z89" i="108" a="1"/>
  <c r="Z89" i="108" s="1"/>
  <c r="AD89" i="108" a="1"/>
  <c r="AI89" i="108" a="1"/>
  <c r="W90" i="108" a="1"/>
  <c r="AG90" i="108" a="1"/>
  <c r="P97" i="108" a="1"/>
  <c r="M97" i="108" a="1"/>
  <c r="M97" i="108" s="1"/>
  <c r="H97" i="108" a="1"/>
  <c r="E97" i="108" a="1"/>
  <c r="E97" i="108" s="1"/>
  <c r="P96" i="108" a="1"/>
  <c r="M96" i="108" a="1"/>
  <c r="M96" i="108" s="1"/>
  <c r="H96" i="108" a="1"/>
  <c r="E96" i="108" a="1"/>
  <c r="E96" i="108" s="1"/>
  <c r="P95" i="108" a="1"/>
  <c r="M95" i="108" a="1"/>
  <c r="M95" i="108" s="1"/>
  <c r="H95" i="108" a="1"/>
  <c r="E95" i="108" a="1"/>
  <c r="E95" i="108" s="1"/>
  <c r="N94" i="108" a="1"/>
  <c r="K94" i="108" a="1"/>
  <c r="K94" i="108" s="1"/>
  <c r="F94" i="108" a="1"/>
  <c r="C94" i="108" a="1"/>
  <c r="C94" i="108" s="1"/>
  <c r="P92" i="108" a="1"/>
  <c r="P92" i="108" s="1"/>
  <c r="J94" i="108" a="1"/>
  <c r="M94" i="108" a="1"/>
  <c r="M94" i="108" s="1"/>
  <c r="Q94" i="108" a="1"/>
  <c r="Q94" i="108" s="1"/>
  <c r="D95" i="108" a="1"/>
  <c r="G95" i="108" a="1"/>
  <c r="G95" i="108" s="1"/>
  <c r="K95" i="108" a="1"/>
  <c r="K95" i="108" s="1"/>
  <c r="R95" i="108" a="1"/>
  <c r="F96" i="108" a="1"/>
  <c r="I96" i="108" a="1"/>
  <c r="I96" i="108" s="1"/>
  <c r="D97" i="108" a="1"/>
  <c r="G97" i="108" a="1"/>
  <c r="G97" i="108" s="1"/>
  <c r="K97" i="108" a="1"/>
  <c r="K97" i="108" s="1"/>
  <c r="R97" i="108" a="1"/>
  <c r="R97" i="108" s="1"/>
  <c r="E101" i="108" a="1"/>
  <c r="J101" i="108" a="1"/>
  <c r="O101" i="108" a="1"/>
  <c r="E102" i="108" a="1"/>
  <c r="I102" i="108" a="1"/>
  <c r="N102" i="108" a="1"/>
  <c r="D103" i="108" a="1"/>
  <c r="I103" i="108" a="1"/>
  <c r="N103" i="108" a="1"/>
  <c r="C104" i="108" a="1"/>
  <c r="H104" i="108" a="1"/>
  <c r="M104" i="108" a="1"/>
  <c r="L13" i="110"/>
  <c r="E13" i="110"/>
  <c r="L12" i="110"/>
  <c r="E12" i="110"/>
  <c r="Q11" i="110"/>
  <c r="K11" i="110"/>
  <c r="C11" i="110"/>
  <c r="Q10" i="110"/>
  <c r="K10" i="110"/>
  <c r="C10" i="110"/>
  <c r="G10" i="110"/>
  <c r="P10" i="110"/>
  <c r="G11" i="110"/>
  <c r="P11" i="110"/>
  <c r="H12" i="110"/>
  <c r="Q12" i="110"/>
  <c r="H13" i="110"/>
  <c r="Q13" i="110"/>
  <c r="K17" i="110"/>
  <c r="I18" i="110"/>
  <c r="E19" i="110"/>
  <c r="C20" i="110"/>
  <c r="Q20" i="110"/>
  <c r="AE27" i="110"/>
  <c r="V27" i="110"/>
  <c r="AI26" i="110"/>
  <c r="Z26" i="110"/>
  <c r="AD25" i="110"/>
  <c r="U25" i="110"/>
  <c r="AG24" i="110"/>
  <c r="Y24" i="110"/>
  <c r="U24" i="110"/>
  <c r="AI24" i="110"/>
  <c r="Y25" i="110"/>
  <c r="AA26" i="110"/>
  <c r="AD27" i="110"/>
  <c r="AE41" i="110"/>
  <c r="U40" i="110"/>
  <c r="AH36" i="110" a="1"/>
  <c r="AF48" i="110"/>
  <c r="Y48" i="110"/>
  <c r="AI47" i="110"/>
  <c r="AC47" i="110"/>
  <c r="X47" i="110"/>
  <c r="AH48" i="110"/>
  <c r="X48" i="110"/>
  <c r="AE47" i="110"/>
  <c r="W47" i="110"/>
  <c r="AJ46" i="110"/>
  <c r="AE46" i="110"/>
  <c r="Y46" i="110"/>
  <c r="AG45" i="110"/>
  <c r="AB45" i="110"/>
  <c r="W45" i="110"/>
  <c r="AH43" i="110" a="1"/>
  <c r="AH43" i="110" s="1"/>
  <c r="U45" i="110"/>
  <c r="AC45" i="110"/>
  <c r="AJ45" i="110"/>
  <c r="X46" i="110"/>
  <c r="AF46" i="110"/>
  <c r="AB47" i="110"/>
  <c r="AB48" i="110"/>
  <c r="AB66" i="110"/>
  <c r="U67" i="110"/>
  <c r="AE67" i="110"/>
  <c r="AC68" i="110"/>
  <c r="U69" i="110"/>
  <c r="AF69" i="110"/>
  <c r="W59" i="108"/>
  <c r="V73" i="108" a="1"/>
  <c r="Y73" i="108" a="1"/>
  <c r="AF73" i="108" a="1"/>
  <c r="AJ73" i="108" a="1"/>
  <c r="X74" i="108" a="1"/>
  <c r="AA74" i="108" a="1"/>
  <c r="AG74" i="108" a="1"/>
  <c r="AG74" i="108" s="1"/>
  <c r="W75" i="108" a="1"/>
  <c r="W75" i="108" s="1"/>
  <c r="AA75" i="108" a="1"/>
  <c r="AD75" i="108" a="1"/>
  <c r="AH75" i="108" a="1"/>
  <c r="V76" i="108" a="1"/>
  <c r="Y76" i="108" a="1"/>
  <c r="Y76" i="108" s="1"/>
  <c r="AC76" i="108" a="1"/>
  <c r="AF76" i="108" a="1"/>
  <c r="X80" i="108" a="1"/>
  <c r="X80" i="108" s="1"/>
  <c r="AD80" i="108" a="1"/>
  <c r="AD80" i="108" s="1"/>
  <c r="AH80" i="108" a="1"/>
  <c r="U81" i="108" a="1"/>
  <c r="AA81" i="108" a="1"/>
  <c r="AG81" i="108" a="1"/>
  <c r="AJ81" i="108" a="1"/>
  <c r="AJ81" i="108" s="1"/>
  <c r="W82" i="108" a="1"/>
  <c r="Z82" i="108" a="1"/>
  <c r="AC82" i="108" a="1"/>
  <c r="AF82" i="108" a="1"/>
  <c r="V83" i="108" a="1"/>
  <c r="V83" i="108" s="1"/>
  <c r="Y83" i="108" a="1"/>
  <c r="AB83" i="108" a="1"/>
  <c r="AB83" i="108" s="1"/>
  <c r="AE83" i="108" a="1"/>
  <c r="Y17" i="110"/>
  <c r="AE17" i="110"/>
  <c r="AJ17" i="110"/>
  <c r="X18" i="110"/>
  <c r="AC18" i="110"/>
  <c r="AI18" i="110"/>
  <c r="X19" i="110"/>
  <c r="AC19" i="110"/>
  <c r="AI19" i="110"/>
  <c r="U20" i="110"/>
  <c r="AA20" i="110"/>
  <c r="AF20" i="110"/>
  <c r="H24" i="110"/>
  <c r="I26" i="110"/>
  <c r="X31" i="110"/>
  <c r="AC31" i="110"/>
  <c r="AI31" i="110"/>
  <c r="Y32" i="110"/>
  <c r="AE32" i="110"/>
  <c r="AJ32" i="110"/>
  <c r="W33" i="110"/>
  <c r="AB33" i="110"/>
  <c r="AG33" i="110"/>
  <c r="Y34" i="110"/>
  <c r="AE34" i="110"/>
  <c r="AJ34" i="110"/>
  <c r="AG55" i="110"/>
  <c r="X55" i="110"/>
  <c r="AF54" i="110"/>
  <c r="W54" i="110"/>
  <c r="AD53" i="110"/>
  <c r="V53" i="110"/>
  <c r="AB55" i="110"/>
  <c r="AB54" i="110"/>
  <c r="AG53" i="110"/>
  <c r="Y53" i="110"/>
  <c r="AJ52" i="110"/>
  <c r="AB52" i="110"/>
  <c r="U52" i="110"/>
  <c r="Y52" i="110"/>
  <c r="AG52" i="110"/>
  <c r="AF53" i="110"/>
  <c r="U54" i="110"/>
  <c r="AI55" i="110"/>
  <c r="U66" i="110"/>
  <c r="AC66" i="110"/>
  <c r="W67" i="110"/>
  <c r="AG67" i="110"/>
  <c r="AE68" i="110"/>
  <c r="G76" i="110"/>
  <c r="Q76" i="110"/>
  <c r="L75" i="110"/>
  <c r="K76" i="110"/>
  <c r="D76" i="110"/>
  <c r="G74" i="110"/>
  <c r="I73" i="110"/>
  <c r="O74" i="110"/>
  <c r="E75" i="110"/>
  <c r="AI69" i="110"/>
  <c r="AA69" i="110"/>
  <c r="AF68" i="110"/>
  <c r="Y68" i="110"/>
  <c r="AI67" i="110"/>
  <c r="AC67" i="110"/>
  <c r="X67" i="110"/>
  <c r="AJ66" i="110"/>
  <c r="AE66" i="110"/>
  <c r="Y66" i="110"/>
  <c r="AJ69" i="110"/>
  <c r="Y69" i="110"/>
  <c r="AJ68" i="110"/>
  <c r="AA68" i="110"/>
  <c r="AF67" i="110"/>
  <c r="Y67" i="110"/>
  <c r="AG66" i="110"/>
  <c r="AA66" i="110"/>
  <c r="W66" i="110"/>
  <c r="AF66" i="110"/>
  <c r="AA67" i="110"/>
  <c r="AJ67" i="110"/>
  <c r="U68" i="110"/>
  <c r="AI68" i="110"/>
  <c r="AC69" i="110"/>
  <c r="AE69" i="110"/>
  <c r="AJ83" i="110" a="1"/>
  <c r="AJ83" i="110" s="1"/>
  <c r="AH83" i="110" a="1"/>
  <c r="AH83" i="110" s="1"/>
  <c r="AF83" i="110" a="1"/>
  <c r="AF83" i="110" s="1"/>
  <c r="AD83" i="110" a="1"/>
  <c r="AD83" i="110" s="1"/>
  <c r="AB83" i="110" a="1"/>
  <c r="AB83" i="110" s="1"/>
  <c r="Z83" i="110" a="1"/>
  <c r="Z83" i="110" s="1"/>
  <c r="X83" i="110" a="1"/>
  <c r="X83" i="110" s="1"/>
  <c r="V83" i="110" a="1"/>
  <c r="V83" i="110" s="1"/>
  <c r="AJ82" i="110" a="1"/>
  <c r="AJ82" i="110" s="1"/>
  <c r="AH82" i="110" a="1"/>
  <c r="AH82" i="110" s="1"/>
  <c r="AF82" i="110" a="1"/>
  <c r="AF82" i="110" s="1"/>
  <c r="AD82" i="110" a="1"/>
  <c r="AD82" i="110" s="1"/>
  <c r="AB82" i="110" a="1"/>
  <c r="AB82" i="110" s="1"/>
  <c r="Z82" i="110" a="1"/>
  <c r="Z82" i="110" s="1"/>
  <c r="X82" i="110" a="1"/>
  <c r="X82" i="110" s="1"/>
  <c r="V82" i="110" a="1"/>
  <c r="V82" i="110" s="1"/>
  <c r="AJ81" i="110" a="1"/>
  <c r="AJ81" i="110" s="1"/>
  <c r="AH81" i="110" a="1"/>
  <c r="AH81" i="110" s="1"/>
  <c r="AF81" i="110" a="1"/>
  <c r="AF81" i="110" s="1"/>
  <c r="AD81" i="110" a="1"/>
  <c r="AD81" i="110" s="1"/>
  <c r="AB81" i="110" a="1"/>
  <c r="AB81" i="110" s="1"/>
  <c r="Z81" i="110" a="1"/>
  <c r="Z81" i="110" s="1"/>
  <c r="X81" i="110" a="1"/>
  <c r="X81" i="110" s="1"/>
  <c r="V81" i="110" a="1"/>
  <c r="V81" i="110" s="1"/>
  <c r="AJ80" i="110" a="1"/>
  <c r="AJ80" i="110" s="1"/>
  <c r="AH80" i="110" a="1"/>
  <c r="AH80" i="110" s="1"/>
  <c r="AF80" i="110" a="1"/>
  <c r="AF80" i="110" s="1"/>
  <c r="AD80" i="110" a="1"/>
  <c r="AD80" i="110" s="1"/>
  <c r="AB80" i="110" a="1"/>
  <c r="AB80" i="110" s="1"/>
  <c r="Z80" i="110" a="1"/>
  <c r="Z80" i="110" s="1"/>
  <c r="X80" i="110" a="1"/>
  <c r="X80" i="110" s="1"/>
  <c r="V80" i="110" a="1"/>
  <c r="V80" i="110" s="1"/>
  <c r="AH78" i="110" a="1"/>
  <c r="AH78" i="110" s="1"/>
  <c r="W80" i="110" a="1"/>
  <c r="W80" i="110" s="1"/>
  <c r="AA80" i="110" a="1"/>
  <c r="AA80" i="110" s="1"/>
  <c r="AE80" i="110" a="1"/>
  <c r="AE80" i="110" s="1"/>
  <c r="AI80" i="110" a="1"/>
  <c r="AI80" i="110" s="1"/>
  <c r="W81" i="110" a="1"/>
  <c r="W81" i="110" s="1"/>
  <c r="AA81" i="110" a="1"/>
  <c r="AA81" i="110" s="1"/>
  <c r="AE81" i="110" a="1"/>
  <c r="AE81" i="110" s="1"/>
  <c r="AI81" i="110" a="1"/>
  <c r="AI81" i="110" s="1"/>
  <c r="W82" i="110" a="1"/>
  <c r="W82" i="110" s="1"/>
  <c r="AA82" i="110" a="1"/>
  <c r="AA82" i="110" s="1"/>
  <c r="AE82" i="110" a="1"/>
  <c r="AE82" i="110" s="1"/>
  <c r="AI82" i="110" a="1"/>
  <c r="AI82" i="110" s="1"/>
  <c r="W83" i="110" a="1"/>
  <c r="W83" i="110" s="1"/>
  <c r="AA83" i="110" a="1"/>
  <c r="AA83" i="110" s="1"/>
  <c r="AE83" i="110" a="1"/>
  <c r="AE83" i="110" s="1"/>
  <c r="AI83" i="110" a="1"/>
  <c r="AI83" i="110" s="1"/>
  <c r="AI90" i="110" a="1"/>
  <c r="AI90" i="110" s="1"/>
  <c r="AG90" i="110" a="1"/>
  <c r="AG90" i="110" s="1"/>
  <c r="AF90" i="110" a="1"/>
  <c r="AF90" i="110" s="1"/>
  <c r="AD90" i="110" a="1"/>
  <c r="AD90" i="110" s="1"/>
  <c r="AB90" i="110" a="1"/>
  <c r="AB90" i="110" s="1"/>
  <c r="Z90" i="110" a="1"/>
  <c r="Z90" i="110" s="1"/>
  <c r="X90" i="110" a="1"/>
  <c r="X90" i="110" s="1"/>
  <c r="V90" i="110" a="1"/>
  <c r="V90" i="110" s="1"/>
  <c r="AJ89" i="110" a="1"/>
  <c r="AJ89" i="110" s="1"/>
  <c r="AH89" i="110" a="1"/>
  <c r="AH89" i="110" s="1"/>
  <c r="AF89" i="110" a="1"/>
  <c r="AF89" i="110" s="1"/>
  <c r="AD89" i="110" a="1"/>
  <c r="AD89" i="110" s="1"/>
  <c r="AB89" i="110" a="1"/>
  <c r="AB89" i="110" s="1"/>
  <c r="Z89" i="110" a="1"/>
  <c r="Z89" i="110" s="1"/>
  <c r="X89" i="110" a="1"/>
  <c r="X89" i="110" s="1"/>
  <c r="V89" i="110" a="1"/>
  <c r="V89" i="110" s="1"/>
  <c r="AJ88" i="110" a="1"/>
  <c r="AJ88" i="110" s="1"/>
  <c r="AH88" i="110" a="1"/>
  <c r="AH88" i="110" s="1"/>
  <c r="AF88" i="110" a="1"/>
  <c r="AF88" i="110" s="1"/>
  <c r="AD88" i="110" a="1"/>
  <c r="AD88" i="110" s="1"/>
  <c r="AB88" i="110" a="1"/>
  <c r="AB88" i="110" s="1"/>
  <c r="Z88" i="110" a="1"/>
  <c r="Z88" i="110" s="1"/>
  <c r="X88" i="110" a="1"/>
  <c r="X88" i="110" s="1"/>
  <c r="V88" i="110" a="1"/>
  <c r="V88" i="110" s="1"/>
  <c r="AJ87" i="110" a="1"/>
  <c r="AJ87" i="110" s="1"/>
  <c r="AH87" i="110" a="1"/>
  <c r="AH87" i="110" s="1"/>
  <c r="AF87" i="110" a="1"/>
  <c r="AF87" i="110" s="1"/>
  <c r="AD87" i="110" a="1"/>
  <c r="AD87" i="110" s="1"/>
  <c r="AB87" i="110" a="1"/>
  <c r="AB87" i="110" s="1"/>
  <c r="Z87" i="110" a="1"/>
  <c r="Z87" i="110" s="1"/>
  <c r="X87" i="110" a="1"/>
  <c r="X87" i="110" s="1"/>
  <c r="V87" i="110" a="1"/>
  <c r="V87" i="110" s="1"/>
  <c r="AJ90" i="110" a="1"/>
  <c r="AJ90" i="110" s="1"/>
  <c r="AA90" i="110" a="1"/>
  <c r="AA90" i="110" s="1"/>
  <c r="AC90" i="110" a="1"/>
  <c r="AC90" i="110" s="1"/>
  <c r="U90" i="110" a="1"/>
  <c r="U90" i="110" s="1"/>
  <c r="AG89" i="110" a="1"/>
  <c r="AG89" i="110" s="1"/>
  <c r="Y89" i="110" a="1"/>
  <c r="Y89" i="110" s="1"/>
  <c r="AG88" i="110" a="1"/>
  <c r="AG88" i="110" s="1"/>
  <c r="Y88" i="110" a="1"/>
  <c r="Y88" i="110" s="1"/>
  <c r="AG87" i="110" a="1"/>
  <c r="AG87" i="110" s="1"/>
  <c r="Y87" i="110" a="1"/>
  <c r="Y87" i="110" s="1"/>
  <c r="AH85" i="110" a="1"/>
  <c r="AH85" i="110" s="1"/>
  <c r="AH90" i="110" a="1"/>
  <c r="AH90" i="110" s="1"/>
  <c r="AE90" i="110" a="1"/>
  <c r="AE90" i="110" s="1"/>
  <c r="W90" i="110" a="1"/>
  <c r="W90" i="110" s="1"/>
  <c r="AI89" i="110" a="1"/>
  <c r="AI89" i="110" s="1"/>
  <c r="AA89" i="110" a="1"/>
  <c r="AA89" i="110" s="1"/>
  <c r="AI88" i="110" a="1"/>
  <c r="AI88" i="110" s="1"/>
  <c r="AA88" i="110" a="1"/>
  <c r="AA88" i="110" s="1"/>
  <c r="AI87" i="110" a="1"/>
  <c r="AI87" i="110" s="1"/>
  <c r="AA87" i="110" a="1"/>
  <c r="AA87" i="110" s="1"/>
  <c r="U87" i="110" a="1"/>
  <c r="U87" i="110" s="1"/>
  <c r="U88" i="110" a="1"/>
  <c r="U88" i="110" s="1"/>
  <c r="U89" i="110" a="1"/>
  <c r="U89" i="110" s="1"/>
  <c r="W88" i="110" a="1"/>
  <c r="W88" i="110" s="1"/>
  <c r="W89" i="110" a="1"/>
  <c r="W89" i="110" s="1"/>
  <c r="U81" i="110" a="1"/>
  <c r="U81" i="110" s="1"/>
  <c r="Y81" i="110" a="1"/>
  <c r="Y81" i="110" s="1"/>
  <c r="AC81" i="110" a="1"/>
  <c r="AC81" i="110" s="1"/>
  <c r="AG81" i="110" a="1"/>
  <c r="AG81" i="110" s="1"/>
  <c r="U82" i="110" a="1"/>
  <c r="U82" i="110" s="1"/>
  <c r="Y82" i="110" a="1"/>
  <c r="Y82" i="110" s="1"/>
  <c r="AC82" i="110" a="1"/>
  <c r="AC82" i="110" s="1"/>
  <c r="AG82" i="110" a="1"/>
  <c r="AG82" i="110" s="1"/>
  <c r="U83" i="110" a="1"/>
  <c r="U83" i="110" s="1"/>
  <c r="Y83" i="110" a="1"/>
  <c r="Y83" i="110" s="1"/>
  <c r="AC83" i="110" a="1"/>
  <c r="AC83" i="110" s="1"/>
  <c r="AG83" i="110" a="1"/>
  <c r="AG83" i="110" s="1"/>
  <c r="AC87" i="110" a="1"/>
  <c r="AC87" i="110" s="1"/>
  <c r="AC88" i="110" a="1"/>
  <c r="AC88" i="110" s="1"/>
  <c r="AC89" i="110" a="1"/>
  <c r="AC89" i="110" s="1"/>
  <c r="Y90" i="110" a="1"/>
  <c r="Y90" i="110" s="1"/>
  <c r="P97" i="110" a="1"/>
  <c r="L97" i="110" a="1"/>
  <c r="H97" i="110" a="1"/>
  <c r="E97" i="110" a="1"/>
  <c r="P96" i="110" a="1"/>
  <c r="L96" i="110" a="1"/>
  <c r="H96" i="110" a="1"/>
  <c r="E96" i="110" a="1"/>
  <c r="P95" i="110" a="1"/>
  <c r="L95" i="110" a="1"/>
  <c r="H95" i="110" a="1"/>
  <c r="E95" i="110" a="1"/>
  <c r="P94" i="110" a="1"/>
  <c r="R97" i="110" a="1"/>
  <c r="R97" i="110" s="1"/>
  <c r="O97" i="110" a="1"/>
  <c r="K97" i="110" a="1"/>
  <c r="G97" i="110" a="1"/>
  <c r="D97" i="110" a="1"/>
  <c r="R96" i="110" a="1"/>
  <c r="R96" i="110" s="1"/>
  <c r="O96" i="110" a="1"/>
  <c r="K96" i="110" a="1"/>
  <c r="G96" i="110" a="1"/>
  <c r="D96" i="110" a="1"/>
  <c r="R95" i="110" a="1"/>
  <c r="R95" i="110" s="1"/>
  <c r="O95" i="110" a="1"/>
  <c r="K95" i="110" a="1"/>
  <c r="G95" i="110" a="1"/>
  <c r="D95" i="110" a="1"/>
  <c r="R94" i="110" a="1"/>
  <c r="R94" i="110" s="1"/>
  <c r="O94" i="110" a="1"/>
  <c r="K94" i="110" a="1"/>
  <c r="H94" i="110" a="1"/>
  <c r="E94" i="110" a="1"/>
  <c r="E94" i="110" s="1"/>
  <c r="P92" i="110" a="1"/>
  <c r="J97" i="110" a="1"/>
  <c r="C97" i="110" a="1"/>
  <c r="J96" i="110" a="1"/>
  <c r="C96" i="110" a="1"/>
  <c r="J95" i="110" a="1"/>
  <c r="C95" i="110" a="1"/>
  <c r="L94" i="110" a="1"/>
  <c r="G94" i="110" a="1"/>
  <c r="G94" i="110" s="1"/>
  <c r="D94" i="110" a="1"/>
  <c r="I97" i="110" a="1"/>
  <c r="Q96" i="110" a="1"/>
  <c r="F96" i="110" a="1"/>
  <c r="F96" i="110" s="1"/>
  <c r="N95" i="110" a="1"/>
  <c r="M94" i="110" a="1"/>
  <c r="Q97" i="110" a="1"/>
  <c r="F97" i="110" a="1"/>
  <c r="F97" i="110" s="1"/>
  <c r="N96" i="110" a="1"/>
  <c r="M95" i="110" a="1"/>
  <c r="J94" i="110" a="1"/>
  <c r="F94" i="110" a="1"/>
  <c r="N97" i="110" a="1"/>
  <c r="M96" i="110" a="1"/>
  <c r="I95" i="110" a="1"/>
  <c r="Q94" i="110" a="1"/>
  <c r="I94" i="110" a="1"/>
  <c r="I94" i="110" s="1"/>
  <c r="M97" i="110" a="1"/>
  <c r="Q95" i="110" a="1"/>
  <c r="O83" i="110" a="1"/>
  <c r="K83" i="110" a="1"/>
  <c r="G83" i="110" a="1"/>
  <c r="C83" i="110" a="1"/>
  <c r="O82" i="110" a="1"/>
  <c r="K82" i="110" a="1"/>
  <c r="G82" i="110" a="1"/>
  <c r="C82" i="110" a="1"/>
  <c r="P81" i="110" a="1"/>
  <c r="M81" i="110" a="1"/>
  <c r="M81" i="110" s="1"/>
  <c r="H81" i="110" a="1"/>
  <c r="E81" i="110" a="1"/>
  <c r="E81" i="110" s="1"/>
  <c r="P80" i="110" a="1"/>
  <c r="M80" i="110" a="1"/>
  <c r="M80" i="110" s="1"/>
  <c r="H80" i="110" a="1"/>
  <c r="E80" i="110" a="1"/>
  <c r="E80" i="110" s="1"/>
  <c r="P78" i="110" a="1"/>
  <c r="P78" i="110" s="1"/>
  <c r="R83" i="110" a="1"/>
  <c r="R83" i="110" s="1"/>
  <c r="N83" i="110" a="1"/>
  <c r="J83" i="110" a="1"/>
  <c r="F83" i="110" a="1"/>
  <c r="R82" i="110" a="1"/>
  <c r="N82" i="110" a="1"/>
  <c r="J82" i="110" a="1"/>
  <c r="F82" i="110" a="1"/>
  <c r="R81" i="110" a="1"/>
  <c r="O81" i="110" a="1"/>
  <c r="O81" i="110" s="1"/>
  <c r="J81" i="110" a="1"/>
  <c r="G81" i="110" a="1"/>
  <c r="G81" i="110" s="1"/>
  <c r="R80" i="110" a="1"/>
  <c r="O80" i="110" a="1"/>
  <c r="O80" i="110" s="1"/>
  <c r="J80" i="110" a="1"/>
  <c r="G80" i="110" a="1"/>
  <c r="G80" i="110" s="1"/>
  <c r="D80" i="110" a="1"/>
  <c r="I80" i="110" a="1"/>
  <c r="I80" i="110" s="1"/>
  <c r="D81" i="110" a="1"/>
  <c r="I81" i="110" a="1"/>
  <c r="I81" i="110" s="1"/>
  <c r="E82" i="110" a="1"/>
  <c r="M82" i="110" a="1"/>
  <c r="E83" i="110" a="1"/>
  <c r="M83" i="110" a="1"/>
  <c r="AE87" i="110" a="1"/>
  <c r="AE87" i="110" s="1"/>
  <c r="AE88" i="110" a="1"/>
  <c r="AE88" i="110" s="1"/>
  <c r="AE89" i="110" a="1"/>
  <c r="AE89" i="110" s="1"/>
  <c r="N94" i="110" a="1"/>
  <c r="I96" i="110" a="1"/>
  <c r="V59" i="110"/>
  <c r="AI59" i="110"/>
  <c r="U60" i="110"/>
  <c r="J66" i="110"/>
  <c r="R66" i="110"/>
  <c r="O67" i="110"/>
  <c r="M68" i="110"/>
  <c r="N69" i="110"/>
  <c r="U73" i="110" a="1"/>
  <c r="X73" i="110" a="1"/>
  <c r="X73" i="110" s="1"/>
  <c r="AB73" i="110" a="1"/>
  <c r="AI73" i="110" a="1"/>
  <c r="U74" i="110" a="1"/>
  <c r="Y74" i="110" a="1"/>
  <c r="AB74" i="110" a="1"/>
  <c r="AF74" i="110" a="1"/>
  <c r="AI74" i="110" a="1"/>
  <c r="U75" i="110" a="1"/>
  <c r="Y75" i="110" a="1"/>
  <c r="AB75" i="110" a="1"/>
  <c r="AB75" i="110" s="1"/>
  <c r="AF75" i="110" a="1"/>
  <c r="W76" i="110" a="1"/>
  <c r="AA76" i="110" a="1"/>
  <c r="AD76" i="110" a="1"/>
  <c r="AD76" i="110" s="1"/>
  <c r="AH76" i="110" a="1"/>
  <c r="Q87" i="110" a="1"/>
  <c r="Q87" i="110" s="1"/>
  <c r="I88" i="110" a="1"/>
  <c r="I88" i="110" s="1"/>
  <c r="Q88" i="110" a="1"/>
  <c r="Q88" i="110" s="1"/>
  <c r="I89" i="110" a="1"/>
  <c r="I89" i="110" s="1"/>
  <c r="Q89" i="110" a="1"/>
  <c r="Q89" i="110" s="1"/>
  <c r="D90" i="110" a="1"/>
  <c r="D90" i="110" s="1"/>
  <c r="H90" i="110" a="1"/>
  <c r="H90" i="110" s="1"/>
  <c r="AC73" i="110" a="1"/>
  <c r="AF73" i="110" a="1"/>
  <c r="AF73" i="110" s="1"/>
  <c r="AJ73" i="110" a="1"/>
  <c r="V74" i="110" a="1"/>
  <c r="AC74" i="110" a="1"/>
  <c r="AG74" i="110" a="1"/>
  <c r="AJ74" i="110" a="1"/>
  <c r="V75" i="110" a="1"/>
  <c r="Z75" i="110" a="1"/>
  <c r="AC75" i="110" a="1"/>
  <c r="AG75" i="110" a="1"/>
  <c r="AJ75" i="110" a="1"/>
  <c r="AJ75" i="110" s="1"/>
  <c r="U76" i="110" a="1"/>
  <c r="X76" i="110" a="1"/>
  <c r="AB76" i="110" a="1"/>
  <c r="AE76" i="110" a="1"/>
  <c r="P85" i="110"/>
  <c r="R90" i="110" a="1"/>
  <c r="R90" i="110" s="1"/>
  <c r="M90" i="110" a="1"/>
  <c r="J90" i="110" a="1"/>
  <c r="J90" i="110" s="1"/>
  <c r="E90" i="110" a="1"/>
  <c r="R89" i="110" a="1"/>
  <c r="R89" i="110" s="1"/>
  <c r="P89" i="110" a="1"/>
  <c r="P89" i="110" s="1"/>
  <c r="N89" i="110" a="1"/>
  <c r="N89" i="110" s="1"/>
  <c r="L89" i="110" a="1"/>
  <c r="L89" i="110" s="1"/>
  <c r="J89" i="110" a="1"/>
  <c r="J89" i="110" s="1"/>
  <c r="H89" i="110" a="1"/>
  <c r="H89" i="110" s="1"/>
  <c r="F89" i="110" a="1"/>
  <c r="F89" i="110" s="1"/>
  <c r="D89" i="110" a="1"/>
  <c r="D89" i="110" s="1"/>
  <c r="R88" i="110" a="1"/>
  <c r="R88" i="110" s="1"/>
  <c r="P88" i="110" a="1"/>
  <c r="P88" i="110" s="1"/>
  <c r="N88" i="110" a="1"/>
  <c r="N88" i="110" s="1"/>
  <c r="L88" i="110" a="1"/>
  <c r="L88" i="110" s="1"/>
  <c r="J88" i="110" a="1"/>
  <c r="J88" i="110" s="1"/>
  <c r="H88" i="110" a="1"/>
  <c r="H88" i="110" s="1"/>
  <c r="F88" i="110" a="1"/>
  <c r="F88" i="110" s="1"/>
  <c r="D88" i="110" a="1"/>
  <c r="D88" i="110" s="1"/>
  <c r="R87" i="110" a="1"/>
  <c r="R87" i="110" s="1"/>
  <c r="P87" i="110" a="1"/>
  <c r="P87" i="110" s="1"/>
  <c r="N87" i="110" a="1"/>
  <c r="N87" i="110" s="1"/>
  <c r="L87" i="110" a="1"/>
  <c r="L87" i="110" s="1"/>
  <c r="D87" i="110" a="1"/>
  <c r="D87" i="110" s="1"/>
  <c r="F87" i="110" a="1"/>
  <c r="F87" i="110" s="1"/>
  <c r="H87" i="110" a="1"/>
  <c r="H87" i="110" s="1"/>
  <c r="J87" i="110" a="1"/>
  <c r="J87" i="110" s="1"/>
  <c r="O87" i="110" a="1"/>
  <c r="O87" i="110" s="1"/>
  <c r="G88" i="110" a="1"/>
  <c r="G88" i="110" s="1"/>
  <c r="O88" i="110" a="1"/>
  <c r="O88" i="110" s="1"/>
  <c r="G89" i="110" a="1"/>
  <c r="G89" i="110" s="1"/>
  <c r="O89" i="110" a="1"/>
  <c r="O89" i="110" s="1"/>
  <c r="I90" i="110" a="1"/>
  <c r="L90" i="110" a="1"/>
  <c r="L90" i="110" s="1"/>
  <c r="P90" i="110" a="1"/>
  <c r="P90" i="110" s="1"/>
  <c r="G104" i="110" a="1"/>
  <c r="G104" i="110" s="1"/>
  <c r="R104" i="110" a="1"/>
  <c r="R104" i="110" s="1"/>
  <c r="J102" i="110" a="1"/>
  <c r="O103" i="110" a="1"/>
  <c r="O103" i="110" s="1"/>
  <c r="AG97" i="110" a="1"/>
  <c r="AD97" i="110" a="1"/>
  <c r="AA97" i="110" a="1"/>
  <c r="X97" i="110" a="1"/>
  <c r="X97" i="110" s="1"/>
  <c r="U97" i="110" a="1"/>
  <c r="AG96" i="110" a="1"/>
  <c r="AD96" i="110" a="1"/>
  <c r="AA96" i="110" a="1"/>
  <c r="X96" i="110" a="1"/>
  <c r="X96" i="110" s="1"/>
  <c r="U96" i="110" a="1"/>
  <c r="AG95" i="110" a="1"/>
  <c r="AD95" i="110" a="1"/>
  <c r="AA95" i="110" a="1"/>
  <c r="X95" i="110" a="1"/>
  <c r="X95" i="110" s="1"/>
  <c r="U95" i="110" a="1"/>
  <c r="AG94" i="110" a="1"/>
  <c r="AD94" i="110" a="1"/>
  <c r="AA94" i="110" a="1"/>
  <c r="X94" i="110" a="1"/>
  <c r="X94" i="110" s="1"/>
  <c r="U94" i="110" a="1"/>
  <c r="AI97" i="110" a="1"/>
  <c r="AF97" i="110" a="1"/>
  <c r="AF97" i="110" s="1"/>
  <c r="AC97" i="110" a="1"/>
  <c r="Z97" i="110" a="1"/>
  <c r="Z97" i="110" s="1"/>
  <c r="AI96" i="110" a="1"/>
  <c r="AF96" i="110" a="1"/>
  <c r="AF96" i="110" s="1"/>
  <c r="AC96" i="110" a="1"/>
  <c r="Z96" i="110" a="1"/>
  <c r="Z96" i="110" s="1"/>
  <c r="AI95" i="110" a="1"/>
  <c r="AF95" i="110" a="1"/>
  <c r="AF95" i="110" s="1"/>
  <c r="AC95" i="110" a="1"/>
  <c r="Z95" i="110" a="1"/>
  <c r="Z95" i="110" s="1"/>
  <c r="AI94" i="110" a="1"/>
  <c r="AF94" i="110" a="1"/>
  <c r="AF94" i="110" s="1"/>
  <c r="AC94" i="110" a="1"/>
  <c r="Z94" i="110" a="1"/>
  <c r="Z94" i="110" s="1"/>
  <c r="Q104" i="110" a="1"/>
  <c r="Q104" i="110" s="1"/>
  <c r="L104" i="110" a="1"/>
  <c r="I104" i="110" a="1"/>
  <c r="I104" i="110" s="1"/>
  <c r="D104" i="110" a="1"/>
  <c r="Q103" i="110" a="1"/>
  <c r="Q103" i="110" s="1"/>
  <c r="L103" i="110" a="1"/>
  <c r="I103" i="110" a="1"/>
  <c r="I103" i="110" s="1"/>
  <c r="D103" i="110" a="1"/>
  <c r="Q102" i="110" a="1"/>
  <c r="Q102" i="110" s="1"/>
  <c r="L102" i="110" a="1"/>
  <c r="I102" i="110" a="1"/>
  <c r="I102" i="110" s="1"/>
  <c r="D102" i="110" a="1"/>
  <c r="Q101" i="110" a="1"/>
  <c r="Q101" i="110" s="1"/>
  <c r="L101" i="110" a="1"/>
  <c r="I101" i="110" a="1"/>
  <c r="I101" i="110" s="1"/>
  <c r="D101" i="110" a="1"/>
  <c r="N104" i="110" a="1"/>
  <c r="K104" i="110" a="1"/>
  <c r="K104" i="110" s="1"/>
  <c r="F104" i="110" a="1"/>
  <c r="C104" i="110" a="1"/>
  <c r="C104" i="110" s="1"/>
  <c r="N103" i="110" a="1"/>
  <c r="K103" i="110" a="1"/>
  <c r="K103" i="110" s="1"/>
  <c r="F103" i="110" a="1"/>
  <c r="C103" i="110" a="1"/>
  <c r="C103" i="110" s="1"/>
  <c r="N102" i="110" a="1"/>
  <c r="K102" i="110" a="1"/>
  <c r="K102" i="110" s="1"/>
  <c r="F102" i="110" a="1"/>
  <c r="C102" i="110" a="1"/>
  <c r="C102" i="110" s="1"/>
  <c r="N101" i="110" a="1"/>
  <c r="K101" i="110" a="1"/>
  <c r="K101" i="110" s="1"/>
  <c r="F101" i="110" a="1"/>
  <c r="C101" i="110" a="1"/>
  <c r="C101" i="110" s="1"/>
  <c r="P99" i="110" a="1"/>
  <c r="P99" i="110" s="1"/>
  <c r="P104" i="110" a="1"/>
  <c r="M104" i="110" a="1"/>
  <c r="M104" i="110" s="1"/>
  <c r="H104" i="110" a="1"/>
  <c r="E104" i="110" a="1"/>
  <c r="E104" i="110" s="1"/>
  <c r="P103" i="110" a="1"/>
  <c r="M103" i="110" a="1"/>
  <c r="M103" i="110" s="1"/>
  <c r="H103" i="110" a="1"/>
  <c r="E103" i="110" a="1"/>
  <c r="E103" i="110" s="1"/>
  <c r="P102" i="110" a="1"/>
  <c r="M102" i="110" a="1"/>
  <c r="M102" i="110" s="1"/>
  <c r="H102" i="110" a="1"/>
  <c r="E102" i="110" a="1"/>
  <c r="E102" i="110" s="1"/>
  <c r="P101" i="110" a="1"/>
  <c r="M101" i="110" a="1"/>
  <c r="M101" i="110" s="1"/>
  <c r="H101" i="110" a="1"/>
  <c r="E101" i="110" a="1"/>
  <c r="E101" i="110" s="1"/>
  <c r="G101" i="110" a="1"/>
  <c r="G101" i="110" s="1"/>
  <c r="R101" i="110" a="1"/>
  <c r="G103" i="110" a="1"/>
  <c r="G103" i="110" s="1"/>
  <c r="R103" i="110" a="1"/>
  <c r="O102" i="110" a="1"/>
  <c r="O102" i="110" s="1"/>
  <c r="J103" i="110" a="1"/>
  <c r="O104" i="110" a="1"/>
  <c r="O104" i="110" s="1"/>
  <c r="U101" i="110" a="1"/>
  <c r="Y101" i="110" a="1"/>
  <c r="AC101" i="110" a="1"/>
  <c r="AG101" i="110" a="1"/>
  <c r="U102" i="110" a="1"/>
  <c r="Y102" i="110" a="1"/>
  <c r="AC102" i="110" a="1"/>
  <c r="AG102" i="110" a="1"/>
  <c r="U103" i="110" a="1"/>
  <c r="Y103" i="110" a="1"/>
  <c r="AC103" i="110" a="1"/>
  <c r="AG103" i="110" a="1"/>
  <c r="U104" i="110" a="1"/>
  <c r="Y104" i="110" a="1"/>
  <c r="AC104" i="110" a="1"/>
  <c r="AG104" i="110" a="1"/>
  <c r="V101" i="110" a="1"/>
  <c r="Z101" i="110" a="1"/>
  <c r="AD101" i="110" a="1"/>
  <c r="AH101" i="110" a="1"/>
  <c r="V102" i="110" a="1"/>
  <c r="Z102" i="110" a="1"/>
  <c r="AD102" i="110" a="1"/>
  <c r="AH102" i="110" a="1"/>
  <c r="V103" i="110" a="1"/>
  <c r="Z103" i="110" a="1"/>
  <c r="AD103" i="110" a="1"/>
  <c r="AH103" i="110" a="1"/>
  <c r="V104" i="110" a="1"/>
  <c r="Z104" i="110" a="1"/>
  <c r="AD104" i="110" a="1"/>
  <c r="AH104" i="110" a="1"/>
  <c r="W101" i="110" a="1"/>
  <c r="AA101" i="110" a="1"/>
  <c r="AE101" i="110" a="1"/>
  <c r="AI101" i="110" a="1"/>
  <c r="W102" i="110" a="1"/>
  <c r="AA102" i="110" a="1"/>
  <c r="AE102" i="110" a="1"/>
  <c r="AI102" i="110" a="1"/>
  <c r="W103" i="110" a="1"/>
  <c r="AA103" i="110" a="1"/>
  <c r="AE103" i="110" a="1"/>
  <c r="AI103" i="110" a="1"/>
  <c r="W104" i="110" a="1"/>
  <c r="AA104" i="110" a="1"/>
  <c r="AE104" i="110" a="1"/>
  <c r="I97" i="101"/>
  <c r="Q97" i="101"/>
  <c r="N13" i="117"/>
  <c r="D97" i="101"/>
  <c r="L97" i="101"/>
  <c r="K17" i="115"/>
  <c r="I18" i="117"/>
  <c r="G23" i="98"/>
  <c r="E97" i="101"/>
  <c r="M97" i="101"/>
  <c r="N11" i="115"/>
  <c r="I17" i="115"/>
  <c r="K18" i="117"/>
  <c r="E17" i="114"/>
  <c r="L29" i="82"/>
  <c r="H28" i="82"/>
  <c r="L25" i="82"/>
  <c r="H24" i="82"/>
  <c r="L21" i="82"/>
  <c r="H20" i="82"/>
  <c r="L26" i="82"/>
  <c r="L23" i="82"/>
  <c r="H21" i="82"/>
  <c r="L20" i="82"/>
  <c r="H27" i="82"/>
  <c r="H23" i="82"/>
  <c r="L22" i="82"/>
  <c r="L28" i="82"/>
  <c r="H26" i="82"/>
  <c r="L24" i="82"/>
  <c r="H22" i="82"/>
  <c r="H25" i="82"/>
  <c r="L27" i="82"/>
  <c r="H29" i="82"/>
  <c r="D12" i="82"/>
  <c r="C12" i="82" s="1"/>
  <c r="B12" i="82" s="1"/>
  <c r="D10" i="82"/>
  <c r="C10" i="82" s="1"/>
  <c r="B10" i="82" s="1"/>
  <c r="D8" i="82"/>
  <c r="C8" i="82" s="1"/>
  <c r="B8" i="82" s="1"/>
  <c r="D6" i="82"/>
  <c r="C6" i="82" s="1"/>
  <c r="B6" i="82" s="1"/>
  <c r="D15" i="82"/>
  <c r="C15" i="82" s="1"/>
  <c r="B15" i="82" s="1"/>
  <c r="D14" i="82"/>
  <c r="C14" i="82" s="1"/>
  <c r="B14" i="82" s="1"/>
  <c r="D11" i="82"/>
  <c r="C11" i="82" s="1"/>
  <c r="B11" i="82" s="1"/>
  <c r="D9" i="82"/>
  <c r="C9" i="82" s="1"/>
  <c r="B9" i="82" s="1"/>
  <c r="D13" i="82"/>
  <c r="C13" i="82" s="1"/>
  <c r="B13" i="82" s="1"/>
  <c r="D7" i="82"/>
  <c r="C7" i="82" s="1"/>
  <c r="B7" i="82" s="1"/>
  <c r="H44" i="82"/>
  <c r="H42" i="82"/>
  <c r="H40" i="82"/>
  <c r="H38" i="82"/>
  <c r="H36" i="82"/>
  <c r="H41" i="82"/>
  <c r="D38" i="82"/>
  <c r="D37" i="82"/>
  <c r="D44" i="82"/>
  <c r="D39" i="82"/>
  <c r="H35" i="82"/>
  <c r="D43" i="82"/>
  <c r="D42" i="82"/>
  <c r="H39" i="82"/>
  <c r="D36" i="82"/>
  <c r="H37" i="82"/>
  <c r="D41" i="82"/>
  <c r="D40" i="82"/>
  <c r="D35" i="82"/>
  <c r="H43" i="82"/>
  <c r="D21" i="101"/>
  <c r="E21" i="101" s="1"/>
  <c r="G21" i="101" s="1"/>
  <c r="G23" i="101" s="1"/>
  <c r="H21" i="101"/>
  <c r="F28" i="101"/>
  <c r="H28" i="101" s="1"/>
  <c r="H30" i="101" s="1"/>
  <c r="E87" i="101"/>
  <c r="E94" i="101" s="1"/>
  <c r="I87" i="101"/>
  <c r="I94" i="101" s="1"/>
  <c r="M87" i="101"/>
  <c r="M94" i="101" s="1"/>
  <c r="Q87" i="101"/>
  <c r="Q94" i="101" s="1"/>
  <c r="D88" i="101"/>
  <c r="D95" i="101" s="1"/>
  <c r="H88" i="101"/>
  <c r="H95" i="101" s="1"/>
  <c r="L88" i="101"/>
  <c r="L95" i="101" s="1"/>
  <c r="P88" i="101"/>
  <c r="P95" i="101" s="1"/>
  <c r="C89" i="101"/>
  <c r="G89" i="101"/>
  <c r="G96" i="101" s="1"/>
  <c r="K89" i="101"/>
  <c r="O89" i="101"/>
  <c r="O96" i="101" s="1"/>
  <c r="S89" i="101"/>
  <c r="M96" i="101" s="1"/>
  <c r="F90" i="101"/>
  <c r="F97" i="101" s="1"/>
  <c r="J90" i="101"/>
  <c r="J97" i="101" s="1"/>
  <c r="N90" i="101"/>
  <c r="N97" i="101" s="1"/>
  <c r="R90" i="101"/>
  <c r="R97" i="101" s="1"/>
  <c r="F101" i="101"/>
  <c r="J101" i="101"/>
  <c r="N101" i="101"/>
  <c r="R101" i="101"/>
  <c r="F102" i="101"/>
  <c r="J102" i="101"/>
  <c r="N102" i="101"/>
  <c r="R102" i="101"/>
  <c r="F103" i="101"/>
  <c r="J103" i="101"/>
  <c r="N103" i="101"/>
  <c r="R103" i="101"/>
  <c r="F104" i="101"/>
  <c r="Y104" i="101" s="1"/>
  <c r="J104" i="101"/>
  <c r="AC104" i="101" s="1"/>
  <c r="N104" i="101"/>
  <c r="AG104" i="101" s="1"/>
  <c r="R104" i="101"/>
  <c r="AK104" i="101" s="1"/>
  <c r="D108" i="101"/>
  <c r="H108" i="101"/>
  <c r="L108" i="101"/>
  <c r="P108" i="101"/>
  <c r="D109" i="101"/>
  <c r="H109" i="101"/>
  <c r="L109" i="101"/>
  <c r="P109" i="101"/>
  <c r="D110" i="101"/>
  <c r="H110" i="101"/>
  <c r="L110" i="101"/>
  <c r="P110" i="101"/>
  <c r="D111" i="101"/>
  <c r="W111" i="101" s="1"/>
  <c r="H111" i="101"/>
  <c r="AA111" i="101" s="1"/>
  <c r="L111" i="101"/>
  <c r="AE111" i="101" s="1"/>
  <c r="P111" i="101"/>
  <c r="AI111" i="101" s="1"/>
  <c r="F115" i="101"/>
  <c r="J115" i="101"/>
  <c r="N115" i="101"/>
  <c r="R115" i="101"/>
  <c r="F116" i="101"/>
  <c r="J116" i="101"/>
  <c r="N116" i="101"/>
  <c r="R116" i="101"/>
  <c r="F117" i="101"/>
  <c r="J117" i="101"/>
  <c r="N117" i="101"/>
  <c r="R117" i="101"/>
  <c r="F118" i="101"/>
  <c r="Y118" i="101" s="1"/>
  <c r="J118" i="101"/>
  <c r="AC118" i="101" s="1"/>
  <c r="N118" i="101"/>
  <c r="AG118" i="101" s="1"/>
  <c r="R118" i="101"/>
  <c r="AK118" i="101" s="1"/>
  <c r="D122" i="101"/>
  <c r="H122" i="101"/>
  <c r="L122" i="101"/>
  <c r="P122" i="101"/>
  <c r="D123" i="101"/>
  <c r="H123" i="101"/>
  <c r="L123" i="101"/>
  <c r="P123" i="101"/>
  <c r="D124" i="101"/>
  <c r="H124" i="101"/>
  <c r="L124" i="101"/>
  <c r="P124" i="101"/>
  <c r="D125" i="101"/>
  <c r="W125" i="101" s="1"/>
  <c r="H125" i="101"/>
  <c r="AA125" i="101" s="1"/>
  <c r="L125" i="101"/>
  <c r="AE125" i="101" s="1"/>
  <c r="P125" i="101"/>
  <c r="AI125" i="101" s="1"/>
  <c r="F88" i="98"/>
  <c r="F95" i="98" s="1"/>
  <c r="J88" i="98"/>
  <c r="J95" i="98" s="1"/>
  <c r="N88" i="98"/>
  <c r="N95" i="98" s="1"/>
  <c r="R88" i="98"/>
  <c r="R95" i="98" s="1"/>
  <c r="E89" i="98"/>
  <c r="I89" i="98"/>
  <c r="M89" i="98"/>
  <c r="Q89" i="98"/>
  <c r="D90" i="98"/>
  <c r="D97" i="98" s="1"/>
  <c r="H90" i="98"/>
  <c r="H97" i="98" s="1"/>
  <c r="L90" i="98"/>
  <c r="L97" i="98" s="1"/>
  <c r="P90" i="98"/>
  <c r="P97" i="98" s="1"/>
  <c r="C91" i="98"/>
  <c r="G91" i="98"/>
  <c r="K91" i="98"/>
  <c r="O91" i="98"/>
  <c r="S91" i="98"/>
  <c r="E125" i="98"/>
  <c r="I125" i="98"/>
  <c r="M125" i="98"/>
  <c r="Q125" i="98"/>
  <c r="E126" i="98"/>
  <c r="I126" i="98"/>
  <c r="M126" i="98"/>
  <c r="Q126" i="98"/>
  <c r="E127" i="98"/>
  <c r="I127" i="98"/>
  <c r="M127" i="98"/>
  <c r="Q127" i="98"/>
  <c r="E128" i="98"/>
  <c r="X128" i="98" s="1"/>
  <c r="I128" i="98"/>
  <c r="AB128" i="98" s="1"/>
  <c r="M128" i="98"/>
  <c r="AF128" i="98" s="1"/>
  <c r="Q128" i="98"/>
  <c r="AJ128" i="98" s="1"/>
  <c r="AB127" i="100"/>
  <c r="AB128" i="100"/>
  <c r="AB130" i="100"/>
  <c r="AF127" i="100"/>
  <c r="AF130" i="100"/>
  <c r="AF128" i="100"/>
  <c r="AJ127" i="100"/>
  <c r="AJ128" i="100"/>
  <c r="AJ130" i="100"/>
  <c r="AN127" i="100"/>
  <c r="AN130" i="100"/>
  <c r="AN128" i="100"/>
  <c r="AH54" i="100"/>
  <c r="AL54" i="100"/>
  <c r="Z55" i="100"/>
  <c r="AD55" i="100"/>
  <c r="AH55" i="100"/>
  <c r="AL55" i="100"/>
  <c r="AB56" i="100"/>
  <c r="AF56" i="100"/>
  <c r="AJ56" i="100"/>
  <c r="AN56" i="100"/>
  <c r="AB58" i="100"/>
  <c r="AF58" i="100"/>
  <c r="AJ58" i="100"/>
  <c r="AN58" i="100"/>
  <c r="Z59" i="100"/>
  <c r="AD59" i="100"/>
  <c r="AH59" i="100"/>
  <c r="AL59" i="100"/>
  <c r="AB60" i="100"/>
  <c r="AF60" i="100"/>
  <c r="AJ60" i="100"/>
  <c r="AN60" i="100"/>
  <c r="Z61" i="100"/>
  <c r="AD61" i="100"/>
  <c r="AH61" i="100"/>
  <c r="AL61" i="100"/>
  <c r="Z63" i="100"/>
  <c r="AD63" i="100"/>
  <c r="AH63" i="100"/>
  <c r="AL63" i="100"/>
  <c r="AB64" i="100"/>
  <c r="AF64" i="100"/>
  <c r="AJ64" i="100"/>
  <c r="AN64" i="100"/>
  <c r="Z65" i="100"/>
  <c r="AD65" i="100"/>
  <c r="AH65" i="100"/>
  <c r="AL65" i="100"/>
  <c r="AB66" i="100"/>
  <c r="AF66" i="100"/>
  <c r="AJ66" i="100"/>
  <c r="AN66" i="100"/>
  <c r="AB68" i="100"/>
  <c r="AF68" i="100"/>
  <c r="AJ68" i="100"/>
  <c r="AN68" i="100"/>
  <c r="Z69" i="100"/>
  <c r="AD69" i="100"/>
  <c r="AH69" i="100"/>
  <c r="AL69" i="100"/>
  <c r="AB70" i="100"/>
  <c r="AF70" i="100"/>
  <c r="AJ70" i="100"/>
  <c r="AN70" i="100"/>
  <c r="Z71" i="100"/>
  <c r="AD71" i="100"/>
  <c r="AH71" i="100"/>
  <c r="AL71" i="100"/>
  <c r="AB81" i="100"/>
  <c r="AF81" i="100"/>
  <c r="AJ81" i="100"/>
  <c r="AN81" i="100"/>
  <c r="AB77" i="100"/>
  <c r="AJ77" i="100"/>
  <c r="AE78" i="100"/>
  <c r="AM78" i="100"/>
  <c r="Z79" i="100"/>
  <c r="AH79" i="100"/>
  <c r="AA80" i="100"/>
  <c r="AE80" i="100"/>
  <c r="AI80" i="100"/>
  <c r="AM80" i="100"/>
  <c r="AG80" i="100"/>
  <c r="AL81" i="100"/>
  <c r="AD84" i="100"/>
  <c r="AM85" i="100"/>
  <c r="AF86" i="100"/>
  <c r="Z87" i="100"/>
  <c r="AA90" i="100"/>
  <c r="AE90" i="100"/>
  <c r="AI90" i="100"/>
  <c r="AM90" i="100"/>
  <c r="AG90" i="100"/>
  <c r="AL91" i="100"/>
  <c r="AA94" i="100"/>
  <c r="Y96" i="100"/>
  <c r="AA96" i="100"/>
  <c r="H14" i="82"/>
  <c r="G14" i="82" s="1"/>
  <c r="F14" i="82" s="1"/>
  <c r="H13" i="82"/>
  <c r="G13" i="82" s="1"/>
  <c r="F13" i="82" s="1"/>
  <c r="H7" i="82"/>
  <c r="G7" i="82" s="1"/>
  <c r="F7" i="82" s="1"/>
  <c r="H6" i="82"/>
  <c r="G6" i="82" s="1"/>
  <c r="F6" i="82" s="1"/>
  <c r="H12" i="82"/>
  <c r="G12" i="82" s="1"/>
  <c r="F12" i="82" s="1"/>
  <c r="H15" i="82"/>
  <c r="G15" i="82" s="1"/>
  <c r="F15" i="82" s="1"/>
  <c r="H9" i="82"/>
  <c r="G9" i="82" s="1"/>
  <c r="F9" i="82" s="1"/>
  <c r="H8" i="82"/>
  <c r="G8" i="82" s="1"/>
  <c r="F8" i="82" s="1"/>
  <c r="H10" i="82"/>
  <c r="G10" i="82" s="1"/>
  <c r="F10" i="82" s="1"/>
  <c r="H11" i="82"/>
  <c r="G11" i="82" s="1"/>
  <c r="F11" i="82" s="1"/>
  <c r="C19" i="87"/>
  <c r="B19" i="87" s="1"/>
  <c r="C15" i="87"/>
  <c r="B15" i="87" s="1"/>
  <c r="C11" i="87"/>
  <c r="B11" i="87" s="1"/>
  <c r="C7" i="87"/>
  <c r="B7" i="87" s="1"/>
  <c r="C18" i="87"/>
  <c r="B18" i="87" s="1"/>
  <c r="C14" i="87"/>
  <c r="B14" i="87" s="1"/>
  <c r="C10" i="87"/>
  <c r="B10" i="87" s="1"/>
  <c r="C6" i="87"/>
  <c r="C17" i="87"/>
  <c r="B17" i="87" s="1"/>
  <c r="C13" i="87"/>
  <c r="B13" i="87" s="1"/>
  <c r="C9" i="87"/>
  <c r="B9" i="87" s="1"/>
  <c r="C20" i="87"/>
  <c r="B20" i="87" s="1"/>
  <c r="C16" i="87"/>
  <c r="B16" i="87" s="1"/>
  <c r="C12" i="87"/>
  <c r="B12" i="87" s="1"/>
  <c r="C8" i="87"/>
  <c r="B8" i="87" s="1"/>
  <c r="F87" i="101"/>
  <c r="F94" i="101" s="1"/>
  <c r="J87" i="101"/>
  <c r="J94" i="101" s="1"/>
  <c r="N87" i="101"/>
  <c r="N94" i="101" s="1"/>
  <c r="R87" i="101"/>
  <c r="R94" i="101" s="1"/>
  <c r="E88" i="101"/>
  <c r="E95" i="101" s="1"/>
  <c r="I88" i="101"/>
  <c r="I95" i="101" s="1"/>
  <c r="M88" i="101"/>
  <c r="M95" i="101" s="1"/>
  <c r="Q88" i="101"/>
  <c r="Q95" i="101" s="1"/>
  <c r="D89" i="101"/>
  <c r="D96" i="101" s="1"/>
  <c r="H89" i="101"/>
  <c r="H96" i="101" s="1"/>
  <c r="L89" i="101"/>
  <c r="L96" i="101" s="1"/>
  <c r="P89" i="101"/>
  <c r="P96" i="101" s="1"/>
  <c r="C90" i="101"/>
  <c r="C97" i="101" s="1"/>
  <c r="G90" i="101"/>
  <c r="G97" i="101" s="1"/>
  <c r="K90" i="101"/>
  <c r="K97" i="101" s="1"/>
  <c r="O90" i="101"/>
  <c r="O97" i="101" s="1"/>
  <c r="C101" i="101"/>
  <c r="G101" i="101"/>
  <c r="K101" i="101"/>
  <c r="O101" i="101"/>
  <c r="C102" i="101"/>
  <c r="G102" i="101"/>
  <c r="K102" i="101"/>
  <c r="O102" i="101"/>
  <c r="C103" i="101"/>
  <c r="G103" i="101"/>
  <c r="K103" i="101"/>
  <c r="O103" i="101"/>
  <c r="C104" i="101"/>
  <c r="V104" i="101" s="1"/>
  <c r="G104" i="101"/>
  <c r="Z104" i="101" s="1"/>
  <c r="K104" i="101"/>
  <c r="AD104" i="101" s="1"/>
  <c r="O104" i="101"/>
  <c r="AH104" i="101" s="1"/>
  <c r="E108" i="101"/>
  <c r="I108" i="101"/>
  <c r="M108" i="101"/>
  <c r="Q108" i="101"/>
  <c r="E109" i="101"/>
  <c r="I109" i="101"/>
  <c r="M109" i="101"/>
  <c r="Q109" i="101"/>
  <c r="E110" i="101"/>
  <c r="I110" i="101"/>
  <c r="M110" i="101"/>
  <c r="Q110" i="101"/>
  <c r="E111" i="101"/>
  <c r="X111" i="101" s="1"/>
  <c r="I111" i="101"/>
  <c r="AB111" i="101" s="1"/>
  <c r="M111" i="101"/>
  <c r="AF111" i="101" s="1"/>
  <c r="Q111" i="101"/>
  <c r="AJ111" i="101" s="1"/>
  <c r="C115" i="101"/>
  <c r="G115" i="101"/>
  <c r="K115" i="101"/>
  <c r="O115" i="101"/>
  <c r="C116" i="101"/>
  <c r="G116" i="101"/>
  <c r="K116" i="101"/>
  <c r="O116" i="101"/>
  <c r="C117" i="101"/>
  <c r="G117" i="101"/>
  <c r="K117" i="101"/>
  <c r="O117" i="101"/>
  <c r="C118" i="101"/>
  <c r="V118" i="101" s="1"/>
  <c r="G118" i="101"/>
  <c r="Z118" i="101" s="1"/>
  <c r="K118" i="101"/>
  <c r="AD118" i="101" s="1"/>
  <c r="O118" i="101"/>
  <c r="AH118" i="101" s="1"/>
  <c r="E122" i="101"/>
  <c r="I122" i="101"/>
  <c r="M122" i="101"/>
  <c r="Q122" i="101"/>
  <c r="E123" i="101"/>
  <c r="I123" i="101"/>
  <c r="M123" i="101"/>
  <c r="Q123" i="101"/>
  <c r="AJ123" i="101" s="1"/>
  <c r="E124" i="101"/>
  <c r="X124" i="101" s="1"/>
  <c r="I124" i="101"/>
  <c r="M124" i="101"/>
  <c r="E125" i="101"/>
  <c r="I125" i="101"/>
  <c r="AB125" i="101" s="1"/>
  <c r="M125" i="101"/>
  <c r="AF125" i="101" s="1"/>
  <c r="Q125" i="101"/>
  <c r="H15" i="114"/>
  <c r="H17" i="114" s="1"/>
  <c r="Y128" i="100"/>
  <c r="Y127" i="100"/>
  <c r="AC128" i="100"/>
  <c r="AC127" i="100"/>
  <c r="AG128" i="100"/>
  <c r="AG127" i="100"/>
  <c r="AG131" i="100"/>
  <c r="AK128" i="100"/>
  <c r="AK127" i="100"/>
  <c r="AO128" i="100"/>
  <c r="AO127" i="100"/>
  <c r="AO131" i="100"/>
  <c r="AB13" i="100"/>
  <c r="AF13" i="100"/>
  <c r="AJ13" i="100"/>
  <c r="AN13" i="100"/>
  <c r="AE52" i="100"/>
  <c r="AC53" i="100"/>
  <c r="AI53" i="100"/>
  <c r="AA55" i="100"/>
  <c r="AI55" i="100"/>
  <c r="AE56" i="100"/>
  <c r="AM56" i="100"/>
  <c r="AB79" i="100"/>
  <c r="AJ79" i="100"/>
  <c r="Z81" i="100"/>
  <c r="Y82" i="100"/>
  <c r="Y84" i="100"/>
  <c r="AC82" i="100"/>
  <c r="AC84" i="100"/>
  <c r="AG82" i="100"/>
  <c r="AG84" i="100"/>
  <c r="AK82" i="100"/>
  <c r="AK84" i="100"/>
  <c r="AO82" i="100"/>
  <c r="AO84" i="100"/>
  <c r="AC83" i="100"/>
  <c r="AA84" i="100"/>
  <c r="AE84" i="100"/>
  <c r="AI84" i="100"/>
  <c r="AM84" i="100"/>
  <c r="AH84" i="100"/>
  <c r="Z85" i="100"/>
  <c r="AB85" i="100"/>
  <c r="AD85" i="100"/>
  <c r="AF85" i="100"/>
  <c r="AH85" i="100"/>
  <c r="AJ85" i="100"/>
  <c r="AL85" i="100"/>
  <c r="AA85" i="100"/>
  <c r="Y86" i="100"/>
  <c r="AA86" i="100"/>
  <c r="AC86" i="100"/>
  <c r="AE86" i="100"/>
  <c r="AG86" i="100"/>
  <c r="AI86" i="100"/>
  <c r="AK86" i="100"/>
  <c r="AM86" i="100"/>
  <c r="AO86" i="100"/>
  <c r="AJ86" i="100"/>
  <c r="AB91" i="100"/>
  <c r="AB87" i="100"/>
  <c r="AF91" i="100"/>
  <c r="AF87" i="100"/>
  <c r="AJ91" i="100"/>
  <c r="AJ87" i="100"/>
  <c r="AN91" i="100"/>
  <c r="AN87" i="100"/>
  <c r="AD87" i="100"/>
  <c r="AF89" i="100"/>
  <c r="AK90" i="100"/>
  <c r="Z91" i="100"/>
  <c r="Y92" i="100"/>
  <c r="Y93" i="100"/>
  <c r="Y94" i="100"/>
  <c r="H15" i="101"/>
  <c r="H17" i="101" s="1"/>
  <c r="S2" i="79"/>
  <c r="G22" i="87"/>
  <c r="G17" i="87"/>
  <c r="G13" i="87"/>
  <c r="G9" i="87"/>
  <c r="G20" i="87"/>
  <c r="G16" i="87"/>
  <c r="G12" i="87"/>
  <c r="G8" i="87"/>
  <c r="G19" i="87"/>
  <c r="G15" i="87"/>
  <c r="G11" i="87"/>
  <c r="G7" i="87"/>
  <c r="G18" i="87"/>
  <c r="G14" i="87"/>
  <c r="G10" i="87"/>
  <c r="G6" i="87"/>
  <c r="D88" i="98"/>
  <c r="D95" i="98" s="1"/>
  <c r="H88" i="98"/>
  <c r="H95" i="98" s="1"/>
  <c r="L88" i="98"/>
  <c r="L95" i="98" s="1"/>
  <c r="P88" i="98"/>
  <c r="P95" i="98" s="1"/>
  <c r="C89" i="98"/>
  <c r="C96" i="98" s="1"/>
  <c r="G89" i="98"/>
  <c r="K89" i="98"/>
  <c r="O89" i="98"/>
  <c r="O96" i="98" s="1"/>
  <c r="S89" i="98"/>
  <c r="R96" i="98" s="1"/>
  <c r="F90" i="98"/>
  <c r="F97" i="98" s="1"/>
  <c r="J90" i="98"/>
  <c r="J97" i="98" s="1"/>
  <c r="N90" i="98"/>
  <c r="N97" i="98" s="1"/>
  <c r="R90" i="98"/>
  <c r="R97" i="98" s="1"/>
  <c r="E91" i="98"/>
  <c r="I91" i="98"/>
  <c r="I98" i="98" s="1"/>
  <c r="M91" i="98"/>
  <c r="M98" i="98" s="1"/>
  <c r="E104" i="98"/>
  <c r="I104" i="98"/>
  <c r="M104" i="98"/>
  <c r="Q104" i="98"/>
  <c r="E105" i="98"/>
  <c r="I105" i="98"/>
  <c r="M105" i="98"/>
  <c r="Q105" i="98"/>
  <c r="E106" i="98"/>
  <c r="I106" i="98"/>
  <c r="M106" i="98"/>
  <c r="Q106" i="98"/>
  <c r="E107" i="98"/>
  <c r="X107" i="98" s="1"/>
  <c r="I107" i="98"/>
  <c r="AB107" i="98" s="1"/>
  <c r="M107" i="98"/>
  <c r="AF107" i="98" s="1"/>
  <c r="Q107" i="98"/>
  <c r="AJ107" i="98" s="1"/>
  <c r="C111" i="98"/>
  <c r="G111" i="98"/>
  <c r="K111" i="98"/>
  <c r="O111" i="98"/>
  <c r="C112" i="98"/>
  <c r="G112" i="98"/>
  <c r="K112" i="98"/>
  <c r="O112" i="98"/>
  <c r="C113" i="98"/>
  <c r="G113" i="98"/>
  <c r="K113" i="98"/>
  <c r="O113" i="98"/>
  <c r="C114" i="98"/>
  <c r="V114" i="98" s="1"/>
  <c r="G114" i="98"/>
  <c r="Z114" i="98" s="1"/>
  <c r="K114" i="98"/>
  <c r="AD114" i="98" s="1"/>
  <c r="O114" i="98"/>
  <c r="AH114" i="98" s="1"/>
  <c r="E118" i="98"/>
  <c r="I118" i="98"/>
  <c r="M118" i="98"/>
  <c r="Q118" i="98"/>
  <c r="E119" i="98"/>
  <c r="I119" i="98"/>
  <c r="M119" i="98"/>
  <c r="Q119" i="98"/>
  <c r="E120" i="98"/>
  <c r="I120" i="98"/>
  <c r="M120" i="98"/>
  <c r="Q120" i="98"/>
  <c r="AJ120" i="98" s="1"/>
  <c r="E121" i="98"/>
  <c r="X121" i="98" s="1"/>
  <c r="I121" i="98"/>
  <c r="AB121" i="98" s="1"/>
  <c r="M121" i="98"/>
  <c r="AF121" i="98" s="1"/>
  <c r="C125" i="98"/>
  <c r="G125" i="98"/>
  <c r="K125" i="98"/>
  <c r="O125" i="98"/>
  <c r="C126" i="98"/>
  <c r="G126" i="98"/>
  <c r="K126" i="98"/>
  <c r="O126" i="98"/>
  <c r="C127" i="98"/>
  <c r="G127" i="98"/>
  <c r="K127" i="98"/>
  <c r="O127" i="98"/>
  <c r="AH127" i="98" s="1"/>
  <c r="C128" i="98"/>
  <c r="V128" i="98" s="1"/>
  <c r="G128" i="98"/>
  <c r="Z128" i="98" s="1"/>
  <c r="K128" i="98"/>
  <c r="AD128" i="98" s="1"/>
  <c r="Z130" i="100"/>
  <c r="Z128" i="100"/>
  <c r="AD130" i="100"/>
  <c r="AD128" i="100"/>
  <c r="AH130" i="100"/>
  <c r="AH128" i="100"/>
  <c r="AL130" i="100"/>
  <c r="AL128" i="100"/>
  <c r="AB50" i="100"/>
  <c r="AF50" i="100"/>
  <c r="AJ50" i="100"/>
  <c r="AN50" i="100"/>
  <c r="AL50" i="100"/>
  <c r="Z51" i="100"/>
  <c r="AD51" i="100"/>
  <c r="AH51" i="100"/>
  <c r="AL51" i="100"/>
  <c r="Z53" i="100"/>
  <c r="AD53" i="100"/>
  <c r="AH53" i="100"/>
  <c r="AL53" i="100"/>
  <c r="AB54" i="100"/>
  <c r="AF54" i="100"/>
  <c r="AJ54" i="100"/>
  <c r="AN54" i="100"/>
  <c r="AB55" i="100"/>
  <c r="AF55" i="100"/>
  <c r="AJ55" i="100"/>
  <c r="AN55" i="100"/>
  <c r="Z56" i="100"/>
  <c r="AD56" i="100"/>
  <c r="AH56" i="100"/>
  <c r="AL56" i="100"/>
  <c r="Z58" i="100"/>
  <c r="AD58" i="100"/>
  <c r="AH58" i="100"/>
  <c r="AL58" i="100"/>
  <c r="AB59" i="100"/>
  <c r="AF59" i="100"/>
  <c r="AJ59" i="100"/>
  <c r="AN59" i="100"/>
  <c r="Z60" i="100"/>
  <c r="AD60" i="100"/>
  <c r="AH60" i="100"/>
  <c r="AL60" i="100"/>
  <c r="AB61" i="100"/>
  <c r="AF61" i="100"/>
  <c r="AJ61" i="100"/>
  <c r="AN61" i="100"/>
  <c r="AB63" i="100"/>
  <c r="AF63" i="100"/>
  <c r="AJ63" i="100"/>
  <c r="AN63" i="100"/>
  <c r="Z64" i="100"/>
  <c r="AD64" i="100"/>
  <c r="AH64" i="100"/>
  <c r="AL64" i="100"/>
  <c r="AB65" i="100"/>
  <c r="AF65" i="100"/>
  <c r="AJ65" i="100"/>
  <c r="AN65" i="100"/>
  <c r="Z66" i="100"/>
  <c r="AD66" i="100"/>
  <c r="AH66" i="100"/>
  <c r="AL66" i="100"/>
  <c r="Z68" i="100"/>
  <c r="AD68" i="100"/>
  <c r="AH68" i="100"/>
  <c r="AL68" i="100"/>
  <c r="AB69" i="100"/>
  <c r="AF69" i="100"/>
  <c r="AJ69" i="100"/>
  <c r="AN69" i="100"/>
  <c r="Z70" i="100"/>
  <c r="AD70" i="100"/>
  <c r="AH70" i="100"/>
  <c r="AL70" i="100"/>
  <c r="AB71" i="100"/>
  <c r="AF71" i="100"/>
  <c r="AJ71" i="100"/>
  <c r="AN71" i="100"/>
  <c r="Y81" i="100"/>
  <c r="Y77" i="100"/>
  <c r="AC81" i="100"/>
  <c r="AC77" i="100"/>
  <c r="AG81" i="100"/>
  <c r="AG77" i="100"/>
  <c r="AK81" i="100"/>
  <c r="AK77" i="100"/>
  <c r="AO81" i="100"/>
  <c r="AO77" i="100"/>
  <c r="AF77" i="100"/>
  <c r="AN77" i="100"/>
  <c r="AA78" i="100"/>
  <c r="AI78" i="100"/>
  <c r="Y79" i="100"/>
  <c r="AA79" i="100"/>
  <c r="AC79" i="100"/>
  <c r="AE79" i="100"/>
  <c r="AG79" i="100"/>
  <c r="AI79" i="100"/>
  <c r="AK79" i="100"/>
  <c r="AM79" i="100"/>
  <c r="AO79" i="100"/>
  <c r="AD79" i="100"/>
  <c r="Z80" i="100"/>
  <c r="AB80" i="100"/>
  <c r="AD80" i="100"/>
  <c r="AF80" i="100"/>
  <c r="AH80" i="100"/>
  <c r="AJ80" i="100"/>
  <c r="AL80" i="100"/>
  <c r="AN80" i="100"/>
  <c r="AO80" i="100"/>
  <c r="AB82" i="100"/>
  <c r="AA83" i="100"/>
  <c r="AE83" i="100"/>
  <c r="AI83" i="100"/>
  <c r="AM83" i="100"/>
  <c r="AG83" i="100"/>
  <c r="AL84" i="100"/>
  <c r="AE85" i="100"/>
  <c r="AN86" i="100"/>
  <c r="Z88" i="100"/>
  <c r="AB88" i="100"/>
  <c r="AD88" i="100"/>
  <c r="Y89" i="100"/>
  <c r="AA89" i="100"/>
  <c r="Z90" i="100"/>
  <c r="AB90" i="100"/>
  <c r="AD90" i="100"/>
  <c r="AF90" i="100"/>
  <c r="AH90" i="100"/>
  <c r="AJ90" i="100"/>
  <c r="AL90" i="100"/>
  <c r="AN90" i="100"/>
  <c r="Y90" i="100"/>
  <c r="AO90" i="100"/>
  <c r="AD91" i="100"/>
  <c r="AA93" i="100"/>
  <c r="Y95" i="100"/>
  <c r="AA95" i="100"/>
  <c r="E101" i="101"/>
  <c r="I101" i="101"/>
  <c r="M101" i="101"/>
  <c r="Q101" i="101"/>
  <c r="E102" i="101"/>
  <c r="I102" i="101"/>
  <c r="M102" i="101"/>
  <c r="Q102" i="101"/>
  <c r="E103" i="101"/>
  <c r="I103" i="101"/>
  <c r="M103" i="101"/>
  <c r="Q103" i="101"/>
  <c r="E104" i="101"/>
  <c r="X104" i="101" s="1"/>
  <c r="I104" i="101"/>
  <c r="AB104" i="101" s="1"/>
  <c r="M104" i="101"/>
  <c r="AF104" i="101" s="1"/>
  <c r="Q104" i="101"/>
  <c r="AJ104" i="101" s="1"/>
  <c r="C108" i="101"/>
  <c r="G108" i="101"/>
  <c r="K108" i="101"/>
  <c r="O108" i="101"/>
  <c r="C109" i="101"/>
  <c r="G109" i="101"/>
  <c r="K109" i="101"/>
  <c r="O109" i="101"/>
  <c r="C110" i="101"/>
  <c r="G110" i="101"/>
  <c r="K110" i="101"/>
  <c r="O110" i="101"/>
  <c r="C111" i="101"/>
  <c r="V111" i="101" s="1"/>
  <c r="G111" i="101"/>
  <c r="Z111" i="101" s="1"/>
  <c r="K111" i="101"/>
  <c r="AD111" i="101" s="1"/>
  <c r="O111" i="101"/>
  <c r="AH111" i="101" s="1"/>
  <c r="E115" i="101"/>
  <c r="I115" i="101"/>
  <c r="M115" i="101"/>
  <c r="Q115" i="101"/>
  <c r="E116" i="101"/>
  <c r="I116" i="101"/>
  <c r="M116" i="101"/>
  <c r="Q116" i="101"/>
  <c r="E117" i="101"/>
  <c r="I117" i="101"/>
  <c r="M117" i="101"/>
  <c r="Q117" i="101"/>
  <c r="E118" i="101"/>
  <c r="X118" i="101" s="1"/>
  <c r="I118" i="101"/>
  <c r="AB118" i="101" s="1"/>
  <c r="M118" i="101"/>
  <c r="AF118" i="101" s="1"/>
  <c r="Q118" i="101"/>
  <c r="AJ118" i="101" s="1"/>
  <c r="C125" i="101"/>
  <c r="V125" i="101" s="1"/>
  <c r="G125" i="101"/>
  <c r="Z125" i="101" s="1"/>
  <c r="K125" i="101"/>
  <c r="AD125" i="101" s="1"/>
  <c r="AA131" i="100"/>
  <c r="AA127" i="100"/>
  <c r="AE127" i="100"/>
  <c r="AI131" i="100"/>
  <c r="AI127" i="100"/>
  <c r="AM127" i="100"/>
  <c r="Z13" i="100"/>
  <c r="AD13" i="100"/>
  <c r="AH13" i="100"/>
  <c r="AL13" i="100"/>
  <c r="AC52" i="100"/>
  <c r="AM52" i="100"/>
  <c r="AA53" i="100"/>
  <c r="AH77" i="100"/>
  <c r="AF79" i="100"/>
  <c r="AN79" i="100"/>
  <c r="AA81" i="100"/>
  <c r="AE81" i="100"/>
  <c r="AI81" i="100"/>
  <c r="AM81" i="100"/>
  <c r="Z86" i="100"/>
  <c r="AB84" i="100"/>
  <c r="AD86" i="100"/>
  <c r="AF84" i="100"/>
  <c r="AH86" i="100"/>
  <c r="AJ84" i="100"/>
  <c r="AL86" i="100"/>
  <c r="AN84" i="100"/>
  <c r="AF82" i="100"/>
  <c r="AK83" i="100"/>
  <c r="Z84" i="100"/>
  <c r="Y85" i="100"/>
  <c r="AC85" i="100"/>
  <c r="AG85" i="100"/>
  <c r="AK85" i="100"/>
  <c r="AO85" i="100"/>
  <c r="AB86" i="100"/>
  <c r="Y91" i="100"/>
  <c r="AA87" i="100"/>
  <c r="AC91" i="100"/>
  <c r="AE87" i="100"/>
  <c r="AG91" i="100"/>
  <c r="AI87" i="100"/>
  <c r="AK91" i="100"/>
  <c r="AM87" i="100"/>
  <c r="AO91" i="100"/>
  <c r="AL87" i="100"/>
  <c r="AN89" i="100"/>
  <c r="AC90" i="100"/>
  <c r="AA91" i="100"/>
  <c r="AE91" i="100"/>
  <c r="AI91" i="100"/>
  <c r="AM91" i="100"/>
  <c r="AH91" i="100"/>
  <c r="Y129" i="100"/>
  <c r="AA129" i="100"/>
  <c r="AC129" i="100"/>
  <c r="AE129" i="100"/>
  <c r="AG129" i="100"/>
  <c r="AI129" i="100"/>
  <c r="AK129" i="100"/>
  <c r="AM129" i="100"/>
  <c r="AO129" i="100"/>
  <c r="Y131" i="100"/>
  <c r="AC131" i="100"/>
  <c r="AE131" i="100"/>
  <c r="AK131" i="100"/>
  <c r="AM131" i="100"/>
  <c r="Z82" i="100"/>
  <c r="AD82" i="100"/>
  <c r="AH82" i="100"/>
  <c r="AL82" i="100"/>
  <c r="Z92" i="100"/>
  <c r="AD92" i="100"/>
  <c r="AH92" i="100"/>
  <c r="AL92" i="100"/>
  <c r="AB97" i="100"/>
  <c r="AF97" i="100"/>
  <c r="AJ97" i="100"/>
  <c r="AN97" i="100"/>
  <c r="Y98" i="100"/>
  <c r="AC98" i="100"/>
  <c r="AG98" i="100"/>
  <c r="AK98" i="100"/>
  <c r="AO98" i="100"/>
  <c r="Z99" i="100"/>
  <c r="AD99" i="100"/>
  <c r="AH99" i="100"/>
  <c r="AL99" i="100"/>
  <c r="AB101" i="100"/>
  <c r="AF101" i="100"/>
  <c r="AJ101" i="100"/>
  <c r="AN101" i="100"/>
  <c r="Z102" i="100"/>
  <c r="AD102" i="100"/>
  <c r="AH102" i="100"/>
  <c r="AL102" i="100"/>
  <c r="AH106" i="100"/>
  <c r="AL106" i="100"/>
  <c r="AB107" i="100"/>
  <c r="AF107" i="100"/>
  <c r="AJ107" i="100"/>
  <c r="AN107" i="100"/>
  <c r="AC108" i="100"/>
  <c r="AG108" i="100"/>
  <c r="AK108" i="100"/>
  <c r="AO108" i="100"/>
  <c r="Z109" i="100"/>
  <c r="AD109" i="100"/>
  <c r="AH109" i="100"/>
  <c r="AL109" i="100"/>
  <c r="AE110" i="100"/>
  <c r="Z111" i="100"/>
  <c r="AF111" i="100"/>
  <c r="Y112" i="100"/>
  <c r="AC112" i="100"/>
  <c r="AG112" i="100"/>
  <c r="AK112" i="100"/>
  <c r="AO112" i="100"/>
  <c r="AD112" i="100"/>
  <c r="AN112" i="100"/>
  <c r="AA114" i="100"/>
  <c r="AE114" i="100"/>
  <c r="AI114" i="100"/>
  <c r="AM114" i="100"/>
  <c r="AG114" i="100"/>
  <c r="AC115" i="100"/>
  <c r="Z116" i="100"/>
  <c r="AE116" i="100"/>
  <c r="AJ116" i="100"/>
  <c r="AA117" i="100"/>
  <c r="AE117" i="100"/>
  <c r="AI117" i="100"/>
  <c r="AM117" i="100"/>
  <c r="AC117" i="100"/>
  <c r="AH117" i="100"/>
  <c r="AN117" i="100"/>
  <c r="AB118" i="100"/>
  <c r="AF118" i="100"/>
  <c r="AJ118" i="100"/>
  <c r="AN118" i="100"/>
  <c r="Y118" i="100"/>
  <c r="AI118" i="100"/>
  <c r="AO118" i="100"/>
  <c r="AF119" i="100"/>
  <c r="AL119" i="100"/>
  <c r="AO121" i="100"/>
  <c r="Z122" i="100"/>
  <c r="Y123" i="100"/>
  <c r="AA123" i="100"/>
  <c r="AC123" i="100"/>
  <c r="AE123" i="100"/>
  <c r="AG123" i="100"/>
  <c r="AI123" i="100"/>
  <c r="AK123" i="100"/>
  <c r="AM123" i="100"/>
  <c r="AO123" i="100"/>
  <c r="AD123" i="100"/>
  <c r="Z124" i="100"/>
  <c r="AB124" i="100"/>
  <c r="AD124" i="100"/>
  <c r="AF124" i="100"/>
  <c r="AH124" i="100"/>
  <c r="AJ124" i="100"/>
  <c r="AL124" i="100"/>
  <c r="AN124" i="100"/>
  <c r="AB125" i="100"/>
  <c r="AJ125" i="100"/>
  <c r="Z127" i="100"/>
  <c r="AD127" i="100"/>
  <c r="AH127" i="100"/>
  <c r="AL127" i="100"/>
  <c r="AA128" i="100"/>
  <c r="AE128" i="100"/>
  <c r="AI128" i="100"/>
  <c r="AM128" i="100"/>
  <c r="Z129" i="100"/>
  <c r="AB129" i="100"/>
  <c r="AD129" i="100"/>
  <c r="AF129" i="100"/>
  <c r="AH129" i="100"/>
  <c r="AJ129" i="100"/>
  <c r="AL129" i="100"/>
  <c r="AN129" i="100"/>
  <c r="Z132" i="100"/>
  <c r="AB132" i="100"/>
  <c r="AD132" i="100"/>
  <c r="AF132" i="100"/>
  <c r="AH132" i="100"/>
  <c r="AJ132" i="100"/>
  <c r="AL132" i="100"/>
  <c r="AN132" i="100"/>
  <c r="AA132" i="100"/>
  <c r="AI132" i="100"/>
  <c r="Y133" i="100"/>
  <c r="AA133" i="100"/>
  <c r="AC133" i="100"/>
  <c r="AE133" i="100"/>
  <c r="AG133" i="100"/>
  <c r="AI133" i="100"/>
  <c r="AK133" i="100"/>
  <c r="AM133" i="100"/>
  <c r="AO133" i="100"/>
  <c r="AD133" i="100"/>
  <c r="AL133" i="100"/>
  <c r="Z134" i="100"/>
  <c r="AB134" i="100"/>
  <c r="AD134" i="100"/>
  <c r="AF134" i="100"/>
  <c r="AH134" i="100"/>
  <c r="AJ134" i="100"/>
  <c r="AL134" i="100"/>
  <c r="AN134" i="100"/>
  <c r="Y134" i="100"/>
  <c r="AG134" i="100"/>
  <c r="AO134" i="100"/>
  <c r="AB135" i="100"/>
  <c r="AJ135" i="100"/>
  <c r="Z137" i="100"/>
  <c r="AD137" i="100"/>
  <c r="AH137" i="100"/>
  <c r="Z139" i="100"/>
  <c r="AD139" i="100"/>
  <c r="AH139" i="100"/>
  <c r="AB147" i="100"/>
  <c r="AF147" i="100"/>
  <c r="AJ147" i="100"/>
  <c r="AN147" i="100"/>
  <c r="Z148" i="100"/>
  <c r="AD148" i="100"/>
  <c r="AH148" i="100"/>
  <c r="AL148" i="100"/>
  <c r="AB149" i="100"/>
  <c r="AF149" i="100"/>
  <c r="AJ149" i="100"/>
  <c r="AN149" i="100"/>
  <c r="Z150" i="100"/>
  <c r="AD150" i="100"/>
  <c r="AH150" i="100"/>
  <c r="AL150" i="100"/>
  <c r="AB151" i="100"/>
  <c r="AF151" i="100"/>
  <c r="AJ151" i="100"/>
  <c r="AN151" i="100"/>
  <c r="Z152" i="100"/>
  <c r="AD152" i="100"/>
  <c r="AH152" i="100"/>
  <c r="AL152" i="100"/>
  <c r="AB153" i="100"/>
  <c r="AF153" i="100"/>
  <c r="AJ153" i="100"/>
  <c r="AN153" i="100"/>
  <c r="Z154" i="100"/>
  <c r="AD154" i="100"/>
  <c r="AH154" i="100"/>
  <c r="AL154" i="100"/>
  <c r="AB155" i="100"/>
  <c r="AF155" i="100"/>
  <c r="AJ155" i="100"/>
  <c r="AN155" i="100"/>
  <c r="Z156" i="100"/>
  <c r="AD156" i="100"/>
  <c r="AH156" i="100"/>
  <c r="AL156" i="100"/>
  <c r="AB157" i="100"/>
  <c r="AF157" i="100"/>
  <c r="AJ157" i="100"/>
  <c r="AN157" i="100"/>
  <c r="Z158" i="100"/>
  <c r="AD158" i="100"/>
  <c r="AH158" i="100"/>
  <c r="AL158" i="100"/>
  <c r="AB159" i="100"/>
  <c r="AF159" i="100"/>
  <c r="AJ159" i="100"/>
  <c r="AN159" i="100"/>
  <c r="Z160" i="100"/>
  <c r="AD160" i="100"/>
  <c r="AH160" i="100"/>
  <c r="AL160" i="100"/>
  <c r="AB161" i="100"/>
  <c r="AF161" i="100"/>
  <c r="AJ161" i="100"/>
  <c r="AN161" i="100"/>
  <c r="Z162" i="100"/>
  <c r="AD162" i="100"/>
  <c r="AH162" i="100"/>
  <c r="AL162" i="100"/>
  <c r="AB163" i="100"/>
  <c r="AF163" i="100"/>
  <c r="AJ163" i="100"/>
  <c r="AN163" i="100"/>
  <c r="Z164" i="100"/>
  <c r="AD164" i="100"/>
  <c r="AH164" i="100"/>
  <c r="AL164" i="100"/>
  <c r="AB165" i="100"/>
  <c r="AF165" i="100"/>
  <c r="AJ165" i="100"/>
  <c r="AN165" i="100"/>
  <c r="Z166" i="100"/>
  <c r="AD166" i="100"/>
  <c r="AH166" i="100"/>
  <c r="AL166" i="100"/>
  <c r="AB167" i="100"/>
  <c r="AF167" i="100"/>
  <c r="AJ167" i="100"/>
  <c r="AN167" i="100"/>
  <c r="Z168" i="100"/>
  <c r="AD168" i="100"/>
  <c r="AH168" i="100"/>
  <c r="AL168" i="100"/>
  <c r="AB169" i="100"/>
  <c r="AF169" i="100"/>
  <c r="AJ169" i="100"/>
  <c r="AN169" i="100"/>
  <c r="Z170" i="100"/>
  <c r="AD170" i="100"/>
  <c r="AH170" i="100"/>
  <c r="AL170" i="100"/>
  <c r="AB171" i="100"/>
  <c r="AF171" i="100"/>
  <c r="AJ171" i="100"/>
  <c r="AN171" i="100"/>
  <c r="Z172" i="100"/>
  <c r="AD172" i="100"/>
  <c r="AH172" i="100"/>
  <c r="AL172" i="100"/>
  <c r="AB173" i="100"/>
  <c r="AF173" i="100"/>
  <c r="AJ173" i="100"/>
  <c r="AN173" i="100"/>
  <c r="Z174" i="100"/>
  <c r="AD174" i="100"/>
  <c r="AH174" i="100"/>
  <c r="AL174" i="100"/>
  <c r="AB175" i="100"/>
  <c r="AF175" i="100"/>
  <c r="AJ175" i="100"/>
  <c r="AN175" i="100"/>
  <c r="Z176" i="100"/>
  <c r="AD176" i="100"/>
  <c r="AH176" i="100"/>
  <c r="AL176" i="100"/>
  <c r="AD199" i="100"/>
  <c r="AL199" i="100"/>
  <c r="AD201" i="100"/>
  <c r="AH201" i="100"/>
  <c r="AL201" i="100"/>
  <c r="AM206" i="100"/>
  <c r="Y87" i="100"/>
  <c r="AC87" i="100"/>
  <c r="AG87" i="100"/>
  <c r="AK87" i="100"/>
  <c r="AO87" i="100"/>
  <c r="AB93" i="100"/>
  <c r="AF93" i="100"/>
  <c r="AJ93" i="100"/>
  <c r="AN93" i="100"/>
  <c r="AC94" i="100"/>
  <c r="AG94" i="100"/>
  <c r="AK94" i="100"/>
  <c r="AO94" i="100"/>
  <c r="Y97" i="100"/>
  <c r="AC97" i="100"/>
  <c r="AG97" i="100"/>
  <c r="AK97" i="100"/>
  <c r="AO97" i="100"/>
  <c r="AB103" i="100"/>
  <c r="AF103" i="100"/>
  <c r="AJ103" i="100"/>
  <c r="AN103" i="100"/>
  <c r="Y104" i="100"/>
  <c r="AC104" i="100"/>
  <c r="AG104" i="100"/>
  <c r="AK104" i="100"/>
  <c r="AO104" i="100"/>
  <c r="Y107" i="100"/>
  <c r="AG107" i="100"/>
  <c r="Z108" i="100"/>
  <c r="AD108" i="100"/>
  <c r="AH108" i="100"/>
  <c r="AL108" i="100"/>
  <c r="AA111" i="100"/>
  <c r="AE111" i="100"/>
  <c r="AI111" i="100"/>
  <c r="AM111" i="100"/>
  <c r="AB111" i="100"/>
  <c r="AL111" i="100"/>
  <c r="Z112" i="100"/>
  <c r="AB113" i="100"/>
  <c r="AM113" i="100"/>
  <c r="AB115" i="100"/>
  <c r="AF115" i="100"/>
  <c r="AJ115" i="100"/>
  <c r="AN115" i="100"/>
  <c r="Y115" i="100"/>
  <c r="AO115" i="100"/>
  <c r="AF116" i="100"/>
  <c r="AL116" i="100"/>
  <c r="AD117" i="100"/>
  <c r="AJ117" i="100"/>
  <c r="Z118" i="100"/>
  <c r="AK118" i="100"/>
  <c r="Y119" i="100"/>
  <c r="AC119" i="100"/>
  <c r="AG119" i="100"/>
  <c r="AK119" i="100"/>
  <c r="AO119" i="100"/>
  <c r="AB119" i="100"/>
  <c r="AH119" i="100"/>
  <c r="Z120" i="100"/>
  <c r="AD120" i="100"/>
  <c r="AH120" i="100"/>
  <c r="AL120" i="100"/>
  <c r="AE120" i="100"/>
  <c r="Z121" i="100"/>
  <c r="AF121" i="100"/>
  <c r="Y125" i="100"/>
  <c r="AC125" i="100"/>
  <c r="AG125" i="100"/>
  <c r="AK125" i="100"/>
  <c r="AO125" i="100"/>
  <c r="AG122" i="100"/>
  <c r="AF123" i="100"/>
  <c r="AA124" i="100"/>
  <c r="AI124" i="100"/>
  <c r="AA125" i="100"/>
  <c r="AE125" i="100"/>
  <c r="AI125" i="100"/>
  <c r="AM125" i="100"/>
  <c r="AD125" i="100"/>
  <c r="Z126" i="100"/>
  <c r="AB126" i="100"/>
  <c r="AD126" i="100"/>
  <c r="AF126" i="100"/>
  <c r="AH126" i="100"/>
  <c r="AJ126" i="100"/>
  <c r="AL126" i="100"/>
  <c r="AN126" i="100"/>
  <c r="AO126" i="100"/>
  <c r="Y130" i="100"/>
  <c r="AA130" i="100"/>
  <c r="AC130" i="100"/>
  <c r="AE130" i="100"/>
  <c r="AG130" i="100"/>
  <c r="AI130" i="100"/>
  <c r="AK130" i="100"/>
  <c r="AM130" i="100"/>
  <c r="AO130" i="100"/>
  <c r="Z131" i="100"/>
  <c r="AB131" i="100"/>
  <c r="AD131" i="100"/>
  <c r="AF131" i="100"/>
  <c r="AH131" i="100"/>
  <c r="AJ131" i="100"/>
  <c r="AL131" i="100"/>
  <c r="AN131" i="100"/>
  <c r="AC132" i="100"/>
  <c r="AK132" i="100"/>
  <c r="AA134" i="100"/>
  <c r="AI134" i="100"/>
  <c r="AA135" i="100"/>
  <c r="AE135" i="100"/>
  <c r="AI135" i="100"/>
  <c r="AM135" i="100"/>
  <c r="AG136" i="100"/>
  <c r="AO136" i="100"/>
  <c r="Z141" i="100"/>
  <c r="Z140" i="100"/>
  <c r="AD141" i="100"/>
  <c r="AD140" i="100"/>
  <c r="AH141" i="100"/>
  <c r="AH140" i="100"/>
  <c r="AC93" i="100"/>
  <c r="AG93" i="100"/>
  <c r="AK93" i="100"/>
  <c r="AO93" i="100"/>
  <c r="Z94" i="100"/>
  <c r="AD94" i="100"/>
  <c r="AH94" i="100"/>
  <c r="AL94" i="100"/>
  <c r="Z97" i="100"/>
  <c r="AD97" i="100"/>
  <c r="AH97" i="100"/>
  <c r="AL97" i="100"/>
  <c r="Y103" i="100"/>
  <c r="AC103" i="100"/>
  <c r="AG103" i="100"/>
  <c r="AK103" i="100"/>
  <c r="AO103" i="100"/>
  <c r="Z104" i="100"/>
  <c r="AD104" i="100"/>
  <c r="AH104" i="100"/>
  <c r="AL104" i="100"/>
  <c r="AH107" i="100"/>
  <c r="AM108" i="100"/>
  <c r="AB109" i="100"/>
  <c r="AN109" i="100"/>
  <c r="AD110" i="100"/>
  <c r="AH110" i="100"/>
  <c r="AL110" i="100"/>
  <c r="AN113" i="100"/>
  <c r="AB116" i="100"/>
  <c r="AH116" i="100"/>
  <c r="Z117" i="100"/>
  <c r="AF117" i="100"/>
  <c r="AA118" i="100"/>
  <c r="AG118" i="100"/>
  <c r="AL118" i="100"/>
  <c r="AN119" i="100"/>
  <c r="AA121" i="100"/>
  <c r="AE121" i="100"/>
  <c r="AI121" i="100"/>
  <c r="AM121" i="100"/>
  <c r="AB121" i="100"/>
  <c r="AL121" i="100"/>
  <c r="Z149" i="100"/>
  <c r="AD149" i="100"/>
  <c r="AH149" i="100"/>
  <c r="AL149" i="100"/>
  <c r="AB150" i="100"/>
  <c r="AF150" i="100"/>
  <c r="AJ150" i="100"/>
  <c r="AN150" i="100"/>
  <c r="Z151" i="100"/>
  <c r="AD151" i="100"/>
  <c r="AH151" i="100"/>
  <c r="AL151" i="100"/>
  <c r="AB154" i="100"/>
  <c r="AF154" i="100"/>
  <c r="AJ154" i="100"/>
  <c r="AN154" i="100"/>
  <c r="Z155" i="100"/>
  <c r="AD155" i="100"/>
  <c r="AH155" i="100"/>
  <c r="AL155" i="100"/>
  <c r="AB156" i="100"/>
  <c r="AF156" i="100"/>
  <c r="AJ156" i="100"/>
  <c r="AN156" i="100"/>
  <c r="Z159" i="100"/>
  <c r="AD159" i="100"/>
  <c r="AH159" i="100"/>
  <c r="AL159" i="100"/>
  <c r="AB160" i="100"/>
  <c r="AF160" i="100"/>
  <c r="AJ160" i="100"/>
  <c r="AN160" i="100"/>
  <c r="Z161" i="100"/>
  <c r="AD161" i="100"/>
  <c r="AH161" i="100"/>
  <c r="AL161" i="100"/>
  <c r="AB164" i="100"/>
  <c r="AF164" i="100"/>
  <c r="AJ164" i="100"/>
  <c r="AN164" i="100"/>
  <c r="Z165" i="100"/>
  <c r="AD165" i="100"/>
  <c r="AH165" i="100"/>
  <c r="AL165" i="100"/>
  <c r="AB166" i="100"/>
  <c r="AF166" i="100"/>
  <c r="AJ166" i="100"/>
  <c r="AN166" i="100"/>
  <c r="Z169" i="100"/>
  <c r="AD169" i="100"/>
  <c r="AH169" i="100"/>
  <c r="AL169" i="100"/>
  <c r="AB170" i="100"/>
  <c r="AF170" i="100"/>
  <c r="AJ170" i="100"/>
  <c r="AN170" i="100"/>
  <c r="Z171" i="100"/>
  <c r="AD171" i="100"/>
  <c r="AH171" i="100"/>
  <c r="AL171" i="100"/>
  <c r="AB174" i="100"/>
  <c r="AF174" i="100"/>
  <c r="AJ174" i="100"/>
  <c r="AN174" i="100"/>
  <c r="Z175" i="100"/>
  <c r="AD175" i="100"/>
  <c r="AH175" i="100"/>
  <c r="AL175" i="100"/>
  <c r="AB176" i="100"/>
  <c r="AF176" i="100"/>
  <c r="AJ176" i="100"/>
  <c r="AN176" i="100"/>
  <c r="AH199" i="100"/>
  <c r="AA205" i="100"/>
  <c r="AA203" i="100"/>
  <c r="AA206" i="100"/>
  <c r="AA204" i="100"/>
  <c r="AA202" i="100"/>
  <c r="AI206" i="100"/>
  <c r="AI205" i="100"/>
  <c r="AI203" i="100"/>
  <c r="AI204" i="100"/>
  <c r="AI202" i="100"/>
  <c r="AM205" i="100"/>
  <c r="AM203" i="100"/>
  <c r="AM204" i="100"/>
  <c r="AM202" i="100"/>
  <c r="AB205" i="100"/>
  <c r="AF205" i="100"/>
  <c r="AJ205" i="100"/>
  <c r="Z113" i="100"/>
  <c r="AD113" i="100"/>
  <c r="AH113" i="100"/>
  <c r="AL113" i="100"/>
  <c r="AK114" i="100"/>
  <c r="AH118" i="100"/>
  <c r="Y122" i="100"/>
  <c r="AO122" i="100"/>
  <c r="AB123" i="100"/>
  <c r="AJ123" i="100"/>
  <c r="AB133" i="100"/>
  <c r="AJ133" i="100"/>
  <c r="Z135" i="100"/>
  <c r="AH135" i="100"/>
  <c r="AB140" i="100"/>
  <c r="AB137" i="100"/>
  <c r="AF140" i="100"/>
  <c r="AF137" i="100"/>
  <c r="AJ140" i="100"/>
  <c r="AJ137" i="100"/>
  <c r="AN140" i="100"/>
  <c r="AN137" i="100"/>
  <c r="AN141" i="100"/>
  <c r="AC200" i="100"/>
  <c r="AC198" i="100"/>
  <c r="AC201" i="100"/>
  <c r="AC199" i="100"/>
  <c r="AC197" i="100"/>
  <c r="AG200" i="100"/>
  <c r="AG198" i="100"/>
  <c r="AG201" i="100"/>
  <c r="AG199" i="100"/>
  <c r="AG197" i="100"/>
  <c r="AK200" i="100"/>
  <c r="AK198" i="100"/>
  <c r="AK201" i="100"/>
  <c r="AK199" i="100"/>
  <c r="AK197" i="100"/>
  <c r="AF204" i="100"/>
  <c r="AN204" i="100"/>
  <c r="Y135" i="100"/>
  <c r="AC135" i="100"/>
  <c r="AG135" i="100"/>
  <c r="AK135" i="100"/>
  <c r="AO135" i="100"/>
  <c r="AB139" i="100"/>
  <c r="AF139" i="100"/>
  <c r="AJ139" i="100"/>
  <c r="AN139" i="100"/>
  <c r="AL140" i="100"/>
  <c r="F198" i="100"/>
  <c r="J198" i="100"/>
  <c r="N198" i="100"/>
  <c r="R198" i="100"/>
  <c r="Z202" i="100"/>
  <c r="H203" i="100"/>
  <c r="L203" i="100"/>
  <c r="P203" i="100"/>
  <c r="AC207" i="100"/>
  <c r="AK208" i="100"/>
  <c r="AI209" i="100"/>
  <c r="AK210" i="100"/>
  <c r="AG6" i="111"/>
  <c r="AF7" i="111"/>
  <c r="AE8" i="111"/>
  <c r="AG10" i="111"/>
  <c r="AF11" i="111"/>
  <c r="AE12" i="111"/>
  <c r="AG14" i="111"/>
  <c r="AF15" i="111"/>
  <c r="AE16" i="111"/>
  <c r="AG18" i="111"/>
  <c r="AF23" i="111"/>
  <c r="AE24" i="111"/>
  <c r="AG26" i="111"/>
  <c r="AF27" i="111"/>
  <c r="AE28" i="111"/>
  <c r="AG30" i="111"/>
  <c r="AE32" i="111"/>
  <c r="AG34" i="111"/>
  <c r="AE40" i="111"/>
  <c r="AG42" i="111"/>
  <c r="AE44" i="111"/>
  <c r="AG46" i="111"/>
  <c r="AE48" i="111"/>
  <c r="AG50" i="111"/>
  <c r="AE52" i="111"/>
  <c r="AG57" i="111"/>
  <c r="AE59" i="111"/>
  <c r="AG61" i="111"/>
  <c r="AE63" i="111"/>
  <c r="AG65" i="111"/>
  <c r="AE67" i="111"/>
  <c r="P8" i="102"/>
  <c r="E10" i="102"/>
  <c r="K10" i="102"/>
  <c r="P10" i="102"/>
  <c r="W10" i="102"/>
  <c r="AC10" i="102"/>
  <c r="AH10" i="102"/>
  <c r="E11" i="102"/>
  <c r="K11" i="102"/>
  <c r="P11" i="102"/>
  <c r="W11" i="102"/>
  <c r="AC11" i="102"/>
  <c r="AH11" i="102"/>
  <c r="E12" i="102"/>
  <c r="K12" i="102"/>
  <c r="P12" i="102"/>
  <c r="W12" i="102"/>
  <c r="AC12" i="102"/>
  <c r="AH12" i="102"/>
  <c r="E13" i="102"/>
  <c r="K13" i="102"/>
  <c r="P13" i="102"/>
  <c r="W13" i="102"/>
  <c r="AC13" i="102"/>
  <c r="AJ20" i="102"/>
  <c r="AF20" i="102"/>
  <c r="AB20" i="102"/>
  <c r="X20" i="102"/>
  <c r="AJ19" i="102"/>
  <c r="AF19" i="102"/>
  <c r="AB19" i="102"/>
  <c r="X19" i="102"/>
  <c r="AJ18" i="102"/>
  <c r="AF18" i="102"/>
  <c r="AB18" i="102"/>
  <c r="X18" i="102"/>
  <c r="AJ17" i="102"/>
  <c r="AF17" i="102"/>
  <c r="AB17" i="102"/>
  <c r="X17" i="102"/>
  <c r="AH15" i="102"/>
  <c r="G17" i="102"/>
  <c r="L17" i="102"/>
  <c r="Q17" i="102"/>
  <c r="Y17" i="102"/>
  <c r="AD17" i="102"/>
  <c r="AI17" i="102"/>
  <c r="G18" i="102"/>
  <c r="L18" i="102"/>
  <c r="Q18" i="102"/>
  <c r="Y18" i="102"/>
  <c r="AD18" i="102"/>
  <c r="AI18" i="102"/>
  <c r="G19" i="102"/>
  <c r="L19" i="102"/>
  <c r="Q19" i="102"/>
  <c r="Y19" i="102"/>
  <c r="AD19" i="102"/>
  <c r="AI19" i="102"/>
  <c r="G20" i="102"/>
  <c r="L20" i="102"/>
  <c r="Y20" i="102"/>
  <c r="AD20" i="102"/>
  <c r="AI20" i="102"/>
  <c r="C24" i="102"/>
  <c r="H24" i="102"/>
  <c r="M24" i="102"/>
  <c r="U24" i="102"/>
  <c r="Z24" i="102"/>
  <c r="AE24" i="102"/>
  <c r="C25" i="102"/>
  <c r="H25" i="102"/>
  <c r="M25" i="102"/>
  <c r="U25" i="102"/>
  <c r="Z25" i="102"/>
  <c r="AE25" i="102"/>
  <c r="C26" i="102"/>
  <c r="H26" i="102"/>
  <c r="M26" i="102"/>
  <c r="U26" i="102"/>
  <c r="Z26" i="102"/>
  <c r="AE26" i="102"/>
  <c r="C27" i="102"/>
  <c r="H27" i="102"/>
  <c r="U27" i="102"/>
  <c r="Z27" i="102"/>
  <c r="AE27" i="102"/>
  <c r="R34" i="102"/>
  <c r="N34" i="102"/>
  <c r="J34" i="102"/>
  <c r="F34" i="102"/>
  <c r="R33" i="102"/>
  <c r="N33" i="102"/>
  <c r="J33" i="102"/>
  <c r="F33" i="102"/>
  <c r="R32" i="102"/>
  <c r="N32" i="102"/>
  <c r="J32" i="102"/>
  <c r="F32" i="102"/>
  <c r="R31" i="102"/>
  <c r="N31" i="102"/>
  <c r="J31" i="102"/>
  <c r="F31" i="102"/>
  <c r="D31" i="102"/>
  <c r="I31" i="102"/>
  <c r="O31" i="102"/>
  <c r="V31" i="102"/>
  <c r="AA31" i="102"/>
  <c r="AG31" i="102"/>
  <c r="D32" i="102"/>
  <c r="I32" i="102"/>
  <c r="O32" i="102"/>
  <c r="V32" i="102"/>
  <c r="AA32" i="102"/>
  <c r="AG32" i="102"/>
  <c r="D33" i="102"/>
  <c r="I33" i="102"/>
  <c r="O33" i="102"/>
  <c r="V33" i="102"/>
  <c r="AA33" i="102"/>
  <c r="AG33" i="102"/>
  <c r="D34" i="102"/>
  <c r="I34" i="102"/>
  <c r="O34" i="102"/>
  <c r="V34" i="102"/>
  <c r="AA34" i="102"/>
  <c r="P36" i="102"/>
  <c r="E38" i="102"/>
  <c r="K38" i="102"/>
  <c r="P38" i="102"/>
  <c r="W38" i="102"/>
  <c r="AC38" i="102"/>
  <c r="AH38" i="102"/>
  <c r="E39" i="102"/>
  <c r="K39" i="102"/>
  <c r="P39" i="102"/>
  <c r="W39" i="102"/>
  <c r="AC39" i="102"/>
  <c r="AH39" i="102"/>
  <c r="E40" i="102"/>
  <c r="K40" i="102"/>
  <c r="P40" i="102"/>
  <c r="W40" i="102"/>
  <c r="AC40" i="102"/>
  <c r="AH40" i="102"/>
  <c r="E41" i="102"/>
  <c r="K41" i="102"/>
  <c r="P41" i="102"/>
  <c r="W41" i="102"/>
  <c r="AC41" i="102"/>
  <c r="AJ48" i="102"/>
  <c r="AF48" i="102"/>
  <c r="AB48" i="102"/>
  <c r="X48" i="102"/>
  <c r="AJ47" i="102"/>
  <c r="AF47" i="102"/>
  <c r="AB47" i="102"/>
  <c r="X47" i="102"/>
  <c r="AJ46" i="102"/>
  <c r="AF46" i="102"/>
  <c r="AB46" i="102"/>
  <c r="X46" i="102"/>
  <c r="AJ45" i="102"/>
  <c r="AF45" i="102"/>
  <c r="AB45" i="102"/>
  <c r="X45" i="102"/>
  <c r="AH43" i="102"/>
  <c r="G45" i="102"/>
  <c r="L45" i="102"/>
  <c r="Q45" i="102"/>
  <c r="Y45" i="102"/>
  <c r="AD45" i="102"/>
  <c r="AI45" i="102"/>
  <c r="G46" i="102"/>
  <c r="L46" i="102"/>
  <c r="Q46" i="102"/>
  <c r="Y46" i="102"/>
  <c r="AD46" i="102"/>
  <c r="AI46" i="102"/>
  <c r="G47" i="102"/>
  <c r="L47" i="102"/>
  <c r="Q47" i="102"/>
  <c r="Y47" i="102"/>
  <c r="AD47" i="102"/>
  <c r="AI47" i="102"/>
  <c r="G48" i="102"/>
  <c r="L48" i="102"/>
  <c r="Y48" i="102"/>
  <c r="AD48" i="102"/>
  <c r="AI48" i="102"/>
  <c r="C52" i="102"/>
  <c r="H52" i="102"/>
  <c r="M52" i="102"/>
  <c r="U52" i="102"/>
  <c r="Z52" i="102"/>
  <c r="AE52" i="102"/>
  <c r="C53" i="102"/>
  <c r="H53" i="102"/>
  <c r="M53" i="102"/>
  <c r="U53" i="102"/>
  <c r="Z53" i="102"/>
  <c r="AE53" i="102"/>
  <c r="C54" i="102"/>
  <c r="H54" i="102"/>
  <c r="P54" i="102"/>
  <c r="Z54" i="102"/>
  <c r="AH54" i="102"/>
  <c r="H55" i="102"/>
  <c r="Z55" i="102"/>
  <c r="AH55" i="102"/>
  <c r="C59" i="102"/>
  <c r="K59" i="102"/>
  <c r="C60" i="102"/>
  <c r="K60" i="102"/>
  <c r="F61" i="102"/>
  <c r="Q61" i="102"/>
  <c r="F62" i="102"/>
  <c r="J73" i="102"/>
  <c r="J74" i="102"/>
  <c r="J75" i="102"/>
  <c r="P76" i="102"/>
  <c r="J101" i="102"/>
  <c r="N102" i="102"/>
  <c r="D103" i="102"/>
  <c r="Q103" i="102"/>
  <c r="F104" i="102"/>
  <c r="AF17" i="105"/>
  <c r="AD18" i="105"/>
  <c r="AB19" i="105"/>
  <c r="AA24" i="105"/>
  <c r="X25" i="105"/>
  <c r="W26" i="105"/>
  <c r="V27" i="105"/>
  <c r="AA45" i="105"/>
  <c r="X46" i="105"/>
  <c r="W47" i="105"/>
  <c r="AG55" i="105"/>
  <c r="AC55" i="105"/>
  <c r="Y55" i="105"/>
  <c r="U55" i="105"/>
  <c r="AG54" i="105"/>
  <c r="AC54" i="105"/>
  <c r="Y54" i="105"/>
  <c r="U54" i="105"/>
  <c r="AG53" i="105"/>
  <c r="AC53" i="105"/>
  <c r="Y53" i="105"/>
  <c r="U53" i="105"/>
  <c r="AG52" i="105"/>
  <c r="AC52" i="105"/>
  <c r="Y52" i="105"/>
  <c r="U52" i="105"/>
  <c r="AJ55" i="105"/>
  <c r="AE55" i="105"/>
  <c r="Z55" i="105"/>
  <c r="AJ54" i="105"/>
  <c r="AE54" i="105"/>
  <c r="Z54" i="105"/>
  <c r="AJ53" i="105"/>
  <c r="AE53" i="105"/>
  <c r="Z53" i="105"/>
  <c r="AJ52" i="105"/>
  <c r="AE52" i="105"/>
  <c r="Z52" i="105"/>
  <c r="AH50" i="105"/>
  <c r="AH55" i="105"/>
  <c r="AA55" i="105"/>
  <c r="AI54" i="105"/>
  <c r="AB54" i="105"/>
  <c r="V54" i="105"/>
  <c r="AD53" i="105"/>
  <c r="W53" i="105"/>
  <c r="AF52" i="105"/>
  <c r="X52" i="105"/>
  <c r="AF55" i="105"/>
  <c r="X55" i="105"/>
  <c r="AH54" i="105"/>
  <c r="AA54" i="105"/>
  <c r="AI53" i="105"/>
  <c r="AB53" i="105"/>
  <c r="V53" i="105"/>
  <c r="AD52" i="105"/>
  <c r="W52" i="105"/>
  <c r="AD55" i="105"/>
  <c r="W55" i="105"/>
  <c r="AF54" i="105"/>
  <c r="X54" i="105"/>
  <c r="AH53" i="105"/>
  <c r="AA53" i="105"/>
  <c r="AI52" i="105"/>
  <c r="AB52" i="105"/>
  <c r="V52" i="105"/>
  <c r="AF53" i="105"/>
  <c r="AB55" i="105"/>
  <c r="G198" i="100"/>
  <c r="AB198" i="100" s="1"/>
  <c r="K198" i="100"/>
  <c r="AF198" i="100" s="1"/>
  <c r="O198" i="100"/>
  <c r="AJ198" i="100" s="1"/>
  <c r="S198" i="100"/>
  <c r="AN198" i="100" s="1"/>
  <c r="I203" i="100"/>
  <c r="AD203" i="100" s="1"/>
  <c r="M203" i="100"/>
  <c r="AH203" i="100" s="1"/>
  <c r="Q203" i="100"/>
  <c r="AL202" i="100" s="1"/>
  <c r="AB206" i="100"/>
  <c r="AF206" i="100"/>
  <c r="AJ206" i="100"/>
  <c r="AN206" i="100"/>
  <c r="AL208" i="100"/>
  <c r="Z209" i="100"/>
  <c r="AD209" i="100"/>
  <c r="AH209" i="100"/>
  <c r="AL209" i="100"/>
  <c r="AJ209" i="100"/>
  <c r="AB210" i="100"/>
  <c r="AF210" i="100"/>
  <c r="AJ210" i="100"/>
  <c r="AN210" i="100"/>
  <c r="AL210" i="100"/>
  <c r="Z211" i="100"/>
  <c r="AD211" i="100"/>
  <c r="AH211" i="100"/>
  <c r="AL211" i="100"/>
  <c r="AJ211" i="100"/>
  <c r="AA8" i="111"/>
  <c r="AF8" i="111"/>
  <c r="AK8" i="111"/>
  <c r="AA12" i="111"/>
  <c r="AF12" i="111"/>
  <c r="AK12" i="111"/>
  <c r="AA16" i="111"/>
  <c r="AF16" i="111"/>
  <c r="AK16" i="111"/>
  <c r="AA24" i="111"/>
  <c r="AF24" i="111"/>
  <c r="AK24" i="111"/>
  <c r="AA28" i="111"/>
  <c r="AF28" i="111"/>
  <c r="AK28" i="111"/>
  <c r="AA32" i="111"/>
  <c r="AF32" i="111"/>
  <c r="AK32" i="111"/>
  <c r="AA40" i="111"/>
  <c r="AF40" i="111"/>
  <c r="AK40" i="111"/>
  <c r="AA44" i="111"/>
  <c r="AF44" i="111"/>
  <c r="AK44" i="111"/>
  <c r="AA48" i="111"/>
  <c r="AF48" i="111"/>
  <c r="AK48" i="111"/>
  <c r="AA52" i="111"/>
  <c r="AF52" i="111"/>
  <c r="AK52" i="111"/>
  <c r="AA59" i="111"/>
  <c r="AF59" i="111"/>
  <c r="AK59" i="111"/>
  <c r="AA63" i="111"/>
  <c r="AF63" i="111"/>
  <c r="AK63" i="111"/>
  <c r="AA67" i="111"/>
  <c r="AF67" i="111"/>
  <c r="AK67" i="111"/>
  <c r="AJ13" i="102"/>
  <c r="AF13" i="102"/>
  <c r="AB13" i="102"/>
  <c r="X13" i="102"/>
  <c r="AJ12" i="102"/>
  <c r="AF12" i="102"/>
  <c r="AB12" i="102"/>
  <c r="X12" i="102"/>
  <c r="AJ11" i="102"/>
  <c r="AF11" i="102"/>
  <c r="AB11" i="102"/>
  <c r="X11" i="102"/>
  <c r="AJ10" i="102"/>
  <c r="AF10" i="102"/>
  <c r="AB10" i="102"/>
  <c r="X10" i="102"/>
  <c r="AH8" i="102"/>
  <c r="Y10" i="102"/>
  <c r="AD10" i="102"/>
  <c r="AI10" i="102"/>
  <c r="Y11" i="102"/>
  <c r="AD11" i="102"/>
  <c r="AI11" i="102"/>
  <c r="Y12" i="102"/>
  <c r="AD12" i="102"/>
  <c r="AI12" i="102"/>
  <c r="Y13" i="102"/>
  <c r="AD13" i="102"/>
  <c r="AI13" i="102"/>
  <c r="R27" i="102"/>
  <c r="N27" i="102"/>
  <c r="J27" i="102"/>
  <c r="F27" i="102"/>
  <c r="R26" i="102"/>
  <c r="N26" i="102"/>
  <c r="J26" i="102"/>
  <c r="F26" i="102"/>
  <c r="R25" i="102"/>
  <c r="N25" i="102"/>
  <c r="J25" i="102"/>
  <c r="F25" i="102"/>
  <c r="R24" i="102"/>
  <c r="N24" i="102"/>
  <c r="J24" i="102"/>
  <c r="F24" i="102"/>
  <c r="D24" i="102"/>
  <c r="I24" i="102"/>
  <c r="O24" i="102"/>
  <c r="D25" i="102"/>
  <c r="I25" i="102"/>
  <c r="O25" i="102"/>
  <c r="D26" i="102"/>
  <c r="I26" i="102"/>
  <c r="O26" i="102"/>
  <c r="D27" i="102"/>
  <c r="I27" i="102"/>
  <c r="O27" i="102"/>
  <c r="AJ41" i="102"/>
  <c r="AF41" i="102"/>
  <c r="AB41" i="102"/>
  <c r="X41" i="102"/>
  <c r="AJ40" i="102"/>
  <c r="AF40" i="102"/>
  <c r="AB40" i="102"/>
  <c r="X40" i="102"/>
  <c r="AJ39" i="102"/>
  <c r="AF39" i="102"/>
  <c r="AB39" i="102"/>
  <c r="X39" i="102"/>
  <c r="AJ38" i="102"/>
  <c r="AF38" i="102"/>
  <c r="AB38" i="102"/>
  <c r="X38" i="102"/>
  <c r="AH36" i="102"/>
  <c r="Y38" i="102"/>
  <c r="AD38" i="102"/>
  <c r="AI38" i="102"/>
  <c r="Y39" i="102"/>
  <c r="AD39" i="102"/>
  <c r="AI39" i="102"/>
  <c r="Y40" i="102"/>
  <c r="AD40" i="102"/>
  <c r="AI40" i="102"/>
  <c r="Y41" i="102"/>
  <c r="AD41" i="102"/>
  <c r="AI41" i="102"/>
  <c r="R55" i="102"/>
  <c r="N55" i="102"/>
  <c r="J55" i="102"/>
  <c r="F55" i="102"/>
  <c r="R54" i="102"/>
  <c r="N54" i="102"/>
  <c r="J54" i="102"/>
  <c r="F54" i="102"/>
  <c r="R53" i="102"/>
  <c r="N53" i="102"/>
  <c r="J53" i="102"/>
  <c r="F53" i="102"/>
  <c r="R52" i="102"/>
  <c r="N52" i="102"/>
  <c r="J52" i="102"/>
  <c r="F52" i="102"/>
  <c r="Q55" i="102"/>
  <c r="M55" i="102"/>
  <c r="I55" i="102"/>
  <c r="E55" i="102"/>
  <c r="Q54" i="102"/>
  <c r="M54" i="102"/>
  <c r="I54" i="102"/>
  <c r="D52" i="102"/>
  <c r="I52" i="102"/>
  <c r="O52" i="102"/>
  <c r="D53" i="102"/>
  <c r="I53" i="102"/>
  <c r="O53" i="102"/>
  <c r="D54" i="102"/>
  <c r="K54" i="102"/>
  <c r="C55" i="102"/>
  <c r="K55" i="102"/>
  <c r="P62" i="102"/>
  <c r="L62" i="102"/>
  <c r="H62" i="102"/>
  <c r="D62" i="102"/>
  <c r="P61" i="102"/>
  <c r="L61" i="102"/>
  <c r="H61" i="102"/>
  <c r="D61" i="102"/>
  <c r="O62" i="102"/>
  <c r="J62" i="102"/>
  <c r="E62" i="102"/>
  <c r="O61" i="102"/>
  <c r="J61" i="102"/>
  <c r="E61" i="102"/>
  <c r="R60" i="102"/>
  <c r="N60" i="102"/>
  <c r="J60" i="102"/>
  <c r="F60" i="102"/>
  <c r="R59" i="102"/>
  <c r="N59" i="102"/>
  <c r="J59" i="102"/>
  <c r="F59" i="102"/>
  <c r="N62" i="102"/>
  <c r="I62" i="102"/>
  <c r="C62" i="102"/>
  <c r="N61" i="102"/>
  <c r="I61" i="102"/>
  <c r="C61" i="102"/>
  <c r="Q60" i="102"/>
  <c r="M60" i="102"/>
  <c r="I60" i="102"/>
  <c r="E60" i="102"/>
  <c r="Q59" i="102"/>
  <c r="M59" i="102"/>
  <c r="I59" i="102"/>
  <c r="E59" i="102"/>
  <c r="D59" i="102"/>
  <c r="L59" i="102"/>
  <c r="D60" i="102"/>
  <c r="L60" i="102"/>
  <c r="G61" i="102"/>
  <c r="R61" i="102"/>
  <c r="G62" i="102"/>
  <c r="R62" i="102"/>
  <c r="L101" i="102"/>
  <c r="P102" i="102"/>
  <c r="E103" i="102"/>
  <c r="I104" i="102"/>
  <c r="AG20" i="105"/>
  <c r="AC20" i="105"/>
  <c r="Y20" i="105"/>
  <c r="U20" i="105"/>
  <c r="AG19" i="105"/>
  <c r="AC19" i="105"/>
  <c r="Y19" i="105"/>
  <c r="U19" i="105"/>
  <c r="AG18" i="105"/>
  <c r="AC18" i="105"/>
  <c r="Y18" i="105"/>
  <c r="U18" i="105"/>
  <c r="AG17" i="105"/>
  <c r="AC17" i="105"/>
  <c r="Y17" i="105"/>
  <c r="U17" i="105"/>
  <c r="AJ20" i="105"/>
  <c r="AE20" i="105"/>
  <c r="Z20" i="105"/>
  <c r="AJ19" i="105"/>
  <c r="AE19" i="105"/>
  <c r="Z19" i="105"/>
  <c r="AJ18" i="105"/>
  <c r="AE18" i="105"/>
  <c r="Z18" i="105"/>
  <c r="AJ17" i="105"/>
  <c r="AE17" i="105"/>
  <c r="Z17" i="105"/>
  <c r="AH15" i="105"/>
  <c r="AF20" i="105"/>
  <c r="X20" i="105"/>
  <c r="AH19" i="105"/>
  <c r="AA19" i="105"/>
  <c r="AI18" i="105"/>
  <c r="AB18" i="105"/>
  <c r="V18" i="105"/>
  <c r="AD17" i="105"/>
  <c r="W17" i="105"/>
  <c r="AD20" i="105"/>
  <c r="W20" i="105"/>
  <c r="AF19" i="105"/>
  <c r="X19" i="105"/>
  <c r="AH18" i="105"/>
  <c r="AA18" i="105"/>
  <c r="AI17" i="105"/>
  <c r="AB17" i="105"/>
  <c r="V17" i="105"/>
  <c r="AH17" i="105"/>
  <c r="AF18" i="105"/>
  <c r="AD19" i="105"/>
  <c r="AB20" i="105"/>
  <c r="Z197" i="100"/>
  <c r="AD197" i="100"/>
  <c r="AH197" i="100"/>
  <c r="AL197" i="100"/>
  <c r="AB202" i="100"/>
  <c r="AF202" i="100"/>
  <c r="AJ202" i="100"/>
  <c r="J203" i="100"/>
  <c r="AA207" i="100"/>
  <c r="AC208" i="100"/>
  <c r="AA209" i="100"/>
  <c r="Y6" i="111"/>
  <c r="W8" i="111"/>
  <c r="Y10" i="111"/>
  <c r="W12" i="111"/>
  <c r="Y14" i="111"/>
  <c r="W16" i="111"/>
  <c r="Y18" i="111"/>
  <c r="W24" i="111"/>
  <c r="Y26" i="111"/>
  <c r="W28" i="111"/>
  <c r="Y30" i="111"/>
  <c r="AI30" i="111"/>
  <c r="W32" i="111"/>
  <c r="AG32" i="111"/>
  <c r="Y34" i="111"/>
  <c r="AI34" i="111"/>
  <c r="W40" i="111"/>
  <c r="AG40" i="111"/>
  <c r="Y42" i="111"/>
  <c r="AI42" i="111"/>
  <c r="W44" i="111"/>
  <c r="AG44" i="111"/>
  <c r="Y46" i="111"/>
  <c r="AI46" i="111"/>
  <c r="W48" i="111"/>
  <c r="AG48" i="111"/>
  <c r="Y50" i="111"/>
  <c r="AI50" i="111"/>
  <c r="W52" i="111"/>
  <c r="AG52" i="111"/>
  <c r="Y57" i="111"/>
  <c r="AI57" i="111"/>
  <c r="W59" i="111"/>
  <c r="AG59" i="111"/>
  <c r="Y61" i="111"/>
  <c r="AI61" i="111"/>
  <c r="W63" i="111"/>
  <c r="AG63" i="111"/>
  <c r="Y65" i="111"/>
  <c r="AI65" i="111"/>
  <c r="W67" i="111"/>
  <c r="AG67" i="111"/>
  <c r="C10" i="102"/>
  <c r="H10" i="102"/>
  <c r="M10" i="102"/>
  <c r="U10" i="102"/>
  <c r="Z10" i="102"/>
  <c r="AE10" i="102"/>
  <c r="C11" i="102"/>
  <c r="H11" i="102"/>
  <c r="M11" i="102"/>
  <c r="U11" i="102"/>
  <c r="Z11" i="102"/>
  <c r="AE11" i="102"/>
  <c r="C12" i="102"/>
  <c r="H12" i="102"/>
  <c r="M12" i="102"/>
  <c r="U12" i="102"/>
  <c r="Z12" i="102"/>
  <c r="AE12" i="102"/>
  <c r="C13" i="102"/>
  <c r="H13" i="102"/>
  <c r="U13" i="102"/>
  <c r="Z13" i="102"/>
  <c r="AE13" i="102"/>
  <c r="R20" i="102"/>
  <c r="N20" i="102"/>
  <c r="J20" i="102"/>
  <c r="F20" i="102"/>
  <c r="R19" i="102"/>
  <c r="N19" i="102"/>
  <c r="J19" i="102"/>
  <c r="F19" i="102"/>
  <c r="R18" i="102"/>
  <c r="N18" i="102"/>
  <c r="J18" i="102"/>
  <c r="F18" i="102"/>
  <c r="R17" i="102"/>
  <c r="N17" i="102"/>
  <c r="J17" i="102"/>
  <c r="F17" i="102"/>
  <c r="D17" i="102"/>
  <c r="I17" i="102"/>
  <c r="O17" i="102"/>
  <c r="D18" i="102"/>
  <c r="I18" i="102"/>
  <c r="O18" i="102"/>
  <c r="D19" i="102"/>
  <c r="I19" i="102"/>
  <c r="O19" i="102"/>
  <c r="D20" i="102"/>
  <c r="I20" i="102"/>
  <c r="O20" i="102"/>
  <c r="P22" i="102"/>
  <c r="E24" i="102"/>
  <c r="K24" i="102"/>
  <c r="P24" i="102"/>
  <c r="W24" i="102"/>
  <c r="AC24" i="102"/>
  <c r="AH24" i="102"/>
  <c r="E25" i="102"/>
  <c r="K25" i="102"/>
  <c r="P25" i="102"/>
  <c r="W25" i="102"/>
  <c r="AC25" i="102"/>
  <c r="AH25" i="102"/>
  <c r="E26" i="102"/>
  <c r="K26" i="102"/>
  <c r="P26" i="102"/>
  <c r="W26" i="102"/>
  <c r="AC26" i="102"/>
  <c r="AH26" i="102"/>
  <c r="E27" i="102"/>
  <c r="K27" i="102"/>
  <c r="P27" i="102"/>
  <c r="W27" i="102"/>
  <c r="AC27" i="102"/>
  <c r="AJ34" i="102"/>
  <c r="AF34" i="102"/>
  <c r="AB34" i="102"/>
  <c r="X34" i="102"/>
  <c r="AJ33" i="102"/>
  <c r="AF33" i="102"/>
  <c r="AB33" i="102"/>
  <c r="X33" i="102"/>
  <c r="AJ32" i="102"/>
  <c r="AF32" i="102"/>
  <c r="AB32" i="102"/>
  <c r="X32" i="102"/>
  <c r="AJ31" i="102"/>
  <c r="AF31" i="102"/>
  <c r="AB31" i="102"/>
  <c r="X31" i="102"/>
  <c r="AH29" i="102"/>
  <c r="Y31" i="102"/>
  <c r="AD31" i="102"/>
  <c r="AI31" i="102"/>
  <c r="Y32" i="102"/>
  <c r="AD32" i="102"/>
  <c r="AI32" i="102"/>
  <c r="Y33" i="102"/>
  <c r="AD33" i="102"/>
  <c r="AI33" i="102"/>
  <c r="Y34" i="102"/>
  <c r="AD34" i="102"/>
  <c r="AI34" i="102"/>
  <c r="C38" i="102"/>
  <c r="H38" i="102"/>
  <c r="M38" i="102"/>
  <c r="U38" i="102"/>
  <c r="Z38" i="102"/>
  <c r="AE38" i="102"/>
  <c r="C39" i="102"/>
  <c r="H39" i="102"/>
  <c r="M39" i="102"/>
  <c r="U39" i="102"/>
  <c r="Z39" i="102"/>
  <c r="AE39" i="102"/>
  <c r="C40" i="102"/>
  <c r="H40" i="102"/>
  <c r="M40" i="102"/>
  <c r="U40" i="102"/>
  <c r="Z40" i="102"/>
  <c r="AE40" i="102"/>
  <c r="C41" i="102"/>
  <c r="H41" i="102"/>
  <c r="U41" i="102"/>
  <c r="Z41" i="102"/>
  <c r="AE41" i="102"/>
  <c r="R48" i="102"/>
  <c r="N48" i="102"/>
  <c r="J48" i="102"/>
  <c r="F48" i="102"/>
  <c r="R47" i="102"/>
  <c r="N47" i="102"/>
  <c r="J47" i="102"/>
  <c r="F47" i="102"/>
  <c r="R46" i="102"/>
  <c r="N46" i="102"/>
  <c r="J46" i="102"/>
  <c r="F46" i="102"/>
  <c r="R45" i="102"/>
  <c r="N45" i="102"/>
  <c r="J45" i="102"/>
  <c r="F45" i="102"/>
  <c r="D45" i="102"/>
  <c r="I45" i="102"/>
  <c r="O45" i="102"/>
  <c r="D46" i="102"/>
  <c r="I46" i="102"/>
  <c r="O46" i="102"/>
  <c r="D47" i="102"/>
  <c r="I47" i="102"/>
  <c r="O47" i="102"/>
  <c r="D48" i="102"/>
  <c r="I48" i="102"/>
  <c r="O48" i="102"/>
  <c r="P50" i="102"/>
  <c r="E52" i="102"/>
  <c r="K52" i="102"/>
  <c r="P52" i="102"/>
  <c r="W52" i="102"/>
  <c r="AC52" i="102"/>
  <c r="AH52" i="102"/>
  <c r="E53" i="102"/>
  <c r="K53" i="102"/>
  <c r="P53" i="102"/>
  <c r="W53" i="102"/>
  <c r="AC53" i="102"/>
  <c r="AH53" i="102"/>
  <c r="E54" i="102"/>
  <c r="L54" i="102"/>
  <c r="V54" i="102"/>
  <c r="AD54" i="102"/>
  <c r="D55" i="102"/>
  <c r="L55" i="102"/>
  <c r="V55" i="102"/>
  <c r="P57" i="102"/>
  <c r="G59" i="102"/>
  <c r="O59" i="102"/>
  <c r="G60" i="102"/>
  <c r="O60" i="102"/>
  <c r="K61" i="102"/>
  <c r="K62" i="102"/>
  <c r="E73" i="102"/>
  <c r="O73" i="102"/>
  <c r="E74" i="102"/>
  <c r="O74" i="102"/>
  <c r="E75" i="102"/>
  <c r="O75" i="102"/>
  <c r="I76" i="102"/>
  <c r="D101" i="102"/>
  <c r="Q101" i="102"/>
  <c r="F102" i="102"/>
  <c r="J103" i="102"/>
  <c r="X17" i="105"/>
  <c r="W18" i="105"/>
  <c r="V19" i="105"/>
  <c r="AI19" i="105"/>
  <c r="AH20" i="105"/>
  <c r="AG27" i="105"/>
  <c r="AC27" i="105"/>
  <c r="Y27" i="105"/>
  <c r="U27" i="105"/>
  <c r="AG26" i="105"/>
  <c r="AC26" i="105"/>
  <c r="Y26" i="105"/>
  <c r="U26" i="105"/>
  <c r="AG25" i="105"/>
  <c r="AC25" i="105"/>
  <c r="Y25" i="105"/>
  <c r="U25" i="105"/>
  <c r="AG24" i="105"/>
  <c r="AC24" i="105"/>
  <c r="Y24" i="105"/>
  <c r="U24" i="105"/>
  <c r="AJ27" i="105"/>
  <c r="AE27" i="105"/>
  <c r="Z27" i="105"/>
  <c r="AJ26" i="105"/>
  <c r="AE26" i="105"/>
  <c r="Z26" i="105"/>
  <c r="AJ25" i="105"/>
  <c r="AE25" i="105"/>
  <c r="Z25" i="105"/>
  <c r="AJ24" i="105"/>
  <c r="AE24" i="105"/>
  <c r="Z24" i="105"/>
  <c r="AH22" i="105"/>
  <c r="AH27" i="105"/>
  <c r="AA27" i="105"/>
  <c r="AI26" i="105"/>
  <c r="AB26" i="105"/>
  <c r="V26" i="105"/>
  <c r="AD25" i="105"/>
  <c r="W25" i="105"/>
  <c r="AF24" i="105"/>
  <c r="X24" i="105"/>
  <c r="AF27" i="105"/>
  <c r="X27" i="105"/>
  <c r="AH26" i="105"/>
  <c r="AA26" i="105"/>
  <c r="AI25" i="105"/>
  <c r="AB25" i="105"/>
  <c r="V25" i="105"/>
  <c r="AD24" i="105"/>
  <c r="W24" i="105"/>
  <c r="AH24" i="105"/>
  <c r="AF25" i="105"/>
  <c r="AD26" i="105"/>
  <c r="AB27" i="105"/>
  <c r="AG48" i="105"/>
  <c r="AC48" i="105"/>
  <c r="Y48" i="105"/>
  <c r="U48" i="105"/>
  <c r="AG47" i="105"/>
  <c r="AC47" i="105"/>
  <c r="Y47" i="105"/>
  <c r="U47" i="105"/>
  <c r="AG46" i="105"/>
  <c r="AC46" i="105"/>
  <c r="Y46" i="105"/>
  <c r="U46" i="105"/>
  <c r="AG45" i="105"/>
  <c r="AC45" i="105"/>
  <c r="Y45" i="105"/>
  <c r="U45" i="105"/>
  <c r="AJ48" i="105"/>
  <c r="AE48" i="105"/>
  <c r="Z48" i="105"/>
  <c r="AJ47" i="105"/>
  <c r="AE47" i="105"/>
  <c r="Z47" i="105"/>
  <c r="AJ46" i="105"/>
  <c r="AE46" i="105"/>
  <c r="Z46" i="105"/>
  <c r="AJ45" i="105"/>
  <c r="AE45" i="105"/>
  <c r="Z45" i="105"/>
  <c r="AH43" i="105"/>
  <c r="AF48" i="105"/>
  <c r="X48" i="105"/>
  <c r="AH47" i="105"/>
  <c r="AA47" i="105"/>
  <c r="AI46" i="105"/>
  <c r="AB46" i="105"/>
  <c r="V46" i="105"/>
  <c r="AD45" i="105"/>
  <c r="W45" i="105"/>
  <c r="AD48" i="105"/>
  <c r="W48" i="105"/>
  <c r="AF47" i="105"/>
  <c r="X47" i="105"/>
  <c r="AH46" i="105"/>
  <c r="AA46" i="105"/>
  <c r="AI45" i="105"/>
  <c r="AB45" i="105"/>
  <c r="V45" i="105"/>
  <c r="AI48" i="105"/>
  <c r="AB48" i="105"/>
  <c r="V48" i="105"/>
  <c r="AH45" i="105"/>
  <c r="AF46" i="105"/>
  <c r="AD47" i="105"/>
  <c r="AE6" i="111"/>
  <c r="AC8" i="111"/>
  <c r="AE10" i="111"/>
  <c r="AC12" i="111"/>
  <c r="AE14" i="111"/>
  <c r="AC16" i="111"/>
  <c r="AE18" i="111"/>
  <c r="AC24" i="111"/>
  <c r="AE26" i="111"/>
  <c r="AC28" i="111"/>
  <c r="AE30" i="111"/>
  <c r="AC32" i="111"/>
  <c r="AE34" i="111"/>
  <c r="AC40" i="111"/>
  <c r="AE42" i="111"/>
  <c r="AC44" i="111"/>
  <c r="AE46" i="111"/>
  <c r="AC48" i="111"/>
  <c r="AE50" i="111"/>
  <c r="AC52" i="111"/>
  <c r="AE57" i="111"/>
  <c r="AC59" i="111"/>
  <c r="AE61" i="111"/>
  <c r="AC63" i="111"/>
  <c r="AE65" i="111"/>
  <c r="AC67" i="111"/>
  <c r="R13" i="102"/>
  <c r="N13" i="102"/>
  <c r="J13" i="102"/>
  <c r="F13" i="102"/>
  <c r="R12" i="102"/>
  <c r="N12" i="102"/>
  <c r="J12" i="102"/>
  <c r="F12" i="102"/>
  <c r="R11" i="102"/>
  <c r="N11" i="102"/>
  <c r="J11" i="102"/>
  <c r="F11" i="102"/>
  <c r="R10" i="102"/>
  <c r="N10" i="102"/>
  <c r="J10" i="102"/>
  <c r="F10" i="102"/>
  <c r="D10" i="102"/>
  <c r="I10" i="102"/>
  <c r="O10" i="102"/>
  <c r="V10" i="102"/>
  <c r="AA10" i="102"/>
  <c r="AG10" i="102"/>
  <c r="D11" i="102"/>
  <c r="I11" i="102"/>
  <c r="O11" i="102"/>
  <c r="V11" i="102"/>
  <c r="AA11" i="102"/>
  <c r="AG11" i="102"/>
  <c r="D12" i="102"/>
  <c r="I12" i="102"/>
  <c r="O12" i="102"/>
  <c r="V12" i="102"/>
  <c r="AA12" i="102"/>
  <c r="AG12" i="102"/>
  <c r="D13" i="102"/>
  <c r="I13" i="102"/>
  <c r="O13" i="102"/>
  <c r="V13" i="102"/>
  <c r="AA13" i="102"/>
  <c r="AG13" i="102"/>
  <c r="AJ27" i="102"/>
  <c r="AF27" i="102"/>
  <c r="AB27" i="102"/>
  <c r="X27" i="102"/>
  <c r="AJ26" i="102"/>
  <c r="AF26" i="102"/>
  <c r="AB26" i="102"/>
  <c r="X26" i="102"/>
  <c r="AJ25" i="102"/>
  <c r="AF25" i="102"/>
  <c r="AB25" i="102"/>
  <c r="X25" i="102"/>
  <c r="AJ24" i="102"/>
  <c r="AF24" i="102"/>
  <c r="AB24" i="102"/>
  <c r="X24" i="102"/>
  <c r="AH22" i="102"/>
  <c r="G24" i="102"/>
  <c r="L24" i="102"/>
  <c r="Q24" i="102"/>
  <c r="Y24" i="102"/>
  <c r="AD24" i="102"/>
  <c r="AI24" i="102"/>
  <c r="G25" i="102"/>
  <c r="L25" i="102"/>
  <c r="Q25" i="102"/>
  <c r="Y25" i="102"/>
  <c r="AD25" i="102"/>
  <c r="AI25" i="102"/>
  <c r="G26" i="102"/>
  <c r="L26" i="102"/>
  <c r="Q26" i="102"/>
  <c r="Y26" i="102"/>
  <c r="AD26" i="102"/>
  <c r="AI26" i="102"/>
  <c r="G27" i="102"/>
  <c r="L27" i="102"/>
  <c r="Q27" i="102"/>
  <c r="Y27" i="102"/>
  <c r="AD27" i="102"/>
  <c r="AI27" i="102"/>
  <c r="R41" i="102"/>
  <c r="N41" i="102"/>
  <c r="J41" i="102"/>
  <c r="F41" i="102"/>
  <c r="R40" i="102"/>
  <c r="N40" i="102"/>
  <c r="J40" i="102"/>
  <c r="F40" i="102"/>
  <c r="R39" i="102"/>
  <c r="N39" i="102"/>
  <c r="J39" i="102"/>
  <c r="F39" i="102"/>
  <c r="R38" i="102"/>
  <c r="N38" i="102"/>
  <c r="J38" i="102"/>
  <c r="F38" i="102"/>
  <c r="D38" i="102"/>
  <c r="I38" i="102"/>
  <c r="O38" i="102"/>
  <c r="V38" i="102"/>
  <c r="AA38" i="102"/>
  <c r="AG38" i="102"/>
  <c r="D39" i="102"/>
  <c r="I39" i="102"/>
  <c r="O39" i="102"/>
  <c r="V39" i="102"/>
  <c r="AA39" i="102"/>
  <c r="AG39" i="102"/>
  <c r="D40" i="102"/>
  <c r="I40" i="102"/>
  <c r="O40" i="102"/>
  <c r="V40" i="102"/>
  <c r="AA40" i="102"/>
  <c r="AG40" i="102"/>
  <c r="D41" i="102"/>
  <c r="I41" i="102"/>
  <c r="O41" i="102"/>
  <c r="V41" i="102"/>
  <c r="AA41" i="102"/>
  <c r="AG41" i="102"/>
  <c r="AJ55" i="102"/>
  <c r="AF55" i="102"/>
  <c r="AB55" i="102"/>
  <c r="X55" i="102"/>
  <c r="AJ54" i="102"/>
  <c r="AF54" i="102"/>
  <c r="AB54" i="102"/>
  <c r="X54" i="102"/>
  <c r="AJ53" i="102"/>
  <c r="AF53" i="102"/>
  <c r="AB53" i="102"/>
  <c r="X53" i="102"/>
  <c r="AJ52" i="102"/>
  <c r="AF52" i="102"/>
  <c r="AB52" i="102"/>
  <c r="X52" i="102"/>
  <c r="AH50" i="102"/>
  <c r="AI55" i="102"/>
  <c r="AE55" i="102"/>
  <c r="AA55" i="102"/>
  <c r="W55" i="102"/>
  <c r="AI54" i="102"/>
  <c r="AE54" i="102"/>
  <c r="AA54" i="102"/>
  <c r="W54" i="102"/>
  <c r="G52" i="102"/>
  <c r="L52" i="102"/>
  <c r="Q52" i="102"/>
  <c r="Y52" i="102"/>
  <c r="AD52" i="102"/>
  <c r="AI52" i="102"/>
  <c r="G53" i="102"/>
  <c r="L53" i="102"/>
  <c r="Q53" i="102"/>
  <c r="Y53" i="102"/>
  <c r="AD53" i="102"/>
  <c r="AI53" i="102"/>
  <c r="G54" i="102"/>
  <c r="O54" i="102"/>
  <c r="Y54" i="102"/>
  <c r="AG54" i="102"/>
  <c r="G55" i="102"/>
  <c r="O55" i="102"/>
  <c r="Y55" i="102"/>
  <c r="AG55" i="102"/>
  <c r="H59" i="102"/>
  <c r="P59" i="102"/>
  <c r="H60" i="102"/>
  <c r="P60" i="102"/>
  <c r="M61" i="102"/>
  <c r="M62" i="102"/>
  <c r="O104" i="102"/>
  <c r="K104" i="102"/>
  <c r="G104" i="102"/>
  <c r="C104" i="102"/>
  <c r="O103" i="102"/>
  <c r="K103" i="102"/>
  <c r="G103" i="102"/>
  <c r="C103" i="102"/>
  <c r="O102" i="102"/>
  <c r="K102" i="102"/>
  <c r="G102" i="102"/>
  <c r="C102" i="102"/>
  <c r="O101" i="102"/>
  <c r="K101" i="102"/>
  <c r="G101" i="102"/>
  <c r="C101" i="102"/>
  <c r="O76" i="102"/>
  <c r="K76" i="102"/>
  <c r="G76" i="102"/>
  <c r="C76" i="102"/>
  <c r="R104" i="102"/>
  <c r="M104" i="102"/>
  <c r="H104" i="102"/>
  <c r="R103" i="102"/>
  <c r="M103" i="102"/>
  <c r="H103" i="102"/>
  <c r="R102" i="102"/>
  <c r="M102" i="102"/>
  <c r="H102" i="102"/>
  <c r="R101" i="102"/>
  <c r="M101" i="102"/>
  <c r="H101" i="102"/>
  <c r="R76" i="102"/>
  <c r="M76" i="102"/>
  <c r="H76" i="102"/>
  <c r="P75" i="102"/>
  <c r="L75" i="102"/>
  <c r="H75" i="102"/>
  <c r="D75" i="102"/>
  <c r="P74" i="102"/>
  <c r="L74" i="102"/>
  <c r="H74" i="102"/>
  <c r="D74" i="102"/>
  <c r="P73" i="102"/>
  <c r="L73" i="102"/>
  <c r="H73" i="102"/>
  <c r="D73" i="102"/>
  <c r="P71" i="102"/>
  <c r="L104" i="102"/>
  <c r="E104" i="102"/>
  <c r="P103" i="102"/>
  <c r="I103" i="102"/>
  <c r="L102" i="102"/>
  <c r="E102" i="102"/>
  <c r="P101" i="102"/>
  <c r="I101" i="102"/>
  <c r="L76" i="102"/>
  <c r="E76" i="102"/>
  <c r="R75" i="102"/>
  <c r="M75" i="102"/>
  <c r="G75" i="102"/>
  <c r="R74" i="102"/>
  <c r="M74" i="102"/>
  <c r="G74" i="102"/>
  <c r="R73" i="102"/>
  <c r="M73" i="102"/>
  <c r="G73" i="102"/>
  <c r="Q104" i="102"/>
  <c r="J104" i="102"/>
  <c r="D104" i="102"/>
  <c r="N103" i="102"/>
  <c r="F103" i="102"/>
  <c r="Q102" i="102"/>
  <c r="J102" i="102"/>
  <c r="D102" i="102"/>
  <c r="N101" i="102"/>
  <c r="F101" i="102"/>
  <c r="Q76" i="102"/>
  <c r="J76" i="102"/>
  <c r="D76" i="102"/>
  <c r="Q75" i="102"/>
  <c r="K75" i="102"/>
  <c r="F75" i="102"/>
  <c r="Q74" i="102"/>
  <c r="K74" i="102"/>
  <c r="F74" i="102"/>
  <c r="Q73" i="102"/>
  <c r="K73" i="102"/>
  <c r="F73" i="102"/>
  <c r="I73" i="102"/>
  <c r="I74" i="102"/>
  <c r="I75" i="102"/>
  <c r="N76" i="102"/>
  <c r="E101" i="102"/>
  <c r="I102" i="102"/>
  <c r="L103" i="102"/>
  <c r="P104" i="102"/>
  <c r="AA17" i="105"/>
  <c r="X18" i="105"/>
  <c r="W19" i="105"/>
  <c r="V20" i="105"/>
  <c r="AI20" i="105"/>
  <c r="V47" i="105"/>
  <c r="AI47" i="105"/>
  <c r="Y82" i="105"/>
  <c r="U83" i="105"/>
  <c r="P92" i="105"/>
  <c r="K94" i="105"/>
  <c r="O95" i="105"/>
  <c r="AH62" i="102"/>
  <c r="AD62" i="102"/>
  <c r="Z62" i="102"/>
  <c r="V62" i="102"/>
  <c r="AH61" i="102"/>
  <c r="AD61" i="102"/>
  <c r="Z61" i="102"/>
  <c r="V61" i="102"/>
  <c r="AH60" i="102"/>
  <c r="AD60" i="102"/>
  <c r="W59" i="102"/>
  <c r="AA59" i="102"/>
  <c r="AE59" i="102"/>
  <c r="AI59" i="102"/>
  <c r="W60" i="102"/>
  <c r="AA60" i="102"/>
  <c r="AF60" i="102"/>
  <c r="U61" i="102"/>
  <c r="AA61" i="102"/>
  <c r="AF61" i="102"/>
  <c r="U62" i="102"/>
  <c r="AA62" i="102"/>
  <c r="AF62" i="102"/>
  <c r="P69" i="102"/>
  <c r="L69" i="102"/>
  <c r="H69" i="102"/>
  <c r="D69" i="102"/>
  <c r="P68" i="102"/>
  <c r="L68" i="102"/>
  <c r="H68" i="102"/>
  <c r="D68" i="102"/>
  <c r="P67" i="102"/>
  <c r="L67" i="102"/>
  <c r="H67" i="102"/>
  <c r="D67" i="102"/>
  <c r="P66" i="102"/>
  <c r="L66" i="102"/>
  <c r="H66" i="102"/>
  <c r="D66" i="102"/>
  <c r="P64" i="102"/>
  <c r="E66" i="102"/>
  <c r="J66" i="102"/>
  <c r="O66" i="102"/>
  <c r="E67" i="102"/>
  <c r="J67" i="102"/>
  <c r="O67" i="102"/>
  <c r="E68" i="102"/>
  <c r="J68" i="102"/>
  <c r="O68" i="102"/>
  <c r="E69" i="102"/>
  <c r="J69" i="102"/>
  <c r="O69" i="102"/>
  <c r="AG76" i="102"/>
  <c r="AC76" i="102"/>
  <c r="Y76" i="102"/>
  <c r="U76" i="102"/>
  <c r="AG75" i="102"/>
  <c r="AC75" i="102"/>
  <c r="AJ76" i="102"/>
  <c r="AE76" i="102"/>
  <c r="Z76" i="102"/>
  <c r="AJ75" i="102"/>
  <c r="AE75" i="102"/>
  <c r="Z75" i="102"/>
  <c r="V75" i="102"/>
  <c r="AH74" i="102"/>
  <c r="AD74" i="102"/>
  <c r="Z74" i="102"/>
  <c r="V74" i="102"/>
  <c r="AH73" i="102"/>
  <c r="AD73" i="102"/>
  <c r="Z73" i="102"/>
  <c r="V73" i="102"/>
  <c r="X73" i="102"/>
  <c r="AC73" i="102"/>
  <c r="AI73" i="102"/>
  <c r="X74" i="102"/>
  <c r="AC74" i="102"/>
  <c r="AI74" i="102"/>
  <c r="X75" i="102"/>
  <c r="AD75" i="102"/>
  <c r="AA76" i="102"/>
  <c r="AH76" i="102"/>
  <c r="AG13" i="105"/>
  <c r="AC13" i="105"/>
  <c r="Y13" i="105"/>
  <c r="U13" i="105"/>
  <c r="AG12" i="105"/>
  <c r="AC12" i="105"/>
  <c r="Y12" i="105"/>
  <c r="U12" i="105"/>
  <c r="AG11" i="105"/>
  <c r="AC11" i="105"/>
  <c r="Y11" i="105"/>
  <c r="U11" i="105"/>
  <c r="AG10" i="105"/>
  <c r="AC10" i="105"/>
  <c r="Y10" i="105"/>
  <c r="U10" i="105"/>
  <c r="AJ13" i="105"/>
  <c r="AE13" i="105"/>
  <c r="Z13" i="105"/>
  <c r="AJ12" i="105"/>
  <c r="AE12" i="105"/>
  <c r="Z12" i="105"/>
  <c r="AJ11" i="105"/>
  <c r="AE11" i="105"/>
  <c r="Z11" i="105"/>
  <c r="AJ10" i="105"/>
  <c r="AE10" i="105"/>
  <c r="Z10" i="105"/>
  <c r="AH8" i="105"/>
  <c r="AA10" i="105"/>
  <c r="AH10" i="105"/>
  <c r="X11" i="105"/>
  <c r="AF11" i="105"/>
  <c r="W12" i="105"/>
  <c r="AD12" i="105"/>
  <c r="V13" i="105"/>
  <c r="AB13" i="105"/>
  <c r="AI13" i="105"/>
  <c r="AG41" i="105"/>
  <c r="AC41" i="105"/>
  <c r="Y41" i="105"/>
  <c r="U41" i="105"/>
  <c r="AG40" i="105"/>
  <c r="AC40" i="105"/>
  <c r="Y40" i="105"/>
  <c r="U40" i="105"/>
  <c r="AG39" i="105"/>
  <c r="AC39" i="105"/>
  <c r="Y39" i="105"/>
  <c r="U39" i="105"/>
  <c r="AG38" i="105"/>
  <c r="AC38" i="105"/>
  <c r="Y38" i="105"/>
  <c r="U38" i="105"/>
  <c r="AJ41" i="105"/>
  <c r="AE41" i="105"/>
  <c r="Z41" i="105"/>
  <c r="AJ40" i="105"/>
  <c r="AE40" i="105"/>
  <c r="Z40" i="105"/>
  <c r="AJ39" i="105"/>
  <c r="AE39" i="105"/>
  <c r="Z39" i="105"/>
  <c r="AJ38" i="105"/>
  <c r="AE38" i="105"/>
  <c r="Z38" i="105"/>
  <c r="AH36" i="105"/>
  <c r="AA38" i="105"/>
  <c r="AH38" i="105"/>
  <c r="X39" i="105"/>
  <c r="AF39" i="105"/>
  <c r="W40" i="105"/>
  <c r="AD40" i="105"/>
  <c r="V41" i="105"/>
  <c r="AB41" i="105"/>
  <c r="AI41" i="105"/>
  <c r="W60" i="105"/>
  <c r="AD60" i="105"/>
  <c r="V61" i="105"/>
  <c r="AB61" i="105"/>
  <c r="AI61" i="105"/>
  <c r="AA62" i="105"/>
  <c r="AJ69" i="105"/>
  <c r="AF69" i="105"/>
  <c r="AB69" i="105"/>
  <c r="X69" i="105"/>
  <c r="AJ68" i="105"/>
  <c r="AF68" i="105"/>
  <c r="AB68" i="105"/>
  <c r="X68" i="105"/>
  <c r="AJ67" i="105"/>
  <c r="AF67" i="105"/>
  <c r="AB67" i="105"/>
  <c r="AI69" i="105"/>
  <c r="AD69" i="105"/>
  <c r="Y69" i="105"/>
  <c r="AI68" i="105"/>
  <c r="AD68" i="105"/>
  <c r="Y68" i="105"/>
  <c r="AI67" i="105"/>
  <c r="AD67" i="105"/>
  <c r="Y67" i="105"/>
  <c r="U67" i="105"/>
  <c r="AG66" i="105"/>
  <c r="AC66" i="105"/>
  <c r="Y66" i="105"/>
  <c r="U66" i="105"/>
  <c r="AG69" i="105"/>
  <c r="Z69" i="105"/>
  <c r="AC68" i="105"/>
  <c r="V68" i="105"/>
  <c r="AG67" i="105"/>
  <c r="Z67" i="105"/>
  <c r="AJ66" i="105"/>
  <c r="AE66" i="105"/>
  <c r="Z66" i="105"/>
  <c r="AH64" i="105"/>
  <c r="AA66" i="105"/>
  <c r="AH66" i="105"/>
  <c r="X67" i="105"/>
  <c r="AH67" i="105"/>
  <c r="Z68" i="105"/>
  <c r="AH68" i="105"/>
  <c r="W69" i="105"/>
  <c r="AH69" i="105"/>
  <c r="I74" i="105"/>
  <c r="Q74" i="105"/>
  <c r="E75" i="105"/>
  <c r="O75" i="105"/>
  <c r="AJ83" i="105"/>
  <c r="AF83" i="105"/>
  <c r="AB83" i="105"/>
  <c r="X83" i="105"/>
  <c r="AJ82" i="105"/>
  <c r="AF82" i="105"/>
  <c r="AB82" i="105"/>
  <c r="X82" i="105"/>
  <c r="AJ81" i="105"/>
  <c r="AF81" i="105"/>
  <c r="AB81" i="105"/>
  <c r="X81" i="105"/>
  <c r="AJ80" i="105"/>
  <c r="AF80" i="105"/>
  <c r="AB80" i="105"/>
  <c r="X80" i="105"/>
  <c r="AH78" i="105"/>
  <c r="AG83" i="105"/>
  <c r="AA83" i="105"/>
  <c r="V83" i="105"/>
  <c r="AG82" i="105"/>
  <c r="AA82" i="105"/>
  <c r="V82" i="105"/>
  <c r="AG81" i="105"/>
  <c r="AA81" i="105"/>
  <c r="V81" i="105"/>
  <c r="AG80" i="105"/>
  <c r="AA80" i="105"/>
  <c r="V80" i="105"/>
  <c r="AE83" i="105"/>
  <c r="Y83" i="105"/>
  <c r="AI82" i="105"/>
  <c r="AC82" i="105"/>
  <c r="U82" i="105"/>
  <c r="AD83" i="105"/>
  <c r="W83" i="105"/>
  <c r="AH82" i="105"/>
  <c r="Z82" i="105"/>
  <c r="AD81" i="105"/>
  <c r="W81" i="105"/>
  <c r="AH80" i="105"/>
  <c r="Z80" i="105"/>
  <c r="Y80" i="105"/>
  <c r="AI80" i="105"/>
  <c r="Z81" i="105"/>
  <c r="AI81" i="105"/>
  <c r="AD82" i="105"/>
  <c r="Z83" i="105"/>
  <c r="M94" i="105"/>
  <c r="H97" i="105"/>
  <c r="AH57" i="102"/>
  <c r="X59" i="102"/>
  <c r="AB59" i="102"/>
  <c r="AF59" i="102"/>
  <c r="AJ59" i="102"/>
  <c r="X60" i="102"/>
  <c r="AB60" i="102"/>
  <c r="AG60" i="102"/>
  <c r="W61" i="102"/>
  <c r="AB61" i="102"/>
  <c r="AG61" i="102"/>
  <c r="W62" i="102"/>
  <c r="AB62" i="102"/>
  <c r="AG62" i="102"/>
  <c r="AG97" i="102"/>
  <c r="AC97" i="102"/>
  <c r="Y97" i="102"/>
  <c r="U97" i="102"/>
  <c r="AG96" i="102"/>
  <c r="AC96" i="102"/>
  <c r="Y96" i="102"/>
  <c r="U96" i="102"/>
  <c r="AG95" i="102"/>
  <c r="AC95" i="102"/>
  <c r="Y95" i="102"/>
  <c r="U95" i="102"/>
  <c r="AG94" i="102"/>
  <c r="AC94" i="102"/>
  <c r="Y94" i="102"/>
  <c r="U94" i="102"/>
  <c r="AG90" i="102"/>
  <c r="AC90" i="102"/>
  <c r="Y90" i="102"/>
  <c r="U90" i="102"/>
  <c r="AG89" i="102"/>
  <c r="AC89" i="102"/>
  <c r="Y89" i="102"/>
  <c r="U89" i="102"/>
  <c r="AG88" i="102"/>
  <c r="AC88" i="102"/>
  <c r="Y88" i="102"/>
  <c r="U88" i="102"/>
  <c r="AG87" i="102"/>
  <c r="AC87" i="102"/>
  <c r="Y87" i="102"/>
  <c r="U87" i="102"/>
  <c r="AG83" i="102"/>
  <c r="AC83" i="102"/>
  <c r="Y83" i="102"/>
  <c r="U83" i="102"/>
  <c r="AG82" i="102"/>
  <c r="AC82" i="102"/>
  <c r="Y82" i="102"/>
  <c r="U82" i="102"/>
  <c r="AG81" i="102"/>
  <c r="AC81" i="102"/>
  <c r="Y81" i="102"/>
  <c r="U81" i="102"/>
  <c r="AG80" i="102"/>
  <c r="AC80" i="102"/>
  <c r="Y80" i="102"/>
  <c r="U80" i="102"/>
  <c r="AJ97" i="102"/>
  <c r="AE97" i="102"/>
  <c r="Z97" i="102"/>
  <c r="AJ96" i="102"/>
  <c r="AE96" i="102"/>
  <c r="Z96" i="102"/>
  <c r="AJ95" i="102"/>
  <c r="AE95" i="102"/>
  <c r="Z95" i="102"/>
  <c r="AJ94" i="102"/>
  <c r="AE94" i="102"/>
  <c r="Z94" i="102"/>
  <c r="AJ90" i="102"/>
  <c r="AE90" i="102"/>
  <c r="Z90" i="102"/>
  <c r="AJ89" i="102"/>
  <c r="AE89" i="102"/>
  <c r="Z89" i="102"/>
  <c r="AJ88" i="102"/>
  <c r="AE88" i="102"/>
  <c r="Z88" i="102"/>
  <c r="AJ87" i="102"/>
  <c r="AE87" i="102"/>
  <c r="Z87" i="102"/>
  <c r="AJ83" i="102"/>
  <c r="AE83" i="102"/>
  <c r="Z83" i="102"/>
  <c r="AJ82" i="102"/>
  <c r="AE82" i="102"/>
  <c r="Z82" i="102"/>
  <c r="AJ81" i="102"/>
  <c r="AE81" i="102"/>
  <c r="Z81" i="102"/>
  <c r="AJ80" i="102"/>
  <c r="AE80" i="102"/>
  <c r="Z80" i="102"/>
  <c r="AH69" i="102"/>
  <c r="AD69" i="102"/>
  <c r="Z69" i="102"/>
  <c r="V69" i="102"/>
  <c r="AH68" i="102"/>
  <c r="AD68" i="102"/>
  <c r="Z68" i="102"/>
  <c r="V68" i="102"/>
  <c r="AH67" i="102"/>
  <c r="AD67" i="102"/>
  <c r="Z67" i="102"/>
  <c r="V67" i="102"/>
  <c r="AH66" i="102"/>
  <c r="AD66" i="102"/>
  <c r="Z66" i="102"/>
  <c r="V66" i="102"/>
  <c r="F66" i="102"/>
  <c r="K66" i="102"/>
  <c r="Q66" i="102"/>
  <c r="X66" i="102"/>
  <c r="AC66" i="102"/>
  <c r="AI66" i="102"/>
  <c r="F67" i="102"/>
  <c r="K67" i="102"/>
  <c r="Q67" i="102"/>
  <c r="X67" i="102"/>
  <c r="AC67" i="102"/>
  <c r="AI67" i="102"/>
  <c r="F68" i="102"/>
  <c r="K68" i="102"/>
  <c r="Q68" i="102"/>
  <c r="X68" i="102"/>
  <c r="AC68" i="102"/>
  <c r="AI68" i="102"/>
  <c r="F69" i="102"/>
  <c r="K69" i="102"/>
  <c r="Q69" i="102"/>
  <c r="X69" i="102"/>
  <c r="AC69" i="102"/>
  <c r="AI69" i="102"/>
  <c r="AH71" i="102"/>
  <c r="Y73" i="102"/>
  <c r="AE73" i="102"/>
  <c r="AJ73" i="102"/>
  <c r="Y74" i="102"/>
  <c r="AE74" i="102"/>
  <c r="AJ74" i="102"/>
  <c r="Y75" i="102"/>
  <c r="AF75" i="102"/>
  <c r="V76" i="102"/>
  <c r="AB76" i="102"/>
  <c r="AI76" i="102"/>
  <c r="V80" i="102"/>
  <c r="AB80" i="102"/>
  <c r="AI80" i="102"/>
  <c r="AA81" i="102"/>
  <c r="AH81" i="102"/>
  <c r="X82" i="102"/>
  <c r="AF82" i="102"/>
  <c r="W83" i="102"/>
  <c r="AD83" i="102"/>
  <c r="W87" i="102"/>
  <c r="AD87" i="102"/>
  <c r="V88" i="102"/>
  <c r="AB88" i="102"/>
  <c r="AI88" i="102"/>
  <c r="AA89" i="102"/>
  <c r="AH89" i="102"/>
  <c r="X90" i="102"/>
  <c r="AF90" i="102"/>
  <c r="X94" i="102"/>
  <c r="AF94" i="102"/>
  <c r="W95" i="102"/>
  <c r="AD95" i="102"/>
  <c r="V96" i="102"/>
  <c r="AB96" i="102"/>
  <c r="AI96" i="102"/>
  <c r="AA97" i="102"/>
  <c r="AH97" i="102"/>
  <c r="AG104" i="102"/>
  <c r="AC104" i="102"/>
  <c r="Y104" i="102"/>
  <c r="U104" i="102"/>
  <c r="AG103" i="102"/>
  <c r="AC103" i="102"/>
  <c r="Y103" i="102"/>
  <c r="U103" i="102"/>
  <c r="AG102" i="102"/>
  <c r="AC102" i="102"/>
  <c r="Y102" i="102"/>
  <c r="U102" i="102"/>
  <c r="AG101" i="102"/>
  <c r="AC101" i="102"/>
  <c r="Y101" i="102"/>
  <c r="U101" i="102"/>
  <c r="AJ104" i="102"/>
  <c r="AE104" i="102"/>
  <c r="Z104" i="102"/>
  <c r="AJ103" i="102"/>
  <c r="AE103" i="102"/>
  <c r="Z103" i="102"/>
  <c r="AJ102" i="102"/>
  <c r="AE102" i="102"/>
  <c r="Z102" i="102"/>
  <c r="AJ101" i="102"/>
  <c r="AE101" i="102"/>
  <c r="Z101" i="102"/>
  <c r="AH99" i="102"/>
  <c r="X101" i="102"/>
  <c r="AF101" i="102"/>
  <c r="V102" i="102"/>
  <c r="AB102" i="102"/>
  <c r="AI102" i="102"/>
  <c r="X103" i="102"/>
  <c r="AF103" i="102"/>
  <c r="V104" i="102"/>
  <c r="AB104" i="102"/>
  <c r="AI104" i="102"/>
  <c r="V10" i="105"/>
  <c r="AB10" i="105"/>
  <c r="AI10" i="105"/>
  <c r="AA11" i="105"/>
  <c r="AH11" i="105"/>
  <c r="X12" i="105"/>
  <c r="AF12" i="105"/>
  <c r="W13" i="105"/>
  <c r="AD13" i="105"/>
  <c r="AG34" i="105"/>
  <c r="AC34" i="105"/>
  <c r="Y34" i="105"/>
  <c r="U34" i="105"/>
  <c r="AG33" i="105"/>
  <c r="AC33" i="105"/>
  <c r="Y33" i="105"/>
  <c r="U33" i="105"/>
  <c r="AG32" i="105"/>
  <c r="AC32" i="105"/>
  <c r="Y32" i="105"/>
  <c r="U32" i="105"/>
  <c r="AG31" i="105"/>
  <c r="AC31" i="105"/>
  <c r="Y31" i="105"/>
  <c r="U31" i="105"/>
  <c r="AJ34" i="105"/>
  <c r="AE34" i="105"/>
  <c r="Z34" i="105"/>
  <c r="AJ33" i="105"/>
  <c r="AE33" i="105"/>
  <c r="Z33" i="105"/>
  <c r="AJ32" i="105"/>
  <c r="AE32" i="105"/>
  <c r="Z32" i="105"/>
  <c r="AJ31" i="105"/>
  <c r="AE31" i="105"/>
  <c r="Z31" i="105"/>
  <c r="AH29" i="105"/>
  <c r="AA31" i="105"/>
  <c r="AH31" i="105"/>
  <c r="X32" i="105"/>
  <c r="AF32" i="105"/>
  <c r="W33" i="105"/>
  <c r="AD33" i="105"/>
  <c r="V34" i="105"/>
  <c r="AB34" i="105"/>
  <c r="AI34" i="105"/>
  <c r="V38" i="105"/>
  <c r="AB38" i="105"/>
  <c r="AI38" i="105"/>
  <c r="AA39" i="105"/>
  <c r="AH39" i="105"/>
  <c r="X40" i="105"/>
  <c r="AF40" i="105"/>
  <c r="W41" i="105"/>
  <c r="AD41" i="105"/>
  <c r="AG62" i="105"/>
  <c r="AC62" i="105"/>
  <c r="Y62" i="105"/>
  <c r="U62" i="105"/>
  <c r="AG61" i="105"/>
  <c r="AC61" i="105"/>
  <c r="Y61" i="105"/>
  <c r="U61" i="105"/>
  <c r="AG60" i="105"/>
  <c r="AC60" i="105"/>
  <c r="Y60" i="105"/>
  <c r="U60" i="105"/>
  <c r="AG59" i="105"/>
  <c r="AC59" i="105"/>
  <c r="Y59" i="105"/>
  <c r="U59" i="105"/>
  <c r="AJ62" i="105"/>
  <c r="AE62" i="105"/>
  <c r="Z62" i="105"/>
  <c r="AJ61" i="105"/>
  <c r="AE61" i="105"/>
  <c r="Z61" i="105"/>
  <c r="AJ60" i="105"/>
  <c r="AE60" i="105"/>
  <c r="Z60" i="105"/>
  <c r="AJ59" i="105"/>
  <c r="AE59" i="105"/>
  <c r="Z59" i="105"/>
  <c r="AH57" i="105"/>
  <c r="AA59" i="105"/>
  <c r="AH59" i="105"/>
  <c r="X60" i="105"/>
  <c r="AF60" i="105"/>
  <c r="W61" i="105"/>
  <c r="AD61" i="105"/>
  <c r="V62" i="105"/>
  <c r="AB62" i="105"/>
  <c r="AI62" i="105"/>
  <c r="V66" i="105"/>
  <c r="AB66" i="105"/>
  <c r="AI66" i="105"/>
  <c r="AA67" i="105"/>
  <c r="AA68" i="105"/>
  <c r="AA69" i="105"/>
  <c r="R76" i="105"/>
  <c r="N76" i="105"/>
  <c r="J76" i="105"/>
  <c r="F76" i="105"/>
  <c r="R75" i="105"/>
  <c r="N75" i="105"/>
  <c r="J75" i="105"/>
  <c r="F75" i="105"/>
  <c r="R74" i="105"/>
  <c r="N74" i="105"/>
  <c r="J74" i="105"/>
  <c r="F74" i="105"/>
  <c r="R73" i="105"/>
  <c r="N73" i="105"/>
  <c r="J73" i="105"/>
  <c r="F73" i="105"/>
  <c r="M76" i="105"/>
  <c r="H76" i="105"/>
  <c r="C76" i="105"/>
  <c r="M75" i="105"/>
  <c r="H75" i="105"/>
  <c r="C75" i="105"/>
  <c r="M74" i="105"/>
  <c r="H74" i="105"/>
  <c r="C74" i="105"/>
  <c r="M73" i="105"/>
  <c r="H73" i="105"/>
  <c r="C73" i="105"/>
  <c r="L76" i="105"/>
  <c r="E76" i="105"/>
  <c r="P75" i="105"/>
  <c r="I75" i="105"/>
  <c r="L74" i="105"/>
  <c r="E74" i="105"/>
  <c r="P73" i="105"/>
  <c r="I73" i="105"/>
  <c r="E73" i="105"/>
  <c r="O73" i="105"/>
  <c r="K74" i="105"/>
  <c r="G75" i="105"/>
  <c r="Q75" i="105"/>
  <c r="D76" i="105"/>
  <c r="O76" i="105"/>
  <c r="AC80" i="105"/>
  <c r="AC81" i="105"/>
  <c r="AE82" i="105"/>
  <c r="AC83" i="105"/>
  <c r="D94" i="105"/>
  <c r="D96" i="105"/>
  <c r="R97" i="105"/>
  <c r="N97" i="105"/>
  <c r="J97" i="105"/>
  <c r="F97" i="105"/>
  <c r="R96" i="105"/>
  <c r="N96" i="105"/>
  <c r="J96" i="105"/>
  <c r="F96" i="105"/>
  <c r="R95" i="105"/>
  <c r="N95" i="105"/>
  <c r="J95" i="105"/>
  <c r="F95" i="105"/>
  <c r="R94" i="105"/>
  <c r="N94" i="105"/>
  <c r="J94" i="105"/>
  <c r="F94" i="105"/>
  <c r="Q97" i="105"/>
  <c r="L97" i="105"/>
  <c r="G97" i="105"/>
  <c r="Q96" i="105"/>
  <c r="L96" i="105"/>
  <c r="G96" i="105"/>
  <c r="Q95" i="105"/>
  <c r="L95" i="105"/>
  <c r="G95" i="105"/>
  <c r="Q94" i="105"/>
  <c r="L94" i="105"/>
  <c r="G94" i="105"/>
  <c r="M97" i="105"/>
  <c r="E97" i="105"/>
  <c r="P96" i="105"/>
  <c r="I96" i="105"/>
  <c r="C96" i="105"/>
  <c r="M95" i="105"/>
  <c r="E95" i="105"/>
  <c r="P94" i="105"/>
  <c r="I94" i="105"/>
  <c r="C94" i="105"/>
  <c r="K97" i="105"/>
  <c r="D97" i="105"/>
  <c r="O96" i="105"/>
  <c r="H96" i="105"/>
  <c r="K95" i="105"/>
  <c r="D95" i="105"/>
  <c r="O94" i="105"/>
  <c r="H94" i="105"/>
  <c r="P97" i="105"/>
  <c r="I97" i="105"/>
  <c r="C97" i="105"/>
  <c r="M96" i="105"/>
  <c r="E96" i="105"/>
  <c r="P95" i="105"/>
  <c r="I95" i="105"/>
  <c r="C95" i="105"/>
  <c r="E94" i="105"/>
  <c r="H95" i="105"/>
  <c r="K96" i="105"/>
  <c r="K38" i="81"/>
  <c r="G38" i="81"/>
  <c r="C38" i="81"/>
  <c r="I38" i="81"/>
  <c r="D38" i="81"/>
  <c r="E38" i="81" s="1"/>
  <c r="F38" i="81"/>
  <c r="L38" i="81"/>
  <c r="K46" i="81"/>
  <c r="G46" i="81"/>
  <c r="C46" i="81"/>
  <c r="I46" i="81"/>
  <c r="D46" i="81"/>
  <c r="F46" i="81"/>
  <c r="L46" i="81"/>
  <c r="K62" i="81"/>
  <c r="G62" i="81"/>
  <c r="C62" i="81"/>
  <c r="I62" i="81"/>
  <c r="D62" i="81"/>
  <c r="F62" i="81"/>
  <c r="L62" i="81"/>
  <c r="AJ104" i="105"/>
  <c r="AF104" i="105"/>
  <c r="AB104" i="105"/>
  <c r="X104" i="105"/>
  <c r="AJ103" i="105"/>
  <c r="AF103" i="105"/>
  <c r="AB103" i="105"/>
  <c r="X103" i="105"/>
  <c r="AJ102" i="105"/>
  <c r="AF102" i="105"/>
  <c r="AB102" i="105"/>
  <c r="X102" i="105"/>
  <c r="AJ101" i="105"/>
  <c r="AF101" i="105"/>
  <c r="AB101" i="105"/>
  <c r="X101" i="105"/>
  <c r="AH99" i="105"/>
  <c r="AE104" i="105"/>
  <c r="Z104" i="105"/>
  <c r="U104" i="105"/>
  <c r="AE103" i="105"/>
  <c r="Z103" i="105"/>
  <c r="U103" i="105"/>
  <c r="AE102" i="105"/>
  <c r="Z102" i="105"/>
  <c r="U102" i="105"/>
  <c r="AE101" i="105"/>
  <c r="Z101" i="105"/>
  <c r="U101" i="105"/>
  <c r="Y101" i="105"/>
  <c r="AG101" i="105"/>
  <c r="V102" i="105"/>
  <c r="AC102" i="105"/>
  <c r="AI102" i="105"/>
  <c r="Y103" i="105"/>
  <c r="AG103" i="105"/>
  <c r="V104" i="105"/>
  <c r="AC104" i="105"/>
  <c r="AI104" i="105"/>
  <c r="K58" i="81"/>
  <c r="G58" i="81"/>
  <c r="C58" i="81"/>
  <c r="I58" i="81"/>
  <c r="D58" i="81"/>
  <c r="F58" i="81"/>
  <c r="L58" i="81"/>
  <c r="AJ76" i="105"/>
  <c r="AF76" i="105"/>
  <c r="AB76" i="105"/>
  <c r="X76" i="105"/>
  <c r="AJ75" i="105"/>
  <c r="AF75" i="105"/>
  <c r="AB75" i="105"/>
  <c r="X75" i="105"/>
  <c r="AJ74" i="105"/>
  <c r="AF74" i="105"/>
  <c r="AB74" i="105"/>
  <c r="X74" i="105"/>
  <c r="AJ73" i="105"/>
  <c r="AF73" i="105"/>
  <c r="AB73" i="105"/>
  <c r="X73" i="105"/>
  <c r="AH71" i="105"/>
  <c r="AE76" i="105"/>
  <c r="Z76" i="105"/>
  <c r="U76" i="105"/>
  <c r="AE75" i="105"/>
  <c r="Z75" i="105"/>
  <c r="U75" i="105"/>
  <c r="AE74" i="105"/>
  <c r="Z74" i="105"/>
  <c r="U74" i="105"/>
  <c r="AE73" i="105"/>
  <c r="Z73" i="105"/>
  <c r="U73" i="105"/>
  <c r="Y73" i="105"/>
  <c r="AG73" i="105"/>
  <c r="V74" i="105"/>
  <c r="AC74" i="105"/>
  <c r="AI74" i="105"/>
  <c r="Y75" i="105"/>
  <c r="AG75" i="105"/>
  <c r="V76" i="105"/>
  <c r="AC76" i="105"/>
  <c r="AI76" i="105"/>
  <c r="R90" i="105"/>
  <c r="N90" i="105"/>
  <c r="J90" i="105"/>
  <c r="F90" i="105"/>
  <c r="R89" i="105"/>
  <c r="N89" i="105"/>
  <c r="J89" i="105"/>
  <c r="F89" i="105"/>
  <c r="R88" i="105"/>
  <c r="N88" i="105"/>
  <c r="J88" i="105"/>
  <c r="F88" i="105"/>
  <c r="R87" i="105"/>
  <c r="N87" i="105"/>
  <c r="J87" i="105"/>
  <c r="F87" i="105"/>
  <c r="P90" i="105"/>
  <c r="K90" i="105"/>
  <c r="E90" i="105"/>
  <c r="P89" i="105"/>
  <c r="K89" i="105"/>
  <c r="E89" i="105"/>
  <c r="P88" i="105"/>
  <c r="K88" i="105"/>
  <c r="E88" i="105"/>
  <c r="P87" i="105"/>
  <c r="K87" i="105"/>
  <c r="E87" i="105"/>
  <c r="P85" i="105"/>
  <c r="G87" i="105"/>
  <c r="M87" i="105"/>
  <c r="V87" i="105"/>
  <c r="AD87" i="105"/>
  <c r="C88" i="105"/>
  <c r="I88" i="105"/>
  <c r="Q88" i="105"/>
  <c r="Z88" i="105"/>
  <c r="AG88" i="105"/>
  <c r="G89" i="105"/>
  <c r="M89" i="105"/>
  <c r="V89" i="105"/>
  <c r="AD89" i="105"/>
  <c r="C90" i="105"/>
  <c r="I90" i="105"/>
  <c r="Q90" i="105"/>
  <c r="Z90" i="105"/>
  <c r="D101" i="105"/>
  <c r="K101" i="105"/>
  <c r="Q101" i="105"/>
  <c r="AA101" i="105"/>
  <c r="AH101" i="105"/>
  <c r="G102" i="105"/>
  <c r="O102" i="105"/>
  <c r="W102" i="105"/>
  <c r="AD102" i="105"/>
  <c r="D103" i="105"/>
  <c r="K103" i="105"/>
  <c r="Q103" i="105"/>
  <c r="AA103" i="105"/>
  <c r="AH103" i="105"/>
  <c r="G104" i="105"/>
  <c r="W104" i="105"/>
  <c r="AD104" i="105"/>
  <c r="K42" i="81"/>
  <c r="G42" i="81"/>
  <c r="C42" i="81"/>
  <c r="I42" i="81"/>
  <c r="D42" i="81"/>
  <c r="F42" i="81"/>
  <c r="L42" i="81"/>
  <c r="K50" i="81"/>
  <c r="G50" i="81"/>
  <c r="C50" i="81"/>
  <c r="I50" i="81"/>
  <c r="D50" i="81"/>
  <c r="F50" i="81"/>
  <c r="L50" i="81"/>
  <c r="K54" i="81"/>
  <c r="G54" i="81"/>
  <c r="C54" i="81"/>
  <c r="I54" i="81"/>
  <c r="D54" i="81"/>
  <c r="F54" i="81"/>
  <c r="L54" i="81"/>
  <c r="AJ90" i="105"/>
  <c r="AF90" i="105"/>
  <c r="AB90" i="105"/>
  <c r="X90" i="105"/>
  <c r="AJ89" i="105"/>
  <c r="AF89" i="105"/>
  <c r="AB89" i="105"/>
  <c r="X89" i="105"/>
  <c r="AJ88" i="105"/>
  <c r="AF88" i="105"/>
  <c r="AB88" i="105"/>
  <c r="X88" i="105"/>
  <c r="AJ87" i="105"/>
  <c r="AF87" i="105"/>
  <c r="AB87" i="105"/>
  <c r="X87" i="105"/>
  <c r="AH85" i="105"/>
  <c r="AH90" i="105"/>
  <c r="AC90" i="105"/>
  <c r="W90" i="105"/>
  <c r="AH89" i="105"/>
  <c r="AC89" i="105"/>
  <c r="W89" i="105"/>
  <c r="AH88" i="105"/>
  <c r="AC88" i="105"/>
  <c r="W88" i="105"/>
  <c r="AH87" i="105"/>
  <c r="AC87" i="105"/>
  <c r="W87" i="105"/>
  <c r="Y87" i="105"/>
  <c r="AE87" i="105"/>
  <c r="U88" i="105"/>
  <c r="AA88" i="105"/>
  <c r="AI88" i="105"/>
  <c r="Y89" i="105"/>
  <c r="AE89" i="105"/>
  <c r="U90" i="105"/>
  <c r="AA90" i="105"/>
  <c r="AI90" i="105"/>
  <c r="R104" i="105"/>
  <c r="N104" i="105"/>
  <c r="J104" i="105"/>
  <c r="F104" i="105"/>
  <c r="R103" i="105"/>
  <c r="N103" i="105"/>
  <c r="J103" i="105"/>
  <c r="F103" i="105"/>
  <c r="R102" i="105"/>
  <c r="N102" i="105"/>
  <c r="J102" i="105"/>
  <c r="F102" i="105"/>
  <c r="R101" i="105"/>
  <c r="N101" i="105"/>
  <c r="J101" i="105"/>
  <c r="F101" i="105"/>
  <c r="M104" i="105"/>
  <c r="H104" i="105"/>
  <c r="C104" i="105"/>
  <c r="M103" i="105"/>
  <c r="H103" i="105"/>
  <c r="C103" i="105"/>
  <c r="M102" i="105"/>
  <c r="H102" i="105"/>
  <c r="C102" i="105"/>
  <c r="M101" i="105"/>
  <c r="H101" i="105"/>
  <c r="C101" i="105"/>
  <c r="E101" i="105"/>
  <c r="L101" i="105"/>
  <c r="V101" i="105"/>
  <c r="AC101" i="105"/>
  <c r="AI101" i="105"/>
  <c r="I102" i="105"/>
  <c r="P102" i="105"/>
  <c r="Y102" i="105"/>
  <c r="AG102" i="105"/>
  <c r="E103" i="105"/>
  <c r="L103" i="105"/>
  <c r="V103" i="105"/>
  <c r="AC103" i="105"/>
  <c r="AI103" i="105"/>
  <c r="I104" i="105"/>
  <c r="P104" i="105"/>
  <c r="Y104" i="105"/>
  <c r="AG104" i="105"/>
  <c r="C80" i="102"/>
  <c r="G80" i="102"/>
  <c r="K80" i="102"/>
  <c r="O80" i="102"/>
  <c r="C81" i="102"/>
  <c r="G81" i="102"/>
  <c r="K81" i="102"/>
  <c r="O81" i="102"/>
  <c r="C82" i="102"/>
  <c r="G82" i="102"/>
  <c r="K82" i="102"/>
  <c r="O82" i="102"/>
  <c r="C83" i="102"/>
  <c r="G83" i="102"/>
  <c r="K83" i="102"/>
  <c r="C87" i="102"/>
  <c r="G87" i="102"/>
  <c r="K87" i="102"/>
  <c r="O87" i="102"/>
  <c r="C88" i="102"/>
  <c r="G88" i="102"/>
  <c r="K88" i="102"/>
  <c r="O88" i="102"/>
  <c r="C89" i="102"/>
  <c r="G89" i="102"/>
  <c r="K89" i="102"/>
  <c r="O89" i="102"/>
  <c r="C90" i="102"/>
  <c r="G90" i="102"/>
  <c r="K90" i="102"/>
  <c r="C94" i="102"/>
  <c r="G94" i="102"/>
  <c r="K94" i="102"/>
  <c r="O94" i="102"/>
  <c r="C95" i="102"/>
  <c r="G95" i="102"/>
  <c r="K95" i="102"/>
  <c r="O95" i="102"/>
  <c r="C96" i="102"/>
  <c r="G96" i="102"/>
  <c r="K96" i="102"/>
  <c r="O96" i="102"/>
  <c r="C97" i="102"/>
  <c r="G97" i="102"/>
  <c r="K97" i="102"/>
  <c r="C10" i="105"/>
  <c r="G10" i="105"/>
  <c r="K10" i="105"/>
  <c r="O10" i="105"/>
  <c r="C11" i="105"/>
  <c r="G11" i="105"/>
  <c r="K11" i="105"/>
  <c r="O11" i="105"/>
  <c r="C12" i="105"/>
  <c r="G12" i="105"/>
  <c r="K12" i="105"/>
  <c r="O12" i="105"/>
  <c r="C13" i="105"/>
  <c r="G13" i="105"/>
  <c r="K13" i="105"/>
  <c r="C17" i="105"/>
  <c r="G17" i="105"/>
  <c r="K17" i="105"/>
  <c r="O17" i="105"/>
  <c r="C18" i="105"/>
  <c r="G18" i="105"/>
  <c r="K18" i="105"/>
  <c r="O18" i="105"/>
  <c r="C19" i="105"/>
  <c r="G19" i="105"/>
  <c r="K19" i="105"/>
  <c r="O19" i="105"/>
  <c r="C20" i="105"/>
  <c r="G20" i="105"/>
  <c r="K20" i="105"/>
  <c r="C24" i="105"/>
  <c r="G24" i="105"/>
  <c r="K24" i="105"/>
  <c r="O24" i="105"/>
  <c r="C25" i="105"/>
  <c r="G25" i="105"/>
  <c r="K25" i="105"/>
  <c r="O25" i="105"/>
  <c r="C26" i="105"/>
  <c r="G26" i="105"/>
  <c r="K26" i="105"/>
  <c r="O26" i="105"/>
  <c r="C27" i="105"/>
  <c r="G27" i="105"/>
  <c r="K27" i="105"/>
  <c r="C31" i="105"/>
  <c r="G31" i="105"/>
  <c r="K31" i="105"/>
  <c r="O31" i="105"/>
  <c r="C32" i="105"/>
  <c r="G32" i="105"/>
  <c r="K32" i="105"/>
  <c r="O32" i="105"/>
  <c r="C33" i="105"/>
  <c r="G33" i="105"/>
  <c r="K33" i="105"/>
  <c r="O33" i="105"/>
  <c r="C34" i="105"/>
  <c r="G34" i="105"/>
  <c r="K34" i="105"/>
  <c r="C38" i="105"/>
  <c r="G38" i="105"/>
  <c r="K38" i="105"/>
  <c r="O38" i="105"/>
  <c r="C39" i="105"/>
  <c r="G39" i="105"/>
  <c r="K39" i="105"/>
  <c r="O39" i="105"/>
  <c r="C40" i="105"/>
  <c r="G40" i="105"/>
  <c r="K40" i="105"/>
  <c r="O40" i="105"/>
  <c r="C41" i="105"/>
  <c r="G41" i="105"/>
  <c r="K41" i="105"/>
  <c r="C45" i="105"/>
  <c r="G45" i="105"/>
  <c r="K45" i="105"/>
  <c r="O45" i="105"/>
  <c r="C46" i="105"/>
  <c r="G46" i="105"/>
  <c r="K46" i="105"/>
  <c r="O46" i="105"/>
  <c r="C47" i="105"/>
  <c r="G47" i="105"/>
  <c r="K47" i="105"/>
  <c r="O47" i="105"/>
  <c r="C48" i="105"/>
  <c r="G48" i="105"/>
  <c r="K48" i="105"/>
  <c r="C52" i="105"/>
  <c r="G52" i="105"/>
  <c r="K52" i="105"/>
  <c r="O52" i="105"/>
  <c r="C53" i="105"/>
  <c r="G53" i="105"/>
  <c r="K53" i="105"/>
  <c r="O53" i="105"/>
  <c r="C54" i="105"/>
  <c r="G54" i="105"/>
  <c r="K54" i="105"/>
  <c r="O54" i="105"/>
  <c r="C55" i="105"/>
  <c r="G55" i="105"/>
  <c r="K55" i="105"/>
  <c r="C59" i="105"/>
  <c r="G59" i="105"/>
  <c r="K59" i="105"/>
  <c r="O59" i="105"/>
  <c r="C60" i="105"/>
  <c r="G60" i="105"/>
  <c r="K60" i="105"/>
  <c r="O60" i="105"/>
  <c r="C61" i="105"/>
  <c r="G61" i="105"/>
  <c r="K61" i="105"/>
  <c r="O61" i="105"/>
  <c r="C62" i="105"/>
  <c r="G62" i="105"/>
  <c r="K62" i="105"/>
  <c r="R69" i="105"/>
  <c r="N69" i="105"/>
  <c r="J69" i="105"/>
  <c r="F69" i="105"/>
  <c r="R68" i="105"/>
  <c r="N68" i="105"/>
  <c r="J68" i="105"/>
  <c r="F68" i="105"/>
  <c r="C66" i="105"/>
  <c r="G66" i="105"/>
  <c r="K66" i="105"/>
  <c r="O66" i="105"/>
  <c r="C67" i="105"/>
  <c r="G67" i="105"/>
  <c r="K67" i="105"/>
  <c r="O67" i="105"/>
  <c r="G68" i="105"/>
  <c r="L68" i="105"/>
  <c r="Q68" i="105"/>
  <c r="G69" i="105"/>
  <c r="L69" i="105"/>
  <c r="Q69" i="105"/>
  <c r="R83" i="105"/>
  <c r="N83" i="105"/>
  <c r="J83" i="105"/>
  <c r="F83" i="105"/>
  <c r="R82" i="105"/>
  <c r="N82" i="105"/>
  <c r="J82" i="105"/>
  <c r="F82" i="105"/>
  <c r="R81" i="105"/>
  <c r="N81" i="105"/>
  <c r="J81" i="105"/>
  <c r="F81" i="105"/>
  <c r="R80" i="105"/>
  <c r="N80" i="105"/>
  <c r="J80" i="105"/>
  <c r="F80" i="105"/>
  <c r="D80" i="105"/>
  <c r="I80" i="105"/>
  <c r="O80" i="105"/>
  <c r="D81" i="105"/>
  <c r="I81" i="105"/>
  <c r="O81" i="105"/>
  <c r="D82" i="105"/>
  <c r="I82" i="105"/>
  <c r="O82" i="105"/>
  <c r="D83" i="105"/>
  <c r="I83" i="105"/>
  <c r="O83" i="105"/>
  <c r="AJ97" i="105"/>
  <c r="AF97" i="105"/>
  <c r="AB97" i="105"/>
  <c r="X97" i="105"/>
  <c r="AJ96" i="105"/>
  <c r="AF96" i="105"/>
  <c r="AB96" i="105"/>
  <c r="X96" i="105"/>
  <c r="AJ95" i="105"/>
  <c r="AF95" i="105"/>
  <c r="AB95" i="105"/>
  <c r="X95" i="105"/>
  <c r="AJ94" i="105"/>
  <c r="AF94" i="105"/>
  <c r="AB94" i="105"/>
  <c r="X94" i="105"/>
  <c r="AH92" i="105"/>
  <c r="Y94" i="105"/>
  <c r="AD94" i="105"/>
  <c r="AI94" i="105"/>
  <c r="Y95" i="105"/>
  <c r="AD95" i="105"/>
  <c r="AI95" i="105"/>
  <c r="Y96" i="105"/>
  <c r="AD96" i="105"/>
  <c r="AI96" i="105"/>
  <c r="Y97" i="105"/>
  <c r="AD97" i="105"/>
  <c r="AI97" i="105"/>
  <c r="K41" i="81"/>
  <c r="G41" i="81"/>
  <c r="H41" i="81" s="1"/>
  <c r="C41" i="81"/>
  <c r="I41" i="81"/>
  <c r="J41" i="81" s="1"/>
  <c r="K45" i="81"/>
  <c r="G45" i="81"/>
  <c r="H45" i="81" s="1"/>
  <c r="C45" i="81"/>
  <c r="I45" i="81"/>
  <c r="J45" i="81" s="1"/>
  <c r="K49" i="81"/>
  <c r="G49" i="81"/>
  <c r="H49" i="81" s="1"/>
  <c r="C49" i="81"/>
  <c r="I49" i="81"/>
  <c r="J49" i="81" s="1"/>
  <c r="K53" i="81"/>
  <c r="G53" i="81"/>
  <c r="H53" i="81" s="1"/>
  <c r="C53" i="81"/>
  <c r="I53" i="81"/>
  <c r="J53" i="81" s="1"/>
  <c r="K57" i="81"/>
  <c r="G57" i="81"/>
  <c r="H57" i="81" s="1"/>
  <c r="C57" i="81"/>
  <c r="I57" i="81"/>
  <c r="J57" i="81" s="1"/>
  <c r="K61" i="81"/>
  <c r="G61" i="81"/>
  <c r="H61" i="81" s="1"/>
  <c r="C61" i="81"/>
  <c r="I61" i="81"/>
  <c r="J61" i="81" s="1"/>
  <c r="G69" i="81"/>
  <c r="D71" i="81"/>
  <c r="E71" i="81" s="1"/>
  <c r="J71" i="81"/>
  <c r="K71" i="81" s="1"/>
  <c r="F71" i="81"/>
  <c r="G73" i="81"/>
  <c r="D75" i="81"/>
  <c r="E75" i="81" s="1"/>
  <c r="J75" i="81"/>
  <c r="K75" i="81" s="1"/>
  <c r="F75" i="81"/>
  <c r="G77" i="81"/>
  <c r="D79" i="81"/>
  <c r="E79" i="81" s="1"/>
  <c r="J79" i="81"/>
  <c r="K79" i="81" s="1"/>
  <c r="F79" i="81"/>
  <c r="G81" i="81"/>
  <c r="D83" i="81"/>
  <c r="E83" i="81" s="1"/>
  <c r="J83" i="81"/>
  <c r="K83" i="81" s="1"/>
  <c r="F83" i="81"/>
  <c r="G85" i="81"/>
  <c r="D87" i="81"/>
  <c r="E87" i="81" s="1"/>
  <c r="J87" i="81"/>
  <c r="K87" i="81" s="1"/>
  <c r="F87" i="81"/>
  <c r="G89" i="81"/>
  <c r="D91" i="81"/>
  <c r="E91" i="81" s="1"/>
  <c r="J91" i="81"/>
  <c r="K91" i="81" s="1"/>
  <c r="F91" i="81"/>
  <c r="G93" i="81"/>
  <c r="D10" i="107"/>
  <c r="O10" i="107"/>
  <c r="E11" i="107"/>
  <c r="P11" i="107"/>
  <c r="I12" i="107"/>
  <c r="AD17" i="107"/>
  <c r="AD18" i="107"/>
  <c r="AD19" i="107"/>
  <c r="AD20" i="107"/>
  <c r="Y24" i="107"/>
  <c r="AI24" i="107"/>
  <c r="Z25" i="107"/>
  <c r="AD26" i="107"/>
  <c r="U27" i="107"/>
  <c r="C31" i="107"/>
  <c r="M31" i="107"/>
  <c r="C32" i="107"/>
  <c r="M32" i="107"/>
  <c r="C33" i="107"/>
  <c r="M33" i="107"/>
  <c r="C34" i="107"/>
  <c r="M34" i="107"/>
  <c r="R41" i="107"/>
  <c r="N41" i="107"/>
  <c r="J41" i="107"/>
  <c r="F41" i="107"/>
  <c r="R40" i="107"/>
  <c r="N40" i="107"/>
  <c r="J40" i="107"/>
  <c r="F40" i="107"/>
  <c r="R39" i="107"/>
  <c r="N39" i="107"/>
  <c r="J39" i="107"/>
  <c r="F39" i="107"/>
  <c r="R38" i="107"/>
  <c r="N38" i="107"/>
  <c r="J38" i="107"/>
  <c r="F38" i="107"/>
  <c r="Q41" i="107"/>
  <c r="L41" i="107"/>
  <c r="G41" i="107"/>
  <c r="Q40" i="107"/>
  <c r="L40" i="107"/>
  <c r="G40" i="107"/>
  <c r="Q39" i="107"/>
  <c r="L39" i="107"/>
  <c r="G39" i="107"/>
  <c r="Q38" i="107"/>
  <c r="L38" i="107"/>
  <c r="G38" i="107"/>
  <c r="M41" i="107"/>
  <c r="H41" i="107"/>
  <c r="C41" i="107"/>
  <c r="M40" i="107"/>
  <c r="H40" i="107"/>
  <c r="C40" i="107"/>
  <c r="M39" i="107"/>
  <c r="H39" i="107"/>
  <c r="C39" i="107"/>
  <c r="M38" i="107"/>
  <c r="H38" i="107"/>
  <c r="C38" i="107"/>
  <c r="E38" i="107"/>
  <c r="P38" i="107"/>
  <c r="I39" i="107"/>
  <c r="K40" i="107"/>
  <c r="D41" i="107"/>
  <c r="O41" i="107"/>
  <c r="W45" i="107"/>
  <c r="AH45" i="107"/>
  <c r="W46" i="107"/>
  <c r="AH46" i="107"/>
  <c r="W47" i="107"/>
  <c r="AH47" i="107"/>
  <c r="W48" i="107"/>
  <c r="AJ55" i="107"/>
  <c r="AF55" i="107"/>
  <c r="AB55" i="107"/>
  <c r="X55" i="107"/>
  <c r="AJ54" i="107"/>
  <c r="AF54" i="107"/>
  <c r="AB54" i="107"/>
  <c r="X54" i="107"/>
  <c r="AJ53" i="107"/>
  <c r="AF53" i="107"/>
  <c r="AB53" i="107"/>
  <c r="X53" i="107"/>
  <c r="AJ52" i="107"/>
  <c r="AF52" i="107"/>
  <c r="AB52" i="107"/>
  <c r="X52" i="107"/>
  <c r="AH50" i="107"/>
  <c r="AG55" i="107"/>
  <c r="AA55" i="107"/>
  <c r="V55" i="107"/>
  <c r="AG54" i="107"/>
  <c r="AA54" i="107"/>
  <c r="V54" i="107"/>
  <c r="AG53" i="107"/>
  <c r="AA53" i="107"/>
  <c r="V53" i="107"/>
  <c r="AG52" i="107"/>
  <c r="AA52" i="107"/>
  <c r="V52" i="107"/>
  <c r="AH55" i="107"/>
  <c r="AC55" i="107"/>
  <c r="W55" i="107"/>
  <c r="AH54" i="107"/>
  <c r="AC54" i="107"/>
  <c r="W54" i="107"/>
  <c r="AH53" i="107"/>
  <c r="AC53" i="107"/>
  <c r="W53" i="107"/>
  <c r="AH52" i="107"/>
  <c r="AC52" i="107"/>
  <c r="W52" i="107"/>
  <c r="Z52" i="107"/>
  <c r="AD53" i="107"/>
  <c r="U54" i="107"/>
  <c r="AE54" i="107"/>
  <c r="Y55" i="107"/>
  <c r="AI55" i="107"/>
  <c r="D59" i="107"/>
  <c r="O59" i="107"/>
  <c r="D60" i="107"/>
  <c r="O60" i="107"/>
  <c r="D61" i="107"/>
  <c r="O61" i="107"/>
  <c r="D62" i="107"/>
  <c r="P64" i="107"/>
  <c r="I66" i="107"/>
  <c r="Y80" i="107"/>
  <c r="Y81" i="107"/>
  <c r="Y82" i="107"/>
  <c r="Y83" i="107"/>
  <c r="I94" i="107"/>
  <c r="I95" i="107"/>
  <c r="I96" i="107"/>
  <c r="AH13" i="109"/>
  <c r="AD13" i="109"/>
  <c r="Z13" i="109"/>
  <c r="V13" i="109"/>
  <c r="AF12" i="109"/>
  <c r="AB12" i="109"/>
  <c r="X12" i="109"/>
  <c r="AH11" i="109"/>
  <c r="AD11" i="109"/>
  <c r="Z11" i="109"/>
  <c r="V11" i="109"/>
  <c r="AF10" i="109"/>
  <c r="AB10" i="109"/>
  <c r="X10" i="109"/>
  <c r="AF8" i="109"/>
  <c r="AG13" i="109"/>
  <c r="AB13" i="109"/>
  <c r="W13" i="109"/>
  <c r="AE12" i="109"/>
  <c r="Z12" i="109"/>
  <c r="U12" i="109"/>
  <c r="AC11" i="109"/>
  <c r="X11" i="109"/>
  <c r="AG10" i="109"/>
  <c r="AA10" i="109"/>
  <c r="V10" i="109"/>
  <c r="AF13" i="109"/>
  <c r="AA13" i="109"/>
  <c r="U13" i="109"/>
  <c r="AD12" i="109"/>
  <c r="Y12" i="109"/>
  <c r="AG11" i="109"/>
  <c r="AB11" i="109"/>
  <c r="W11" i="109"/>
  <c r="AE10" i="109"/>
  <c r="Z10" i="109"/>
  <c r="U10" i="109"/>
  <c r="AC13" i="109"/>
  <c r="X13" i="109"/>
  <c r="AG12" i="109"/>
  <c r="AA12" i="109"/>
  <c r="V12" i="109"/>
  <c r="AE11" i="109"/>
  <c r="Y11" i="109"/>
  <c r="AH10" i="109"/>
  <c r="AC10" i="109"/>
  <c r="W10" i="109"/>
  <c r="P27" i="109"/>
  <c r="L27" i="109"/>
  <c r="H27" i="109"/>
  <c r="D27" i="109"/>
  <c r="R26" i="109"/>
  <c r="N26" i="109"/>
  <c r="J26" i="109"/>
  <c r="F26" i="109"/>
  <c r="P25" i="109"/>
  <c r="L25" i="109"/>
  <c r="H25" i="109"/>
  <c r="D25" i="109"/>
  <c r="R24" i="109"/>
  <c r="N24" i="109"/>
  <c r="J24" i="109"/>
  <c r="F24" i="109"/>
  <c r="N27" i="109"/>
  <c r="I27" i="109"/>
  <c r="C27" i="109"/>
  <c r="Q26" i="109"/>
  <c r="L26" i="109"/>
  <c r="G26" i="109"/>
  <c r="O25" i="109"/>
  <c r="J25" i="109"/>
  <c r="E25" i="109"/>
  <c r="M24" i="109"/>
  <c r="H24" i="109"/>
  <c r="C24" i="109"/>
  <c r="R27" i="109"/>
  <c r="K27" i="109"/>
  <c r="E27" i="109"/>
  <c r="M26" i="109"/>
  <c r="E26" i="109"/>
  <c r="N25" i="109"/>
  <c r="G25" i="109"/>
  <c r="P24" i="109"/>
  <c r="I24" i="109"/>
  <c r="Q27" i="109"/>
  <c r="J27" i="109"/>
  <c r="K26" i="109"/>
  <c r="D26" i="109"/>
  <c r="M25" i="109"/>
  <c r="F25" i="109"/>
  <c r="O24" i="109"/>
  <c r="G24" i="109"/>
  <c r="P22" i="109"/>
  <c r="M27" i="109"/>
  <c r="F27" i="109"/>
  <c r="O26" i="109"/>
  <c r="H26" i="109"/>
  <c r="Q25" i="109"/>
  <c r="I25" i="109"/>
  <c r="Q24" i="109"/>
  <c r="K24" i="109"/>
  <c r="D24" i="109"/>
  <c r="R25" i="109"/>
  <c r="P26" i="109"/>
  <c r="G27" i="109"/>
  <c r="K40" i="81"/>
  <c r="G40" i="81"/>
  <c r="C40" i="81"/>
  <c r="E40" i="81" s="1"/>
  <c r="L40" i="81"/>
  <c r="F40" i="81"/>
  <c r="I40" i="81"/>
  <c r="D41" i="81"/>
  <c r="E41" i="81" s="1"/>
  <c r="L41" i="81"/>
  <c r="M41" i="81" s="1"/>
  <c r="K44" i="81"/>
  <c r="G44" i="81"/>
  <c r="C44" i="81"/>
  <c r="E44" i="81" s="1"/>
  <c r="L44" i="81"/>
  <c r="F44" i="81"/>
  <c r="I44" i="81"/>
  <c r="D45" i="81"/>
  <c r="E45" i="81" s="1"/>
  <c r="L45" i="81"/>
  <c r="M45" i="81" s="1"/>
  <c r="K48" i="81"/>
  <c r="G48" i="81"/>
  <c r="C48" i="81"/>
  <c r="E48" i="81" s="1"/>
  <c r="L48" i="81"/>
  <c r="F48" i="81"/>
  <c r="I48" i="81"/>
  <c r="D49" i="81"/>
  <c r="E49" i="81" s="1"/>
  <c r="L49" i="81"/>
  <c r="M49" i="81" s="1"/>
  <c r="K52" i="81"/>
  <c r="G52" i="81"/>
  <c r="C52" i="81"/>
  <c r="E52" i="81" s="1"/>
  <c r="L52" i="81"/>
  <c r="F52" i="81"/>
  <c r="I52" i="81"/>
  <c r="D53" i="81"/>
  <c r="E53" i="81" s="1"/>
  <c r="L53" i="81"/>
  <c r="M53" i="81" s="1"/>
  <c r="K56" i="81"/>
  <c r="G56" i="81"/>
  <c r="C56" i="81"/>
  <c r="E56" i="81" s="1"/>
  <c r="L56" i="81"/>
  <c r="F56" i="81"/>
  <c r="I56" i="81"/>
  <c r="D57" i="81"/>
  <c r="E57" i="81" s="1"/>
  <c r="L57" i="81"/>
  <c r="M57" i="81" s="1"/>
  <c r="K60" i="81"/>
  <c r="G60" i="81"/>
  <c r="C60" i="81"/>
  <c r="E60" i="81" s="1"/>
  <c r="L60" i="81"/>
  <c r="F60" i="81"/>
  <c r="I60" i="81"/>
  <c r="D61" i="81"/>
  <c r="E61" i="81" s="1"/>
  <c r="L61" i="81"/>
  <c r="M61" i="81" s="1"/>
  <c r="E99" i="81"/>
  <c r="D99" i="81"/>
  <c r="E101" i="81"/>
  <c r="D101" i="81"/>
  <c r="E103" i="81"/>
  <c r="D103" i="81"/>
  <c r="E105" i="81"/>
  <c r="D105" i="81"/>
  <c r="E107" i="81"/>
  <c r="D107" i="81"/>
  <c r="E109" i="81"/>
  <c r="D109" i="81"/>
  <c r="E111" i="81"/>
  <c r="D111" i="81"/>
  <c r="E113" i="81"/>
  <c r="D113" i="81"/>
  <c r="E115" i="81"/>
  <c r="D115" i="81"/>
  <c r="E117" i="81"/>
  <c r="D117" i="81"/>
  <c r="E119" i="81"/>
  <c r="D119" i="81"/>
  <c r="E121" i="81"/>
  <c r="D121" i="81"/>
  <c r="E123" i="81"/>
  <c r="D123" i="81"/>
  <c r="R13" i="107"/>
  <c r="N13" i="107"/>
  <c r="J13" i="107"/>
  <c r="F13" i="107"/>
  <c r="R12" i="107"/>
  <c r="N12" i="107"/>
  <c r="J12" i="107"/>
  <c r="F12" i="107"/>
  <c r="R11" i="107"/>
  <c r="N11" i="107"/>
  <c r="J11" i="107"/>
  <c r="F11" i="107"/>
  <c r="R10" i="107"/>
  <c r="N10" i="107"/>
  <c r="J10" i="107"/>
  <c r="F10" i="107"/>
  <c r="Q13" i="107"/>
  <c r="L13" i="107"/>
  <c r="G13" i="107"/>
  <c r="Q12" i="107"/>
  <c r="L12" i="107"/>
  <c r="G12" i="107"/>
  <c r="Q11" i="107"/>
  <c r="L11" i="107"/>
  <c r="G11" i="107"/>
  <c r="Q10" i="107"/>
  <c r="L10" i="107"/>
  <c r="G10" i="107"/>
  <c r="M13" i="107"/>
  <c r="H13" i="107"/>
  <c r="C13" i="107"/>
  <c r="M12" i="107"/>
  <c r="H12" i="107"/>
  <c r="C12" i="107"/>
  <c r="M11" i="107"/>
  <c r="H11" i="107"/>
  <c r="C11" i="107"/>
  <c r="M10" i="107"/>
  <c r="H10" i="107"/>
  <c r="C10" i="107"/>
  <c r="E10" i="107"/>
  <c r="P10" i="107"/>
  <c r="I11" i="107"/>
  <c r="K12" i="107"/>
  <c r="D13" i="107"/>
  <c r="O13" i="107"/>
  <c r="W17" i="107"/>
  <c r="AH17" i="107"/>
  <c r="W18" i="107"/>
  <c r="AH18" i="107"/>
  <c r="W19" i="107"/>
  <c r="AH19" i="107"/>
  <c r="W20" i="107"/>
  <c r="AJ27" i="107"/>
  <c r="AF27" i="107"/>
  <c r="AB27" i="107"/>
  <c r="X27" i="107"/>
  <c r="AJ26" i="107"/>
  <c r="AF26" i="107"/>
  <c r="AB26" i="107"/>
  <c r="X26" i="107"/>
  <c r="AJ25" i="107"/>
  <c r="AF25" i="107"/>
  <c r="AB25" i="107"/>
  <c r="X25" i="107"/>
  <c r="AJ24" i="107"/>
  <c r="AF24" i="107"/>
  <c r="AB24" i="107"/>
  <c r="X24" i="107"/>
  <c r="AH22" i="107"/>
  <c r="AG27" i="107"/>
  <c r="AA27" i="107"/>
  <c r="V27" i="107"/>
  <c r="AG26" i="107"/>
  <c r="AA26" i="107"/>
  <c r="V26" i="107"/>
  <c r="AG25" i="107"/>
  <c r="AA25" i="107"/>
  <c r="V25" i="107"/>
  <c r="AG24" i="107"/>
  <c r="AA24" i="107"/>
  <c r="V24" i="107"/>
  <c r="AH27" i="107"/>
  <c r="AC27" i="107"/>
  <c r="W27" i="107"/>
  <c r="AH26" i="107"/>
  <c r="AC26" i="107"/>
  <c r="W26" i="107"/>
  <c r="AH25" i="107"/>
  <c r="AC25" i="107"/>
  <c r="W25" i="107"/>
  <c r="AH24" i="107"/>
  <c r="AC24" i="107"/>
  <c r="W24" i="107"/>
  <c r="Z24" i="107"/>
  <c r="AD25" i="107"/>
  <c r="U26" i="107"/>
  <c r="AE26" i="107"/>
  <c r="Y27" i="107"/>
  <c r="AI27" i="107"/>
  <c r="D31" i="107"/>
  <c r="O31" i="107"/>
  <c r="D32" i="107"/>
  <c r="O32" i="107"/>
  <c r="D33" i="107"/>
  <c r="O33" i="107"/>
  <c r="D34" i="107"/>
  <c r="AJ48" i="107"/>
  <c r="AF48" i="107"/>
  <c r="AB48" i="107"/>
  <c r="X48" i="107"/>
  <c r="AJ47" i="107"/>
  <c r="AF47" i="107"/>
  <c r="AB47" i="107"/>
  <c r="X47" i="107"/>
  <c r="AJ46" i="107"/>
  <c r="AF46" i="107"/>
  <c r="AB46" i="107"/>
  <c r="X46" i="107"/>
  <c r="AJ45" i="107"/>
  <c r="AF45" i="107"/>
  <c r="AB45" i="107"/>
  <c r="X45" i="107"/>
  <c r="AH43" i="107"/>
  <c r="AE48" i="107"/>
  <c r="Z48" i="107"/>
  <c r="U48" i="107"/>
  <c r="AE47" i="107"/>
  <c r="Z47" i="107"/>
  <c r="U47" i="107"/>
  <c r="AE46" i="107"/>
  <c r="Z46" i="107"/>
  <c r="U46" i="107"/>
  <c r="AE45" i="107"/>
  <c r="Z45" i="107"/>
  <c r="U45" i="107"/>
  <c r="AG48" i="107"/>
  <c r="AA48" i="107"/>
  <c r="V48" i="107"/>
  <c r="AG47" i="107"/>
  <c r="AA47" i="107"/>
  <c r="V47" i="107"/>
  <c r="AG46" i="107"/>
  <c r="AA46" i="107"/>
  <c r="V46" i="107"/>
  <c r="AG45" i="107"/>
  <c r="AA45" i="107"/>
  <c r="V45" i="107"/>
  <c r="Y45" i="107"/>
  <c r="AI45" i="107"/>
  <c r="Y46" i="107"/>
  <c r="AI46" i="107"/>
  <c r="Y47" i="107"/>
  <c r="AI47" i="107"/>
  <c r="Y48" i="107"/>
  <c r="AI48" i="107"/>
  <c r="R62" i="107"/>
  <c r="N62" i="107"/>
  <c r="J62" i="107"/>
  <c r="F62" i="107"/>
  <c r="R61" i="107"/>
  <c r="N61" i="107"/>
  <c r="J61" i="107"/>
  <c r="F61" i="107"/>
  <c r="R60" i="107"/>
  <c r="N60" i="107"/>
  <c r="J60" i="107"/>
  <c r="F60" i="107"/>
  <c r="R59" i="107"/>
  <c r="N59" i="107"/>
  <c r="J59" i="107"/>
  <c r="F59" i="107"/>
  <c r="P62" i="107"/>
  <c r="K62" i="107"/>
  <c r="E62" i="107"/>
  <c r="P61" i="107"/>
  <c r="K61" i="107"/>
  <c r="E61" i="107"/>
  <c r="P60" i="107"/>
  <c r="K60" i="107"/>
  <c r="E60" i="107"/>
  <c r="P59" i="107"/>
  <c r="K59" i="107"/>
  <c r="E59" i="107"/>
  <c r="P57" i="107"/>
  <c r="Q62" i="107"/>
  <c r="L62" i="107"/>
  <c r="G62" i="107"/>
  <c r="Q61" i="107"/>
  <c r="L61" i="107"/>
  <c r="G61" i="107"/>
  <c r="Q60" i="107"/>
  <c r="L60" i="107"/>
  <c r="G60" i="107"/>
  <c r="Q59" i="107"/>
  <c r="L59" i="107"/>
  <c r="G59" i="107"/>
  <c r="H59" i="107"/>
  <c r="H60" i="107"/>
  <c r="H61" i="107"/>
  <c r="H62" i="107"/>
  <c r="D67" i="107"/>
  <c r="D68" i="107"/>
  <c r="AD80" i="107"/>
  <c r="AD81" i="107"/>
  <c r="AD82" i="107"/>
  <c r="R97" i="107"/>
  <c r="N97" i="107"/>
  <c r="J97" i="107"/>
  <c r="F97" i="107"/>
  <c r="R96" i="107"/>
  <c r="N96" i="107"/>
  <c r="J96" i="107"/>
  <c r="F96" i="107"/>
  <c r="R95" i="107"/>
  <c r="N95" i="107"/>
  <c r="J95" i="107"/>
  <c r="F95" i="107"/>
  <c r="R94" i="107"/>
  <c r="N94" i="107"/>
  <c r="J94" i="107"/>
  <c r="F94" i="107"/>
  <c r="Q97" i="107"/>
  <c r="L97" i="107"/>
  <c r="G97" i="107"/>
  <c r="Q96" i="107"/>
  <c r="L96" i="107"/>
  <c r="G96" i="107"/>
  <c r="Q95" i="107"/>
  <c r="L95" i="107"/>
  <c r="G95" i="107"/>
  <c r="Q94" i="107"/>
  <c r="L94" i="107"/>
  <c r="G94" i="107"/>
  <c r="P97" i="107"/>
  <c r="K97" i="107"/>
  <c r="E97" i="107"/>
  <c r="P96" i="107"/>
  <c r="K96" i="107"/>
  <c r="E96" i="107"/>
  <c r="P95" i="107"/>
  <c r="K95" i="107"/>
  <c r="E95" i="107"/>
  <c r="P94" i="107"/>
  <c r="K94" i="107"/>
  <c r="E94" i="107"/>
  <c r="P92" i="107"/>
  <c r="M97" i="107"/>
  <c r="H97" i="107"/>
  <c r="C97" i="107"/>
  <c r="M96" i="107"/>
  <c r="H96" i="107"/>
  <c r="C96" i="107"/>
  <c r="M95" i="107"/>
  <c r="H95" i="107"/>
  <c r="C95" i="107"/>
  <c r="M94" i="107"/>
  <c r="H94" i="107"/>
  <c r="C94" i="107"/>
  <c r="O94" i="107"/>
  <c r="O95" i="107"/>
  <c r="O96" i="107"/>
  <c r="O97" i="107"/>
  <c r="D69" i="81"/>
  <c r="E69" i="81" s="1"/>
  <c r="J69" i="81"/>
  <c r="K69" i="81" s="1"/>
  <c r="F69" i="81"/>
  <c r="H71" i="81"/>
  <c r="D73" i="81"/>
  <c r="E73" i="81" s="1"/>
  <c r="J73" i="81"/>
  <c r="K73" i="81" s="1"/>
  <c r="F73" i="81"/>
  <c r="H75" i="81"/>
  <c r="D77" i="81"/>
  <c r="E77" i="81" s="1"/>
  <c r="J77" i="81"/>
  <c r="K77" i="81" s="1"/>
  <c r="F77" i="81"/>
  <c r="H79" i="81"/>
  <c r="D81" i="81"/>
  <c r="E81" i="81" s="1"/>
  <c r="J81" i="81"/>
  <c r="K81" i="81" s="1"/>
  <c r="F81" i="81"/>
  <c r="H83" i="81"/>
  <c r="D85" i="81"/>
  <c r="E85" i="81" s="1"/>
  <c r="J85" i="81"/>
  <c r="K85" i="81" s="1"/>
  <c r="F85" i="81"/>
  <c r="H87" i="81"/>
  <c r="D89" i="81"/>
  <c r="E89" i="81" s="1"/>
  <c r="J89" i="81"/>
  <c r="K89" i="81" s="1"/>
  <c r="F89" i="81"/>
  <c r="H91" i="81"/>
  <c r="D93" i="81"/>
  <c r="E93" i="81" s="1"/>
  <c r="J93" i="81"/>
  <c r="K93" i="81" s="1"/>
  <c r="F93" i="81"/>
  <c r="AJ20" i="107"/>
  <c r="AF20" i="107"/>
  <c r="AB20" i="107"/>
  <c r="X20" i="107"/>
  <c r="AJ19" i="107"/>
  <c r="AF19" i="107"/>
  <c r="AB19" i="107"/>
  <c r="X19" i="107"/>
  <c r="AJ18" i="107"/>
  <c r="AF18" i="107"/>
  <c r="AB18" i="107"/>
  <c r="X18" i="107"/>
  <c r="AJ17" i="107"/>
  <c r="AF17" i="107"/>
  <c r="AB17" i="107"/>
  <c r="X17" i="107"/>
  <c r="AH15" i="107"/>
  <c r="AE20" i="107"/>
  <c r="Z20" i="107"/>
  <c r="U20" i="107"/>
  <c r="AE19" i="107"/>
  <c r="Z19" i="107"/>
  <c r="U19" i="107"/>
  <c r="AE18" i="107"/>
  <c r="Z18" i="107"/>
  <c r="U18" i="107"/>
  <c r="AE17" i="107"/>
  <c r="Z17" i="107"/>
  <c r="U17" i="107"/>
  <c r="AG20" i="107"/>
  <c r="AA20" i="107"/>
  <c r="V20" i="107"/>
  <c r="AG19" i="107"/>
  <c r="AA19" i="107"/>
  <c r="V19" i="107"/>
  <c r="AG18" i="107"/>
  <c r="AA18" i="107"/>
  <c r="V18" i="107"/>
  <c r="AG17" i="107"/>
  <c r="AA17" i="107"/>
  <c r="V17" i="107"/>
  <c r="Y17" i="107"/>
  <c r="AI17" i="107"/>
  <c r="Y18" i="107"/>
  <c r="AI18" i="107"/>
  <c r="Y19" i="107"/>
  <c r="AI19" i="107"/>
  <c r="Y20" i="107"/>
  <c r="AI20" i="107"/>
  <c r="R34" i="107"/>
  <c r="N34" i="107"/>
  <c r="J34" i="107"/>
  <c r="F34" i="107"/>
  <c r="R33" i="107"/>
  <c r="N33" i="107"/>
  <c r="J33" i="107"/>
  <c r="F33" i="107"/>
  <c r="R32" i="107"/>
  <c r="N32" i="107"/>
  <c r="J32" i="107"/>
  <c r="F32" i="107"/>
  <c r="R31" i="107"/>
  <c r="N31" i="107"/>
  <c r="J31" i="107"/>
  <c r="F31" i="107"/>
  <c r="P34" i="107"/>
  <c r="K34" i="107"/>
  <c r="E34" i="107"/>
  <c r="P33" i="107"/>
  <c r="K33" i="107"/>
  <c r="E33" i="107"/>
  <c r="P32" i="107"/>
  <c r="K32" i="107"/>
  <c r="E32" i="107"/>
  <c r="P31" i="107"/>
  <c r="K31" i="107"/>
  <c r="E31" i="107"/>
  <c r="P29" i="107"/>
  <c r="Q34" i="107"/>
  <c r="L34" i="107"/>
  <c r="G34" i="107"/>
  <c r="Q33" i="107"/>
  <c r="L33" i="107"/>
  <c r="G33" i="107"/>
  <c r="Q32" i="107"/>
  <c r="L32" i="107"/>
  <c r="G32" i="107"/>
  <c r="Q31" i="107"/>
  <c r="L31" i="107"/>
  <c r="G31" i="107"/>
  <c r="H31" i="107"/>
  <c r="H32" i="107"/>
  <c r="H33" i="107"/>
  <c r="H34" i="107"/>
  <c r="AJ83" i="107"/>
  <c r="AF83" i="107"/>
  <c r="AB83" i="107"/>
  <c r="X83" i="107"/>
  <c r="AJ82" i="107"/>
  <c r="AF82" i="107"/>
  <c r="AB82" i="107"/>
  <c r="X82" i="107"/>
  <c r="AJ81" i="107"/>
  <c r="AF81" i="107"/>
  <c r="AB81" i="107"/>
  <c r="X81" i="107"/>
  <c r="AJ80" i="107"/>
  <c r="AF80" i="107"/>
  <c r="AB80" i="107"/>
  <c r="X80" i="107"/>
  <c r="AH78" i="107"/>
  <c r="AG83" i="107"/>
  <c r="AA83" i="107"/>
  <c r="V83" i="107"/>
  <c r="AG82" i="107"/>
  <c r="AA82" i="107"/>
  <c r="V82" i="107"/>
  <c r="AG81" i="107"/>
  <c r="AA81" i="107"/>
  <c r="V81" i="107"/>
  <c r="AG80" i="107"/>
  <c r="AA80" i="107"/>
  <c r="V80" i="107"/>
  <c r="AE83" i="107"/>
  <c r="Z83" i="107"/>
  <c r="U83" i="107"/>
  <c r="AE82" i="107"/>
  <c r="Z82" i="107"/>
  <c r="U82" i="107"/>
  <c r="AE81" i="107"/>
  <c r="Z81" i="107"/>
  <c r="U81" i="107"/>
  <c r="AE80" i="107"/>
  <c r="Z80" i="107"/>
  <c r="U80" i="107"/>
  <c r="AH83" i="107"/>
  <c r="AC83" i="107"/>
  <c r="W83" i="107"/>
  <c r="AH82" i="107"/>
  <c r="AC82" i="107"/>
  <c r="W82" i="107"/>
  <c r="AH81" i="107"/>
  <c r="AC81" i="107"/>
  <c r="W81" i="107"/>
  <c r="AH80" i="107"/>
  <c r="AC80" i="107"/>
  <c r="W80" i="107"/>
  <c r="AI80" i="107"/>
  <c r="AI81" i="107"/>
  <c r="AI82" i="107"/>
  <c r="AI83" i="107"/>
  <c r="D11" i="107"/>
  <c r="O11" i="107"/>
  <c r="E12" i="107"/>
  <c r="P12" i="107"/>
  <c r="I13" i="107"/>
  <c r="AC17" i="107"/>
  <c r="AC18" i="107"/>
  <c r="AC19" i="107"/>
  <c r="AC20" i="107"/>
  <c r="U24" i="107"/>
  <c r="AE24" i="107"/>
  <c r="Y25" i="107"/>
  <c r="AI25" i="107"/>
  <c r="Z26" i="107"/>
  <c r="AD27" i="107"/>
  <c r="I31" i="107"/>
  <c r="I32" i="107"/>
  <c r="I33" i="107"/>
  <c r="I34" i="107"/>
  <c r="AD45" i="107"/>
  <c r="AD46" i="107"/>
  <c r="AD47" i="107"/>
  <c r="AD48" i="107"/>
  <c r="C59" i="107"/>
  <c r="M59" i="107"/>
  <c r="C60" i="107"/>
  <c r="M60" i="107"/>
  <c r="C61" i="107"/>
  <c r="M61" i="107"/>
  <c r="C62" i="107"/>
  <c r="M62" i="107"/>
  <c r="R69" i="107"/>
  <c r="N69" i="107"/>
  <c r="J69" i="107"/>
  <c r="F69" i="107"/>
  <c r="R68" i="107"/>
  <c r="N68" i="107"/>
  <c r="J68" i="107"/>
  <c r="F68" i="107"/>
  <c r="R67" i="107"/>
  <c r="N67" i="107"/>
  <c r="J67" i="107"/>
  <c r="F67" i="107"/>
  <c r="R66" i="107"/>
  <c r="N66" i="107"/>
  <c r="J66" i="107"/>
  <c r="F66" i="107"/>
  <c r="Q69" i="107"/>
  <c r="L69" i="107"/>
  <c r="G69" i="107"/>
  <c r="Q68" i="107"/>
  <c r="L68" i="107"/>
  <c r="G68" i="107"/>
  <c r="Q67" i="107"/>
  <c r="L67" i="107"/>
  <c r="G67" i="107"/>
  <c r="Q66" i="107"/>
  <c r="L66" i="107"/>
  <c r="G66" i="107"/>
  <c r="P69" i="107"/>
  <c r="K69" i="107"/>
  <c r="E69" i="107"/>
  <c r="P68" i="107"/>
  <c r="K68" i="107"/>
  <c r="E68" i="107"/>
  <c r="P67" i="107"/>
  <c r="K67" i="107"/>
  <c r="E67" i="107"/>
  <c r="M69" i="107"/>
  <c r="H69" i="107"/>
  <c r="C69" i="107"/>
  <c r="M68" i="107"/>
  <c r="H68" i="107"/>
  <c r="C68" i="107"/>
  <c r="M67" i="107"/>
  <c r="H67" i="107"/>
  <c r="C67" i="107"/>
  <c r="M66" i="107"/>
  <c r="H66" i="107"/>
  <c r="C66" i="107"/>
  <c r="E66" i="107"/>
  <c r="P66" i="107"/>
  <c r="O67" i="107"/>
  <c r="O68" i="107"/>
  <c r="O69" i="107"/>
  <c r="D94" i="107"/>
  <c r="D95" i="107"/>
  <c r="D96" i="107"/>
  <c r="D97" i="107"/>
  <c r="K64" i="81"/>
  <c r="G64" i="81"/>
  <c r="C64" i="81"/>
  <c r="E64" i="81" s="1"/>
  <c r="R20" i="107"/>
  <c r="N20" i="107"/>
  <c r="J20" i="107"/>
  <c r="F20" i="107"/>
  <c r="R19" i="107"/>
  <c r="N19" i="107"/>
  <c r="J19" i="107"/>
  <c r="F19" i="107"/>
  <c r="R18" i="107"/>
  <c r="N18" i="107"/>
  <c r="J18" i="107"/>
  <c r="F18" i="107"/>
  <c r="R17" i="107"/>
  <c r="N17" i="107"/>
  <c r="J17" i="107"/>
  <c r="F17" i="107"/>
  <c r="D17" i="107"/>
  <c r="I17" i="107"/>
  <c r="O17" i="107"/>
  <c r="D18" i="107"/>
  <c r="I18" i="107"/>
  <c r="O18" i="107"/>
  <c r="D19" i="107"/>
  <c r="I19" i="107"/>
  <c r="O19" i="107"/>
  <c r="D20" i="107"/>
  <c r="I20" i="107"/>
  <c r="O20" i="107"/>
  <c r="AJ34" i="107"/>
  <c r="AF34" i="107"/>
  <c r="AB34" i="107"/>
  <c r="X34" i="107"/>
  <c r="AJ33" i="107"/>
  <c r="AF33" i="107"/>
  <c r="AB33" i="107"/>
  <c r="X33" i="107"/>
  <c r="AJ32" i="107"/>
  <c r="AF32" i="107"/>
  <c r="AB32" i="107"/>
  <c r="X32" i="107"/>
  <c r="AJ31" i="107"/>
  <c r="AF31" i="107"/>
  <c r="AB31" i="107"/>
  <c r="X31" i="107"/>
  <c r="AH29" i="107"/>
  <c r="Y31" i="107"/>
  <c r="AD31" i="107"/>
  <c r="AI31" i="107"/>
  <c r="Y32" i="107"/>
  <c r="AD32" i="107"/>
  <c r="AI32" i="107"/>
  <c r="Y33" i="107"/>
  <c r="AD33" i="107"/>
  <c r="AI33" i="107"/>
  <c r="Y34" i="107"/>
  <c r="AD34" i="107"/>
  <c r="AI34" i="107"/>
  <c r="R48" i="107"/>
  <c r="N48" i="107"/>
  <c r="J48" i="107"/>
  <c r="F48" i="107"/>
  <c r="R47" i="107"/>
  <c r="N47" i="107"/>
  <c r="J47" i="107"/>
  <c r="F47" i="107"/>
  <c r="R46" i="107"/>
  <c r="N46" i="107"/>
  <c r="J46" i="107"/>
  <c r="F46" i="107"/>
  <c r="R45" i="107"/>
  <c r="N45" i="107"/>
  <c r="J45" i="107"/>
  <c r="F45" i="107"/>
  <c r="D45" i="107"/>
  <c r="I45" i="107"/>
  <c r="O45" i="107"/>
  <c r="D46" i="107"/>
  <c r="I46" i="107"/>
  <c r="O46" i="107"/>
  <c r="D47" i="107"/>
  <c r="I47" i="107"/>
  <c r="O47" i="107"/>
  <c r="D48" i="107"/>
  <c r="I48" i="107"/>
  <c r="O48" i="107"/>
  <c r="AJ62" i="107"/>
  <c r="AF62" i="107"/>
  <c r="AB62" i="107"/>
  <c r="X62" i="107"/>
  <c r="AJ61" i="107"/>
  <c r="AF61" i="107"/>
  <c r="AB61" i="107"/>
  <c r="X61" i="107"/>
  <c r="AJ60" i="107"/>
  <c r="AF60" i="107"/>
  <c r="AB60" i="107"/>
  <c r="X60" i="107"/>
  <c r="AJ59" i="107"/>
  <c r="AF59" i="107"/>
  <c r="AB59" i="107"/>
  <c r="X59" i="107"/>
  <c r="AH57" i="107"/>
  <c r="Y59" i="107"/>
  <c r="AD59" i="107"/>
  <c r="AI59" i="107"/>
  <c r="Y60" i="107"/>
  <c r="AD60" i="107"/>
  <c r="AI60" i="107"/>
  <c r="Y61" i="107"/>
  <c r="AD61" i="107"/>
  <c r="AI61" i="107"/>
  <c r="Y62" i="107"/>
  <c r="AD62" i="107"/>
  <c r="AI62" i="107"/>
  <c r="R76" i="107"/>
  <c r="N76" i="107"/>
  <c r="J76" i="107"/>
  <c r="F76" i="107"/>
  <c r="R75" i="107"/>
  <c r="N75" i="107"/>
  <c r="J75" i="107"/>
  <c r="F75" i="107"/>
  <c r="R74" i="107"/>
  <c r="N74" i="107"/>
  <c r="J74" i="107"/>
  <c r="F74" i="107"/>
  <c r="R73" i="107"/>
  <c r="N73" i="107"/>
  <c r="J73" i="107"/>
  <c r="F73" i="107"/>
  <c r="D73" i="107"/>
  <c r="I73" i="107"/>
  <c r="O73" i="107"/>
  <c r="V73" i="107"/>
  <c r="AA73" i="107"/>
  <c r="AG73" i="107"/>
  <c r="D74" i="107"/>
  <c r="I74" i="107"/>
  <c r="O74" i="107"/>
  <c r="V74" i="107"/>
  <c r="AA74" i="107"/>
  <c r="AG74" i="107"/>
  <c r="D75" i="107"/>
  <c r="I75" i="107"/>
  <c r="O75" i="107"/>
  <c r="V75" i="107"/>
  <c r="AA75" i="107"/>
  <c r="AG75" i="107"/>
  <c r="D76" i="107"/>
  <c r="I76" i="107"/>
  <c r="O76" i="107"/>
  <c r="V76" i="107"/>
  <c r="AA76" i="107"/>
  <c r="AJ90" i="107"/>
  <c r="AF90" i="107"/>
  <c r="AB90" i="107"/>
  <c r="X90" i="107"/>
  <c r="AJ89" i="107"/>
  <c r="AF89" i="107"/>
  <c r="AB89" i="107"/>
  <c r="X89" i="107"/>
  <c r="AJ88" i="107"/>
  <c r="AF88" i="107"/>
  <c r="AB88" i="107"/>
  <c r="X88" i="107"/>
  <c r="AJ87" i="107"/>
  <c r="AF87" i="107"/>
  <c r="AB87" i="107"/>
  <c r="X87" i="107"/>
  <c r="AH85" i="107"/>
  <c r="G87" i="107"/>
  <c r="L87" i="107"/>
  <c r="Q87" i="107"/>
  <c r="Y87" i="107"/>
  <c r="AD87" i="107"/>
  <c r="AI87" i="107"/>
  <c r="G88" i="107"/>
  <c r="L88" i="107"/>
  <c r="Q88" i="107"/>
  <c r="Y88" i="107"/>
  <c r="AD88" i="107"/>
  <c r="AI88" i="107"/>
  <c r="G89" i="107"/>
  <c r="L89" i="107"/>
  <c r="Q89" i="107"/>
  <c r="Y89" i="107"/>
  <c r="AD89" i="107"/>
  <c r="AI89" i="107"/>
  <c r="G90" i="107"/>
  <c r="L90" i="107"/>
  <c r="Y90" i="107"/>
  <c r="AD90" i="107"/>
  <c r="AI90" i="107"/>
  <c r="R104" i="107"/>
  <c r="N104" i="107"/>
  <c r="J104" i="107"/>
  <c r="F104" i="107"/>
  <c r="R103" i="107"/>
  <c r="N103" i="107"/>
  <c r="J103" i="107"/>
  <c r="F103" i="107"/>
  <c r="R102" i="107"/>
  <c r="N102" i="107"/>
  <c r="J102" i="107"/>
  <c r="F102" i="107"/>
  <c r="R101" i="107"/>
  <c r="N101" i="107"/>
  <c r="J101" i="107"/>
  <c r="F101" i="107"/>
  <c r="D101" i="107"/>
  <c r="I101" i="107"/>
  <c r="O101" i="107"/>
  <c r="V101" i="107"/>
  <c r="AA101" i="107"/>
  <c r="AG101" i="107"/>
  <c r="D102" i="107"/>
  <c r="I102" i="107"/>
  <c r="O102" i="107"/>
  <c r="V102" i="107"/>
  <c r="AA102" i="107"/>
  <c r="AG102" i="107"/>
  <c r="D103" i="107"/>
  <c r="I103" i="107"/>
  <c r="O103" i="107"/>
  <c r="V103" i="107"/>
  <c r="AA103" i="107"/>
  <c r="AG103" i="107"/>
  <c r="D104" i="107"/>
  <c r="I104" i="107"/>
  <c r="O104" i="107"/>
  <c r="V104" i="107"/>
  <c r="AA104" i="107"/>
  <c r="P20" i="109"/>
  <c r="L20" i="109"/>
  <c r="H20" i="109"/>
  <c r="D20" i="109"/>
  <c r="R19" i="109"/>
  <c r="N19" i="109"/>
  <c r="J19" i="109"/>
  <c r="F19" i="109"/>
  <c r="P18" i="109"/>
  <c r="L18" i="109"/>
  <c r="H18" i="109"/>
  <c r="D18" i="109"/>
  <c r="R17" i="109"/>
  <c r="N17" i="109"/>
  <c r="J17" i="109"/>
  <c r="F17" i="109"/>
  <c r="D17" i="109"/>
  <c r="I17" i="109"/>
  <c r="O17" i="109"/>
  <c r="V17" i="109"/>
  <c r="AA17" i="109"/>
  <c r="AG17" i="109"/>
  <c r="F18" i="109"/>
  <c r="K18" i="109"/>
  <c r="Q18" i="109"/>
  <c r="X18" i="109"/>
  <c r="AC18" i="109"/>
  <c r="C19" i="109"/>
  <c r="H19" i="109"/>
  <c r="M19" i="109"/>
  <c r="U19" i="109"/>
  <c r="Z19" i="109"/>
  <c r="AE19" i="109"/>
  <c r="E20" i="109"/>
  <c r="J20" i="109"/>
  <c r="O20" i="109"/>
  <c r="W20" i="109"/>
  <c r="AB20" i="109"/>
  <c r="C38" i="109"/>
  <c r="I38" i="109"/>
  <c r="Q38" i="109"/>
  <c r="I39" i="109"/>
  <c r="O39" i="109"/>
  <c r="G40" i="109"/>
  <c r="M40" i="109"/>
  <c r="E41" i="109"/>
  <c r="U45" i="109"/>
  <c r="AC45" i="109"/>
  <c r="AA46" i="109"/>
  <c r="AG46" i="109"/>
  <c r="Y47" i="109"/>
  <c r="AG47" i="109"/>
  <c r="X48" i="109"/>
  <c r="AH55" i="109"/>
  <c r="AD55" i="109"/>
  <c r="Z55" i="109"/>
  <c r="V55" i="109"/>
  <c r="AF54" i="109"/>
  <c r="AB54" i="109"/>
  <c r="X54" i="109"/>
  <c r="AH53" i="109"/>
  <c r="AD53" i="109"/>
  <c r="Z53" i="109"/>
  <c r="V53" i="109"/>
  <c r="AF52" i="109"/>
  <c r="AB52" i="109"/>
  <c r="X52" i="109"/>
  <c r="AF50" i="109"/>
  <c r="AF55" i="109"/>
  <c r="AA55" i="109"/>
  <c r="U55" i="109"/>
  <c r="AD54" i="109"/>
  <c r="Y54" i="109"/>
  <c r="AG53" i="109"/>
  <c r="AB53" i="109"/>
  <c r="W53" i="109"/>
  <c r="AE52" i="109"/>
  <c r="Z52" i="109"/>
  <c r="U52" i="109"/>
  <c r="I52" i="109"/>
  <c r="P52" i="109"/>
  <c r="Y52" i="109"/>
  <c r="AG52" i="109"/>
  <c r="G53" i="109"/>
  <c r="N53" i="109"/>
  <c r="X53" i="109"/>
  <c r="AE53" i="109"/>
  <c r="E54" i="109"/>
  <c r="M54" i="109"/>
  <c r="V54" i="109"/>
  <c r="AC54" i="109"/>
  <c r="E55" i="109"/>
  <c r="K55" i="109"/>
  <c r="R55" i="109"/>
  <c r="AB55" i="109"/>
  <c r="P62" i="109"/>
  <c r="L62" i="109"/>
  <c r="H62" i="109"/>
  <c r="D62" i="109"/>
  <c r="R61" i="109"/>
  <c r="N61" i="109"/>
  <c r="J61" i="109"/>
  <c r="F61" i="109"/>
  <c r="P60" i="109"/>
  <c r="L60" i="109"/>
  <c r="H60" i="109"/>
  <c r="D60" i="109"/>
  <c r="R59" i="109"/>
  <c r="N59" i="109"/>
  <c r="J59" i="109"/>
  <c r="F59" i="109"/>
  <c r="R62" i="109"/>
  <c r="M62" i="109"/>
  <c r="G62" i="109"/>
  <c r="P61" i="109"/>
  <c r="K61" i="109"/>
  <c r="E61" i="109"/>
  <c r="N60" i="109"/>
  <c r="I60" i="109"/>
  <c r="C60" i="109"/>
  <c r="Q59" i="109"/>
  <c r="L59" i="109"/>
  <c r="G59" i="109"/>
  <c r="D59" i="109"/>
  <c r="K59" i="109"/>
  <c r="J60" i="109"/>
  <c r="Q60" i="109"/>
  <c r="H61" i="109"/>
  <c r="O61" i="109"/>
  <c r="F62" i="109"/>
  <c r="N62" i="109"/>
  <c r="AH69" i="109"/>
  <c r="AD69" i="109"/>
  <c r="Z69" i="109"/>
  <c r="V69" i="109"/>
  <c r="AF68" i="109"/>
  <c r="AB68" i="109"/>
  <c r="X68" i="109"/>
  <c r="AH67" i="109"/>
  <c r="AD67" i="109"/>
  <c r="Z67" i="109"/>
  <c r="V67" i="109"/>
  <c r="AF66" i="109"/>
  <c r="AB66" i="109"/>
  <c r="X66" i="109"/>
  <c r="AF64" i="109"/>
  <c r="AC69" i="109"/>
  <c r="X69" i="109"/>
  <c r="AG68" i="109"/>
  <c r="AA68" i="109"/>
  <c r="V68" i="109"/>
  <c r="AE67" i="109"/>
  <c r="Y67" i="109"/>
  <c r="AH66" i="109"/>
  <c r="AC66" i="109"/>
  <c r="W66" i="109"/>
  <c r="Y66" i="109"/>
  <c r="AE66" i="109"/>
  <c r="W67" i="109"/>
  <c r="AC67" i="109"/>
  <c r="U68" i="109"/>
  <c r="AC68" i="109"/>
  <c r="AA69" i="109"/>
  <c r="AG69" i="109"/>
  <c r="W80" i="109"/>
  <c r="AD80" i="109"/>
  <c r="U81" i="109"/>
  <c r="AC81" i="109"/>
  <c r="U82" i="109"/>
  <c r="AA82" i="109"/>
  <c r="AH82" i="109"/>
  <c r="Y83" i="109"/>
  <c r="C87" i="109"/>
  <c r="I87" i="109"/>
  <c r="P87" i="109"/>
  <c r="G88" i="109"/>
  <c r="O88" i="109"/>
  <c r="G89" i="109"/>
  <c r="M89" i="109"/>
  <c r="E90" i="109"/>
  <c r="P97" i="109"/>
  <c r="L97" i="109"/>
  <c r="H97" i="109"/>
  <c r="D97" i="109"/>
  <c r="R96" i="109"/>
  <c r="N96" i="109"/>
  <c r="J96" i="109"/>
  <c r="F96" i="109"/>
  <c r="P95" i="109"/>
  <c r="L95" i="109"/>
  <c r="H95" i="109"/>
  <c r="D95" i="109"/>
  <c r="R94" i="109"/>
  <c r="N94" i="109"/>
  <c r="J94" i="109"/>
  <c r="F94" i="109"/>
  <c r="Q97" i="109"/>
  <c r="K97" i="109"/>
  <c r="F97" i="109"/>
  <c r="O96" i="109"/>
  <c r="I96" i="109"/>
  <c r="D96" i="109"/>
  <c r="R95" i="109"/>
  <c r="M95" i="109"/>
  <c r="G95" i="109"/>
  <c r="P94" i="109"/>
  <c r="K94" i="109"/>
  <c r="E94" i="109"/>
  <c r="P92" i="109"/>
  <c r="G94" i="109"/>
  <c r="M94" i="109"/>
  <c r="V94" i="109"/>
  <c r="AD94" i="109"/>
  <c r="E95" i="109"/>
  <c r="K95" i="109"/>
  <c r="U95" i="109"/>
  <c r="AB95" i="109"/>
  <c r="C96" i="109"/>
  <c r="K96" i="109"/>
  <c r="Q96" i="109"/>
  <c r="Z96" i="109"/>
  <c r="AH96" i="109"/>
  <c r="I97" i="109"/>
  <c r="O97" i="109"/>
  <c r="Y97" i="109"/>
  <c r="O13" i="108"/>
  <c r="K13" i="108"/>
  <c r="G13" i="108"/>
  <c r="C13" i="108"/>
  <c r="R12" i="108"/>
  <c r="N12" i="108"/>
  <c r="J12" i="108"/>
  <c r="F12" i="108"/>
  <c r="Q11" i="108"/>
  <c r="M11" i="108"/>
  <c r="I11" i="108"/>
  <c r="E11" i="108"/>
  <c r="P10" i="108"/>
  <c r="L10" i="108"/>
  <c r="H10" i="108"/>
  <c r="D10" i="108"/>
  <c r="P8" i="108"/>
  <c r="R13" i="108"/>
  <c r="M13" i="108"/>
  <c r="H13" i="108"/>
  <c r="O12" i="108"/>
  <c r="I12" i="108"/>
  <c r="D12" i="108"/>
  <c r="P11" i="108"/>
  <c r="K11" i="108"/>
  <c r="F11" i="108"/>
  <c r="R10" i="108"/>
  <c r="M10" i="108"/>
  <c r="G10" i="108"/>
  <c r="N13" i="108"/>
  <c r="I13" i="108"/>
  <c r="D13" i="108"/>
  <c r="P12" i="108"/>
  <c r="K12" i="108"/>
  <c r="E12" i="108"/>
  <c r="R11" i="108"/>
  <c r="L11" i="108"/>
  <c r="G11" i="108"/>
  <c r="N10" i="108"/>
  <c r="I10" i="108"/>
  <c r="C10" i="108"/>
  <c r="J10" i="108"/>
  <c r="AF10" i="108"/>
  <c r="H11" i="108"/>
  <c r="G12" i="108"/>
  <c r="Q12" i="108"/>
  <c r="E13" i="108"/>
  <c r="P13" i="108"/>
  <c r="Q20" i="108"/>
  <c r="M20" i="108"/>
  <c r="I20" i="108"/>
  <c r="E20" i="108"/>
  <c r="P19" i="108"/>
  <c r="L19" i="108"/>
  <c r="H19" i="108"/>
  <c r="D19" i="108"/>
  <c r="O18" i="108"/>
  <c r="K18" i="108"/>
  <c r="G18" i="108"/>
  <c r="C18" i="108"/>
  <c r="R17" i="108"/>
  <c r="N17" i="108"/>
  <c r="J17" i="108"/>
  <c r="F17" i="108"/>
  <c r="P15" i="108"/>
  <c r="O20" i="108"/>
  <c r="J20" i="108"/>
  <c r="D20" i="108"/>
  <c r="Q19" i="108"/>
  <c r="K19" i="108"/>
  <c r="F19" i="108"/>
  <c r="R18" i="108"/>
  <c r="M18" i="108"/>
  <c r="H18" i="108"/>
  <c r="O17" i="108"/>
  <c r="I17" i="108"/>
  <c r="D17" i="108"/>
  <c r="P20" i="108"/>
  <c r="K20" i="108"/>
  <c r="F20" i="108"/>
  <c r="R19" i="108"/>
  <c r="M19" i="108"/>
  <c r="G19" i="108"/>
  <c r="N18" i="108"/>
  <c r="I18" i="108"/>
  <c r="D18" i="108"/>
  <c r="P17" i="108"/>
  <c r="K17" i="108"/>
  <c r="E17" i="108"/>
  <c r="L17" i="108"/>
  <c r="F18" i="108"/>
  <c r="Q18" i="108"/>
  <c r="J19" i="108"/>
  <c r="G20" i="108"/>
  <c r="R20" i="108"/>
  <c r="G32" i="108"/>
  <c r="Q32" i="108"/>
  <c r="H33" i="108"/>
  <c r="L34" i="108"/>
  <c r="P41" i="108"/>
  <c r="L41" i="108"/>
  <c r="H41" i="108"/>
  <c r="D41" i="108"/>
  <c r="P40" i="108"/>
  <c r="L40" i="108"/>
  <c r="H40" i="108"/>
  <c r="D40" i="108"/>
  <c r="P39" i="108"/>
  <c r="L39" i="108"/>
  <c r="H39" i="108"/>
  <c r="D39" i="108"/>
  <c r="P38" i="108"/>
  <c r="L38" i="108"/>
  <c r="H38" i="108"/>
  <c r="D38" i="108"/>
  <c r="R41" i="108"/>
  <c r="M41" i="108"/>
  <c r="G41" i="108"/>
  <c r="R40" i="108"/>
  <c r="M40" i="108"/>
  <c r="G40" i="108"/>
  <c r="R39" i="108"/>
  <c r="M39" i="108"/>
  <c r="G39" i="108"/>
  <c r="R38" i="108"/>
  <c r="M38" i="108"/>
  <c r="G38" i="108"/>
  <c r="P36" i="108"/>
  <c r="O41" i="108"/>
  <c r="J41" i="108"/>
  <c r="E41" i="108"/>
  <c r="N41" i="108"/>
  <c r="I41" i="108"/>
  <c r="C41" i="108"/>
  <c r="N40" i="108"/>
  <c r="I40" i="108"/>
  <c r="C40" i="108"/>
  <c r="N39" i="108"/>
  <c r="I39" i="108"/>
  <c r="C39" i="108"/>
  <c r="N38" i="108"/>
  <c r="I38" i="108"/>
  <c r="C38" i="108"/>
  <c r="K38" i="108"/>
  <c r="F39" i="108"/>
  <c r="Q39" i="108"/>
  <c r="K40" i="108"/>
  <c r="K41" i="108"/>
  <c r="AJ48" i="108"/>
  <c r="AF48" i="108"/>
  <c r="AB48" i="108"/>
  <c r="X48" i="108"/>
  <c r="AJ47" i="108"/>
  <c r="AF47" i="108"/>
  <c r="AB47" i="108"/>
  <c r="X47" i="108"/>
  <c r="AJ46" i="108"/>
  <c r="AF46" i="108"/>
  <c r="AB46" i="108"/>
  <c r="X46" i="108"/>
  <c r="AJ45" i="108"/>
  <c r="AF45" i="108"/>
  <c r="AB45" i="108"/>
  <c r="X45" i="108"/>
  <c r="AH48" i="108"/>
  <c r="AC48" i="108"/>
  <c r="W48" i="108"/>
  <c r="AH47" i="108"/>
  <c r="AC47" i="108"/>
  <c r="W47" i="108"/>
  <c r="AH46" i="108"/>
  <c r="AC46" i="108"/>
  <c r="W46" i="108"/>
  <c r="AH45" i="108"/>
  <c r="AC45" i="108"/>
  <c r="W45" i="108"/>
  <c r="AH43" i="108"/>
  <c r="AE48" i="108"/>
  <c r="Z48" i="108"/>
  <c r="U48" i="108"/>
  <c r="AE47" i="108"/>
  <c r="Z47" i="108"/>
  <c r="U47" i="108"/>
  <c r="AE46" i="108"/>
  <c r="Z46" i="108"/>
  <c r="U46" i="108"/>
  <c r="AE45" i="108"/>
  <c r="Z45" i="108"/>
  <c r="U45" i="108"/>
  <c r="AI48" i="108"/>
  <c r="AD48" i="108"/>
  <c r="Y48" i="108"/>
  <c r="AI47" i="108"/>
  <c r="AD47" i="108"/>
  <c r="Y47" i="108"/>
  <c r="AI46" i="108"/>
  <c r="AD46" i="108"/>
  <c r="Y46" i="108"/>
  <c r="AI45" i="108"/>
  <c r="AD45" i="108"/>
  <c r="Y45" i="108"/>
  <c r="V45" i="108"/>
  <c r="AG47" i="108"/>
  <c r="AA48" i="108"/>
  <c r="F55" i="109"/>
  <c r="AH83" i="109"/>
  <c r="AD83" i="109"/>
  <c r="Z83" i="109"/>
  <c r="V83" i="109"/>
  <c r="AF82" i="109"/>
  <c r="AB82" i="109"/>
  <c r="X82" i="109"/>
  <c r="AH81" i="109"/>
  <c r="AD81" i="109"/>
  <c r="Z81" i="109"/>
  <c r="V81" i="109"/>
  <c r="AF80" i="109"/>
  <c r="AB80" i="109"/>
  <c r="X80" i="109"/>
  <c r="AF78" i="109"/>
  <c r="AF83" i="109"/>
  <c r="AA83" i="109"/>
  <c r="U83" i="109"/>
  <c r="AD82" i="109"/>
  <c r="Y82" i="109"/>
  <c r="AG81" i="109"/>
  <c r="AB81" i="109"/>
  <c r="W81" i="109"/>
  <c r="AE80" i="109"/>
  <c r="Z80" i="109"/>
  <c r="U80" i="109"/>
  <c r="Y80" i="109"/>
  <c r="AG80" i="109"/>
  <c r="X81" i="109"/>
  <c r="AE81" i="109"/>
  <c r="V82" i="109"/>
  <c r="AC82" i="109"/>
  <c r="AB83" i="109"/>
  <c r="P90" i="109"/>
  <c r="L90" i="109"/>
  <c r="H90" i="109"/>
  <c r="D90" i="109"/>
  <c r="R89" i="109"/>
  <c r="N89" i="109"/>
  <c r="J89" i="109"/>
  <c r="F89" i="109"/>
  <c r="P88" i="109"/>
  <c r="L88" i="109"/>
  <c r="H88" i="109"/>
  <c r="D88" i="109"/>
  <c r="R87" i="109"/>
  <c r="N87" i="109"/>
  <c r="J87" i="109"/>
  <c r="F87" i="109"/>
  <c r="R90" i="109"/>
  <c r="M90" i="109"/>
  <c r="G90" i="109"/>
  <c r="P89" i="109"/>
  <c r="K89" i="109"/>
  <c r="E89" i="109"/>
  <c r="N88" i="109"/>
  <c r="I88" i="109"/>
  <c r="C88" i="109"/>
  <c r="Q87" i="109"/>
  <c r="L87" i="109"/>
  <c r="G87" i="109"/>
  <c r="D87" i="109"/>
  <c r="K87" i="109"/>
  <c r="J88" i="109"/>
  <c r="Q88" i="109"/>
  <c r="H89" i="109"/>
  <c r="O89" i="109"/>
  <c r="F90" i="109"/>
  <c r="N90" i="109"/>
  <c r="AH97" i="109"/>
  <c r="AD97" i="109"/>
  <c r="Z97" i="109"/>
  <c r="V97" i="109"/>
  <c r="AF96" i="109"/>
  <c r="AB96" i="109"/>
  <c r="X96" i="109"/>
  <c r="AH95" i="109"/>
  <c r="AD95" i="109"/>
  <c r="Z95" i="109"/>
  <c r="V95" i="109"/>
  <c r="AF94" i="109"/>
  <c r="AB94" i="109"/>
  <c r="X94" i="109"/>
  <c r="AF92" i="109"/>
  <c r="AC97" i="109"/>
  <c r="X97" i="109"/>
  <c r="AG96" i="109"/>
  <c r="AA96" i="109"/>
  <c r="V96" i="109"/>
  <c r="AE95" i="109"/>
  <c r="Y95" i="109"/>
  <c r="AH94" i="109"/>
  <c r="AC94" i="109"/>
  <c r="W94" i="109"/>
  <c r="Y94" i="109"/>
  <c r="AE94" i="109"/>
  <c r="W95" i="109"/>
  <c r="AC95" i="109"/>
  <c r="U96" i="109"/>
  <c r="AC96" i="109"/>
  <c r="AA97" i="109"/>
  <c r="AG97" i="109"/>
  <c r="AH13" i="108"/>
  <c r="U13" i="108"/>
  <c r="AG12" i="108"/>
  <c r="AJ11" i="108"/>
  <c r="AF11" i="108"/>
  <c r="AI10" i="108"/>
  <c r="AE10" i="108"/>
  <c r="AI13" i="108"/>
  <c r="AJ12" i="108"/>
  <c r="AE12" i="108"/>
  <c r="AG11" i="108"/>
  <c r="AH10" i="108"/>
  <c r="AH8" i="108"/>
  <c r="AJ13" i="108"/>
  <c r="AE13" i="108"/>
  <c r="AF12" i="108"/>
  <c r="AH11" i="108"/>
  <c r="AJ10" i="108"/>
  <c r="U10" i="108"/>
  <c r="AG10" i="108"/>
  <c r="AE11" i="108"/>
  <c r="U12" i="108"/>
  <c r="J39" i="108"/>
  <c r="E40" i="108"/>
  <c r="O40" i="108"/>
  <c r="Q41" i="108"/>
  <c r="AA45" i="108"/>
  <c r="V46" i="108"/>
  <c r="AG48" i="108"/>
  <c r="AJ76" i="107"/>
  <c r="AF76" i="107"/>
  <c r="AB76" i="107"/>
  <c r="X76" i="107"/>
  <c r="AJ75" i="107"/>
  <c r="AF75" i="107"/>
  <c r="AB75" i="107"/>
  <c r="X75" i="107"/>
  <c r="AJ74" i="107"/>
  <c r="AF74" i="107"/>
  <c r="AB74" i="107"/>
  <c r="X74" i="107"/>
  <c r="AJ73" i="107"/>
  <c r="AF73" i="107"/>
  <c r="AB73" i="107"/>
  <c r="X73" i="107"/>
  <c r="AH71" i="107"/>
  <c r="Y73" i="107"/>
  <c r="AD73" i="107"/>
  <c r="AI73" i="107"/>
  <c r="Y74" i="107"/>
  <c r="AD74" i="107"/>
  <c r="AI74" i="107"/>
  <c r="Y75" i="107"/>
  <c r="AD75" i="107"/>
  <c r="AI75" i="107"/>
  <c r="Y76" i="107"/>
  <c r="AD76" i="107"/>
  <c r="AI76" i="107"/>
  <c r="R90" i="107"/>
  <c r="N90" i="107"/>
  <c r="J90" i="107"/>
  <c r="F90" i="107"/>
  <c r="R89" i="107"/>
  <c r="N89" i="107"/>
  <c r="J89" i="107"/>
  <c r="F89" i="107"/>
  <c r="R88" i="107"/>
  <c r="N88" i="107"/>
  <c r="J88" i="107"/>
  <c r="F88" i="107"/>
  <c r="R87" i="107"/>
  <c r="N87" i="107"/>
  <c r="J87" i="107"/>
  <c r="F87" i="107"/>
  <c r="D87" i="107"/>
  <c r="I87" i="107"/>
  <c r="O87" i="107"/>
  <c r="D88" i="107"/>
  <c r="I88" i="107"/>
  <c r="O88" i="107"/>
  <c r="D89" i="107"/>
  <c r="I89" i="107"/>
  <c r="O89" i="107"/>
  <c r="D90" i="107"/>
  <c r="I90" i="107"/>
  <c r="O90" i="107"/>
  <c r="AJ104" i="107"/>
  <c r="AF104" i="107"/>
  <c r="AB104" i="107"/>
  <c r="X104" i="107"/>
  <c r="AJ103" i="107"/>
  <c r="AF103" i="107"/>
  <c r="AB103" i="107"/>
  <c r="X103" i="107"/>
  <c r="AJ102" i="107"/>
  <c r="AF102" i="107"/>
  <c r="AB102" i="107"/>
  <c r="X102" i="107"/>
  <c r="AJ101" i="107"/>
  <c r="AF101" i="107"/>
  <c r="AB101" i="107"/>
  <c r="X101" i="107"/>
  <c r="AH99" i="107"/>
  <c r="Y101" i="107"/>
  <c r="AD101" i="107"/>
  <c r="AI101" i="107"/>
  <c r="Y102" i="107"/>
  <c r="AD102" i="107"/>
  <c r="AI102" i="107"/>
  <c r="Y103" i="107"/>
  <c r="AD103" i="107"/>
  <c r="AI103" i="107"/>
  <c r="Y104" i="107"/>
  <c r="AD104" i="107"/>
  <c r="AI104" i="107"/>
  <c r="AH20" i="109"/>
  <c r="AD20" i="109"/>
  <c r="Z20" i="109"/>
  <c r="V20" i="109"/>
  <c r="AF19" i="109"/>
  <c r="AB19" i="109"/>
  <c r="X19" i="109"/>
  <c r="AH18" i="109"/>
  <c r="AD18" i="109"/>
  <c r="Z18" i="109"/>
  <c r="V18" i="109"/>
  <c r="AF17" i="109"/>
  <c r="AB17" i="109"/>
  <c r="X17" i="109"/>
  <c r="AF15" i="109"/>
  <c r="Y17" i="109"/>
  <c r="AD17" i="109"/>
  <c r="U18" i="109"/>
  <c r="AA18" i="109"/>
  <c r="AF18" i="109"/>
  <c r="W19" i="109"/>
  <c r="AC19" i="109"/>
  <c r="AH19" i="109"/>
  <c r="Y20" i="109"/>
  <c r="AE20" i="109"/>
  <c r="P41" i="109"/>
  <c r="L41" i="109"/>
  <c r="H41" i="109"/>
  <c r="D41" i="109"/>
  <c r="R40" i="109"/>
  <c r="N40" i="109"/>
  <c r="J40" i="109"/>
  <c r="F40" i="109"/>
  <c r="P39" i="109"/>
  <c r="L39" i="109"/>
  <c r="H39" i="109"/>
  <c r="D39" i="109"/>
  <c r="R38" i="109"/>
  <c r="N38" i="109"/>
  <c r="J38" i="109"/>
  <c r="F38" i="109"/>
  <c r="Q41" i="109"/>
  <c r="K41" i="109"/>
  <c r="F41" i="109"/>
  <c r="O40" i="109"/>
  <c r="I40" i="109"/>
  <c r="D40" i="109"/>
  <c r="R39" i="109"/>
  <c r="M39" i="109"/>
  <c r="G39" i="109"/>
  <c r="P38" i="109"/>
  <c r="K38" i="109"/>
  <c r="E38" i="109"/>
  <c r="P36" i="109"/>
  <c r="G38" i="109"/>
  <c r="M38" i="109"/>
  <c r="E39" i="109"/>
  <c r="K39" i="109"/>
  <c r="C40" i="109"/>
  <c r="K40" i="109"/>
  <c r="Q40" i="109"/>
  <c r="I41" i="109"/>
  <c r="O41" i="109"/>
  <c r="AH48" i="109"/>
  <c r="AD48" i="109"/>
  <c r="Z48" i="109"/>
  <c r="V48" i="109"/>
  <c r="AF47" i="109"/>
  <c r="AB47" i="109"/>
  <c r="X47" i="109"/>
  <c r="AH46" i="109"/>
  <c r="AD46" i="109"/>
  <c r="Z46" i="109"/>
  <c r="V46" i="109"/>
  <c r="AF45" i="109"/>
  <c r="AB45" i="109"/>
  <c r="X45" i="109"/>
  <c r="AF43" i="109"/>
  <c r="AG48" i="109"/>
  <c r="AB48" i="109"/>
  <c r="W48" i="109"/>
  <c r="AE47" i="109"/>
  <c r="Z47" i="109"/>
  <c r="U47" i="109"/>
  <c r="AC46" i="109"/>
  <c r="X46" i="109"/>
  <c r="AG45" i="109"/>
  <c r="AA45" i="109"/>
  <c r="V45" i="109"/>
  <c r="Y45" i="109"/>
  <c r="AE45" i="109"/>
  <c r="W46" i="109"/>
  <c r="AE46" i="109"/>
  <c r="V47" i="109"/>
  <c r="AC47" i="109"/>
  <c r="AA48" i="109"/>
  <c r="P55" i="109"/>
  <c r="L55" i="109"/>
  <c r="H55" i="109"/>
  <c r="D55" i="109"/>
  <c r="R54" i="109"/>
  <c r="N54" i="109"/>
  <c r="J54" i="109"/>
  <c r="F54" i="109"/>
  <c r="P53" i="109"/>
  <c r="L53" i="109"/>
  <c r="H53" i="109"/>
  <c r="D53" i="109"/>
  <c r="R52" i="109"/>
  <c r="N52" i="109"/>
  <c r="J52" i="109"/>
  <c r="F52" i="109"/>
  <c r="N55" i="109"/>
  <c r="I55" i="109"/>
  <c r="C55" i="109"/>
  <c r="Q54" i="109"/>
  <c r="L54" i="109"/>
  <c r="G54" i="109"/>
  <c r="O53" i="109"/>
  <c r="J53" i="109"/>
  <c r="E53" i="109"/>
  <c r="M52" i="109"/>
  <c r="H52" i="109"/>
  <c r="C52" i="109"/>
  <c r="E52" i="109"/>
  <c r="L52" i="109"/>
  <c r="C53" i="109"/>
  <c r="K53" i="109"/>
  <c r="R53" i="109"/>
  <c r="C54" i="109"/>
  <c r="I54" i="109"/>
  <c r="P54" i="109"/>
  <c r="G55" i="109"/>
  <c r="O55" i="109"/>
  <c r="W69" i="109"/>
  <c r="AE69" i="109"/>
  <c r="AA80" i="109"/>
  <c r="AH80" i="109"/>
  <c r="Y81" i="109"/>
  <c r="AF81" i="109"/>
  <c r="W82" i="109"/>
  <c r="AE82" i="109"/>
  <c r="W83" i="109"/>
  <c r="AC83" i="109"/>
  <c r="P85" i="109"/>
  <c r="E87" i="109"/>
  <c r="M87" i="109"/>
  <c r="E88" i="109"/>
  <c r="K88" i="109"/>
  <c r="R88" i="109"/>
  <c r="C89" i="109"/>
  <c r="I89" i="109"/>
  <c r="Q89" i="109"/>
  <c r="I90" i="109"/>
  <c r="O90" i="109"/>
  <c r="Z94" i="109"/>
  <c r="AG94" i="109"/>
  <c r="X95" i="109"/>
  <c r="AF95" i="109"/>
  <c r="W96" i="109"/>
  <c r="AD96" i="109"/>
  <c r="U97" i="109"/>
  <c r="AB97" i="109"/>
  <c r="AI11" i="108"/>
  <c r="AH12" i="108"/>
  <c r="AF13" i="108"/>
  <c r="G34" i="108"/>
  <c r="F38" i="108"/>
  <c r="Q38" i="108"/>
  <c r="K39" i="108"/>
  <c r="F40" i="108"/>
  <c r="Q40" i="108"/>
  <c r="AG45" i="108"/>
  <c r="AA46" i="108"/>
  <c r="V47" i="108"/>
  <c r="K39" i="81"/>
  <c r="M39" i="81" s="1"/>
  <c r="G39" i="81"/>
  <c r="H39" i="81" s="1"/>
  <c r="C39" i="81"/>
  <c r="E39" i="81" s="1"/>
  <c r="K43" i="81"/>
  <c r="M43" i="81" s="1"/>
  <c r="G43" i="81"/>
  <c r="H43" i="81" s="1"/>
  <c r="C43" i="81"/>
  <c r="E43" i="81" s="1"/>
  <c r="K47" i="81"/>
  <c r="M47" i="81" s="1"/>
  <c r="G47" i="81"/>
  <c r="H47" i="81" s="1"/>
  <c r="C47" i="81"/>
  <c r="E47" i="81" s="1"/>
  <c r="K51" i="81"/>
  <c r="M51" i="81" s="1"/>
  <c r="G51" i="81"/>
  <c r="H51" i="81" s="1"/>
  <c r="C51" i="81"/>
  <c r="E51" i="81" s="1"/>
  <c r="K55" i="81"/>
  <c r="M55" i="81" s="1"/>
  <c r="G55" i="81"/>
  <c r="H55" i="81" s="1"/>
  <c r="C55" i="81"/>
  <c r="E55" i="81" s="1"/>
  <c r="K59" i="81"/>
  <c r="M59" i="81" s="1"/>
  <c r="G59" i="81"/>
  <c r="H59" i="81" s="1"/>
  <c r="C59" i="81"/>
  <c r="E59" i="81" s="1"/>
  <c r="K63" i="81"/>
  <c r="M63" i="81" s="1"/>
  <c r="G63" i="81"/>
  <c r="H63" i="81" s="1"/>
  <c r="C63" i="81"/>
  <c r="E63" i="81" s="1"/>
  <c r="F64" i="81"/>
  <c r="J64" i="81" s="1"/>
  <c r="L64" i="81"/>
  <c r="M64" i="81" s="1"/>
  <c r="G98" i="81"/>
  <c r="H98" i="81" s="1"/>
  <c r="I98" i="81" s="1"/>
  <c r="G100" i="81"/>
  <c r="H100" i="81" s="1"/>
  <c r="I100" i="81" s="1"/>
  <c r="G102" i="81"/>
  <c r="H102" i="81" s="1"/>
  <c r="I102" i="81" s="1"/>
  <c r="G104" i="81"/>
  <c r="H104" i="81" s="1"/>
  <c r="I104" i="81" s="1"/>
  <c r="G106" i="81"/>
  <c r="H106" i="81" s="1"/>
  <c r="I106" i="81" s="1"/>
  <c r="G108" i="81"/>
  <c r="H108" i="81" s="1"/>
  <c r="I108" i="81" s="1"/>
  <c r="G110" i="81"/>
  <c r="H110" i="81" s="1"/>
  <c r="I110" i="81" s="1"/>
  <c r="G112" i="81"/>
  <c r="H112" i="81" s="1"/>
  <c r="I112" i="81" s="1"/>
  <c r="G114" i="81"/>
  <c r="H114" i="81" s="1"/>
  <c r="I114" i="81" s="1"/>
  <c r="G116" i="81"/>
  <c r="H116" i="81" s="1"/>
  <c r="I116" i="81" s="1"/>
  <c r="G118" i="81"/>
  <c r="H118" i="81" s="1"/>
  <c r="I118" i="81" s="1"/>
  <c r="G120" i="81"/>
  <c r="H120" i="81" s="1"/>
  <c r="I120" i="81" s="1"/>
  <c r="G122" i="81"/>
  <c r="H122" i="81" s="1"/>
  <c r="I122" i="81" s="1"/>
  <c r="G124" i="81"/>
  <c r="H124" i="81" s="1"/>
  <c r="I124" i="81" s="1"/>
  <c r="AJ13" i="107"/>
  <c r="AF13" i="107"/>
  <c r="AB13" i="107"/>
  <c r="X13" i="107"/>
  <c r="AJ12" i="107"/>
  <c r="AF12" i="107"/>
  <c r="AB12" i="107"/>
  <c r="X12" i="107"/>
  <c r="AJ11" i="107"/>
  <c r="AF11" i="107"/>
  <c r="AB11" i="107"/>
  <c r="X11" i="107"/>
  <c r="AJ10" i="107"/>
  <c r="AF10" i="107"/>
  <c r="AB10" i="107"/>
  <c r="X10" i="107"/>
  <c r="AH8" i="107"/>
  <c r="Y10" i="107"/>
  <c r="AD10" i="107"/>
  <c r="AI10" i="107"/>
  <c r="Y11" i="107"/>
  <c r="AD11" i="107"/>
  <c r="AI11" i="107"/>
  <c r="Y12" i="107"/>
  <c r="AD12" i="107"/>
  <c r="AI12" i="107"/>
  <c r="Y13" i="107"/>
  <c r="AD13" i="107"/>
  <c r="AI13" i="107"/>
  <c r="C17" i="107"/>
  <c r="H17" i="107"/>
  <c r="M17" i="107"/>
  <c r="C18" i="107"/>
  <c r="H18" i="107"/>
  <c r="M18" i="107"/>
  <c r="C19" i="107"/>
  <c r="H19" i="107"/>
  <c r="M19" i="107"/>
  <c r="C20" i="107"/>
  <c r="H20" i="107"/>
  <c r="M20" i="107"/>
  <c r="R27" i="107"/>
  <c r="N27" i="107"/>
  <c r="J27" i="107"/>
  <c r="F27" i="107"/>
  <c r="R26" i="107"/>
  <c r="N26" i="107"/>
  <c r="J26" i="107"/>
  <c r="F26" i="107"/>
  <c r="R25" i="107"/>
  <c r="N25" i="107"/>
  <c r="J25" i="107"/>
  <c r="F25" i="107"/>
  <c r="R24" i="107"/>
  <c r="N24" i="107"/>
  <c r="J24" i="107"/>
  <c r="F24" i="107"/>
  <c r="D24" i="107"/>
  <c r="I24" i="107"/>
  <c r="O24" i="107"/>
  <c r="D25" i="107"/>
  <c r="I25" i="107"/>
  <c r="O25" i="107"/>
  <c r="D26" i="107"/>
  <c r="I26" i="107"/>
  <c r="O26" i="107"/>
  <c r="D27" i="107"/>
  <c r="I27" i="107"/>
  <c r="O27" i="107"/>
  <c r="W31" i="107"/>
  <c r="AC31" i="107"/>
  <c r="AH31" i="107"/>
  <c r="W32" i="107"/>
  <c r="AC32" i="107"/>
  <c r="AH32" i="107"/>
  <c r="W33" i="107"/>
  <c r="AC33" i="107"/>
  <c r="AH33" i="107"/>
  <c r="W34" i="107"/>
  <c r="AC34" i="107"/>
  <c r="AH34" i="107"/>
  <c r="AJ41" i="107"/>
  <c r="AF41" i="107"/>
  <c r="AB41" i="107"/>
  <c r="X41" i="107"/>
  <c r="AJ40" i="107"/>
  <c r="AF40" i="107"/>
  <c r="AB40" i="107"/>
  <c r="X40" i="107"/>
  <c r="AJ39" i="107"/>
  <c r="AF39" i="107"/>
  <c r="AB39" i="107"/>
  <c r="X39" i="107"/>
  <c r="AJ38" i="107"/>
  <c r="AF38" i="107"/>
  <c r="AB38" i="107"/>
  <c r="X38" i="107"/>
  <c r="AH36" i="107"/>
  <c r="Y38" i="107"/>
  <c r="AD38" i="107"/>
  <c r="AI38" i="107"/>
  <c r="Y39" i="107"/>
  <c r="AD39" i="107"/>
  <c r="AI39" i="107"/>
  <c r="Y40" i="107"/>
  <c r="AD40" i="107"/>
  <c r="AI40" i="107"/>
  <c r="Y41" i="107"/>
  <c r="AD41" i="107"/>
  <c r="AI41" i="107"/>
  <c r="C45" i="107"/>
  <c r="H45" i="107"/>
  <c r="M45" i="107"/>
  <c r="C46" i="107"/>
  <c r="H46" i="107"/>
  <c r="M46" i="107"/>
  <c r="C47" i="107"/>
  <c r="H47" i="107"/>
  <c r="M47" i="107"/>
  <c r="C48" i="107"/>
  <c r="H48" i="107"/>
  <c r="M48" i="107"/>
  <c r="R55" i="107"/>
  <c r="N55" i="107"/>
  <c r="J55" i="107"/>
  <c r="F55" i="107"/>
  <c r="R54" i="107"/>
  <c r="N54" i="107"/>
  <c r="J54" i="107"/>
  <c r="F54" i="107"/>
  <c r="R53" i="107"/>
  <c r="N53" i="107"/>
  <c r="J53" i="107"/>
  <c r="F53" i="107"/>
  <c r="R52" i="107"/>
  <c r="N52" i="107"/>
  <c r="J52" i="107"/>
  <c r="F52" i="107"/>
  <c r="D52" i="107"/>
  <c r="I52" i="107"/>
  <c r="O52" i="107"/>
  <c r="D53" i="107"/>
  <c r="I53" i="107"/>
  <c r="O53" i="107"/>
  <c r="D54" i="107"/>
  <c r="I54" i="107"/>
  <c r="O54" i="107"/>
  <c r="D55" i="107"/>
  <c r="I55" i="107"/>
  <c r="O55" i="107"/>
  <c r="W59" i="107"/>
  <c r="AC59" i="107"/>
  <c r="AH59" i="107"/>
  <c r="W60" i="107"/>
  <c r="AC60" i="107"/>
  <c r="AH60" i="107"/>
  <c r="W61" i="107"/>
  <c r="AC61" i="107"/>
  <c r="AH61" i="107"/>
  <c r="W62" i="107"/>
  <c r="AC62" i="107"/>
  <c r="AH62" i="107"/>
  <c r="AJ69" i="107"/>
  <c r="AF69" i="107"/>
  <c r="AB69" i="107"/>
  <c r="X69" i="107"/>
  <c r="AJ68" i="107"/>
  <c r="AF68" i="107"/>
  <c r="AB68" i="107"/>
  <c r="X68" i="107"/>
  <c r="AJ67" i="107"/>
  <c r="AF67" i="107"/>
  <c r="AB67" i="107"/>
  <c r="X67" i="107"/>
  <c r="AJ66" i="107"/>
  <c r="AF66" i="107"/>
  <c r="AB66" i="107"/>
  <c r="X66" i="107"/>
  <c r="AH64" i="107"/>
  <c r="Y66" i="107"/>
  <c r="AD66" i="107"/>
  <c r="AI66" i="107"/>
  <c r="Y67" i="107"/>
  <c r="AD67" i="107"/>
  <c r="AI67" i="107"/>
  <c r="Y68" i="107"/>
  <c r="AD68" i="107"/>
  <c r="AI68" i="107"/>
  <c r="Y69" i="107"/>
  <c r="AD69" i="107"/>
  <c r="AI69" i="107"/>
  <c r="C73" i="107"/>
  <c r="H73" i="107"/>
  <c r="M73" i="107"/>
  <c r="U73" i="107"/>
  <c r="Z73" i="107"/>
  <c r="AE73" i="107"/>
  <c r="C74" i="107"/>
  <c r="H74" i="107"/>
  <c r="M74" i="107"/>
  <c r="U74" i="107"/>
  <c r="Z74" i="107"/>
  <c r="AE74" i="107"/>
  <c r="C75" i="107"/>
  <c r="H75" i="107"/>
  <c r="M75" i="107"/>
  <c r="U75" i="107"/>
  <c r="Z75" i="107"/>
  <c r="AE75" i="107"/>
  <c r="C76" i="107"/>
  <c r="H76" i="107"/>
  <c r="M76" i="107"/>
  <c r="U76" i="107"/>
  <c r="Z76" i="107"/>
  <c r="AE76" i="107"/>
  <c r="R83" i="107"/>
  <c r="N83" i="107"/>
  <c r="J83" i="107"/>
  <c r="F83" i="107"/>
  <c r="R82" i="107"/>
  <c r="N82" i="107"/>
  <c r="J82" i="107"/>
  <c r="F82" i="107"/>
  <c r="R81" i="107"/>
  <c r="N81" i="107"/>
  <c r="J81" i="107"/>
  <c r="F81" i="107"/>
  <c r="R80" i="107"/>
  <c r="N80" i="107"/>
  <c r="J80" i="107"/>
  <c r="F80" i="107"/>
  <c r="D80" i="107"/>
  <c r="I80" i="107"/>
  <c r="O80" i="107"/>
  <c r="D81" i="107"/>
  <c r="I81" i="107"/>
  <c r="O81" i="107"/>
  <c r="D82" i="107"/>
  <c r="I82" i="107"/>
  <c r="O82" i="107"/>
  <c r="D83" i="107"/>
  <c r="I83" i="107"/>
  <c r="O83" i="107"/>
  <c r="P85" i="107"/>
  <c r="E87" i="107"/>
  <c r="K87" i="107"/>
  <c r="P87" i="107"/>
  <c r="W87" i="107"/>
  <c r="AC87" i="107"/>
  <c r="AH87" i="107"/>
  <c r="E88" i="107"/>
  <c r="K88" i="107"/>
  <c r="P88" i="107"/>
  <c r="W88" i="107"/>
  <c r="AC88" i="107"/>
  <c r="AH88" i="107"/>
  <c r="E89" i="107"/>
  <c r="K89" i="107"/>
  <c r="P89" i="107"/>
  <c r="W89" i="107"/>
  <c r="AC89" i="107"/>
  <c r="AH89" i="107"/>
  <c r="E90" i="107"/>
  <c r="K90" i="107"/>
  <c r="P90" i="107"/>
  <c r="W90" i="107"/>
  <c r="AC90" i="107"/>
  <c r="AH90" i="107"/>
  <c r="AJ97" i="107"/>
  <c r="AF97" i="107"/>
  <c r="AB97" i="107"/>
  <c r="X97" i="107"/>
  <c r="AJ96" i="107"/>
  <c r="AF96" i="107"/>
  <c r="AB96" i="107"/>
  <c r="X96" i="107"/>
  <c r="AJ95" i="107"/>
  <c r="AF95" i="107"/>
  <c r="AB95" i="107"/>
  <c r="X95" i="107"/>
  <c r="AJ94" i="107"/>
  <c r="AF94" i="107"/>
  <c r="AB94" i="107"/>
  <c r="X94" i="107"/>
  <c r="AH92" i="107"/>
  <c r="Y94" i="107"/>
  <c r="AD94" i="107"/>
  <c r="AI94" i="107"/>
  <c r="Y95" i="107"/>
  <c r="AD95" i="107"/>
  <c r="AI95" i="107"/>
  <c r="Y96" i="107"/>
  <c r="AD96" i="107"/>
  <c r="AI96" i="107"/>
  <c r="Y97" i="107"/>
  <c r="AD97" i="107"/>
  <c r="AI97" i="107"/>
  <c r="C101" i="107"/>
  <c r="H101" i="107"/>
  <c r="M101" i="107"/>
  <c r="U101" i="107"/>
  <c r="Z101" i="107"/>
  <c r="AE101" i="107"/>
  <c r="C102" i="107"/>
  <c r="H102" i="107"/>
  <c r="M102" i="107"/>
  <c r="U102" i="107"/>
  <c r="Z102" i="107"/>
  <c r="AE102" i="107"/>
  <c r="C103" i="107"/>
  <c r="H103" i="107"/>
  <c r="M103" i="107"/>
  <c r="U103" i="107"/>
  <c r="Z103" i="107"/>
  <c r="AE103" i="107"/>
  <c r="C104" i="107"/>
  <c r="H104" i="107"/>
  <c r="M104" i="107"/>
  <c r="U104" i="107"/>
  <c r="Z104" i="107"/>
  <c r="AE104" i="107"/>
  <c r="P13" i="109"/>
  <c r="L13" i="109"/>
  <c r="H13" i="109"/>
  <c r="D13" i="109"/>
  <c r="R12" i="109"/>
  <c r="N12" i="109"/>
  <c r="J12" i="109"/>
  <c r="F12" i="109"/>
  <c r="P11" i="109"/>
  <c r="L11" i="109"/>
  <c r="H11" i="109"/>
  <c r="D11" i="109"/>
  <c r="R10" i="109"/>
  <c r="N10" i="109"/>
  <c r="J10" i="109"/>
  <c r="F10" i="109"/>
  <c r="D10" i="109"/>
  <c r="I10" i="109"/>
  <c r="O10" i="109"/>
  <c r="F11" i="109"/>
  <c r="K11" i="109"/>
  <c r="Q11" i="109"/>
  <c r="C12" i="109"/>
  <c r="H12" i="109"/>
  <c r="M12" i="109"/>
  <c r="E13" i="109"/>
  <c r="J13" i="109"/>
  <c r="O13" i="109"/>
  <c r="C17" i="109"/>
  <c r="H17" i="109"/>
  <c r="M17" i="109"/>
  <c r="U17" i="109"/>
  <c r="Z17" i="109"/>
  <c r="AE17" i="109"/>
  <c r="E18" i="109"/>
  <c r="J18" i="109"/>
  <c r="O18" i="109"/>
  <c r="W18" i="109"/>
  <c r="AB18" i="109"/>
  <c r="AG18" i="109"/>
  <c r="G19" i="109"/>
  <c r="L19" i="109"/>
  <c r="Q19" i="109"/>
  <c r="Y19" i="109"/>
  <c r="AD19" i="109"/>
  <c r="C20" i="109"/>
  <c r="I20" i="109"/>
  <c r="N20" i="109"/>
  <c r="U20" i="109"/>
  <c r="AA20" i="109"/>
  <c r="AF20" i="109"/>
  <c r="AH27" i="109"/>
  <c r="AD27" i="109"/>
  <c r="Z27" i="109"/>
  <c r="V27" i="109"/>
  <c r="AF26" i="109"/>
  <c r="AB26" i="109"/>
  <c r="X26" i="109"/>
  <c r="AH25" i="109"/>
  <c r="AD25" i="109"/>
  <c r="Z25" i="109"/>
  <c r="V25" i="109"/>
  <c r="AF24" i="109"/>
  <c r="AB24" i="109"/>
  <c r="X24" i="109"/>
  <c r="AF22" i="109"/>
  <c r="AF27" i="109"/>
  <c r="AA27" i="109"/>
  <c r="U27" i="109"/>
  <c r="AD26" i="109"/>
  <c r="Y26" i="109"/>
  <c r="AG25" i="109"/>
  <c r="AB25" i="109"/>
  <c r="W25" i="109"/>
  <c r="AE24" i="109"/>
  <c r="Z24" i="109"/>
  <c r="U24" i="109"/>
  <c r="Y24" i="109"/>
  <c r="AG24" i="109"/>
  <c r="X25" i="109"/>
  <c r="AE25" i="109"/>
  <c r="V26" i="109"/>
  <c r="AC26" i="109"/>
  <c r="AB27" i="109"/>
  <c r="P34" i="109"/>
  <c r="L34" i="109"/>
  <c r="H34" i="109"/>
  <c r="D34" i="109"/>
  <c r="R33" i="109"/>
  <c r="N33" i="109"/>
  <c r="J33" i="109"/>
  <c r="F33" i="109"/>
  <c r="P32" i="109"/>
  <c r="L32" i="109"/>
  <c r="H32" i="109"/>
  <c r="D32" i="109"/>
  <c r="R31" i="109"/>
  <c r="N31" i="109"/>
  <c r="J31" i="109"/>
  <c r="F31" i="109"/>
  <c r="R34" i="109"/>
  <c r="M34" i="109"/>
  <c r="G34" i="109"/>
  <c r="P33" i="109"/>
  <c r="K33" i="109"/>
  <c r="E33" i="109"/>
  <c r="N32" i="109"/>
  <c r="I32" i="109"/>
  <c r="C32" i="109"/>
  <c r="Q31" i="109"/>
  <c r="L31" i="109"/>
  <c r="G31" i="109"/>
  <c r="D31" i="109"/>
  <c r="K31" i="109"/>
  <c r="J32" i="109"/>
  <c r="Q32" i="109"/>
  <c r="H33" i="109"/>
  <c r="O33" i="109"/>
  <c r="F34" i="109"/>
  <c r="N34" i="109"/>
  <c r="AH41" i="109"/>
  <c r="AD41" i="109"/>
  <c r="Z41" i="109"/>
  <c r="V41" i="109"/>
  <c r="AF40" i="109"/>
  <c r="AB40" i="109"/>
  <c r="X40" i="109"/>
  <c r="AH39" i="109"/>
  <c r="AD39" i="109"/>
  <c r="Z39" i="109"/>
  <c r="V39" i="109"/>
  <c r="AF38" i="109"/>
  <c r="AB38" i="109"/>
  <c r="X38" i="109"/>
  <c r="AF36" i="109"/>
  <c r="AC41" i="109"/>
  <c r="X41" i="109"/>
  <c r="AG40" i="109"/>
  <c r="AA40" i="109"/>
  <c r="V40" i="109"/>
  <c r="AE39" i="109"/>
  <c r="Y39" i="109"/>
  <c r="AH38" i="109"/>
  <c r="AC38" i="109"/>
  <c r="W38" i="109"/>
  <c r="H38" i="109"/>
  <c r="O38" i="109"/>
  <c r="Y38" i="109"/>
  <c r="AE38" i="109"/>
  <c r="F39" i="109"/>
  <c r="N39" i="109"/>
  <c r="W39" i="109"/>
  <c r="AC39" i="109"/>
  <c r="E40" i="109"/>
  <c r="L40" i="109"/>
  <c r="U40" i="109"/>
  <c r="AC40" i="109"/>
  <c r="C41" i="109"/>
  <c r="J41" i="109"/>
  <c r="R41" i="109"/>
  <c r="AA41" i="109"/>
  <c r="AG41" i="109"/>
  <c r="Z45" i="109"/>
  <c r="AH45" i="109"/>
  <c r="Y46" i="109"/>
  <c r="AF46" i="109"/>
  <c r="W47" i="109"/>
  <c r="AD47" i="109"/>
  <c r="U48" i="109"/>
  <c r="AC48" i="109"/>
  <c r="P50" i="109"/>
  <c r="G52" i="109"/>
  <c r="O52" i="109"/>
  <c r="W52" i="109"/>
  <c r="AD52" i="109"/>
  <c r="F53" i="109"/>
  <c r="M53" i="109"/>
  <c r="U53" i="109"/>
  <c r="AC53" i="109"/>
  <c r="D54" i="109"/>
  <c r="K54" i="109"/>
  <c r="U54" i="109"/>
  <c r="AA54" i="109"/>
  <c r="AH54" i="109"/>
  <c r="J55" i="109"/>
  <c r="Q55" i="109"/>
  <c r="Y55" i="109"/>
  <c r="AG55" i="109"/>
  <c r="C59" i="109"/>
  <c r="I59" i="109"/>
  <c r="P59" i="109"/>
  <c r="G60" i="109"/>
  <c r="O60" i="109"/>
  <c r="G61" i="109"/>
  <c r="M61" i="109"/>
  <c r="E62" i="109"/>
  <c r="K62" i="109"/>
  <c r="P69" i="109"/>
  <c r="L69" i="109"/>
  <c r="H69" i="109"/>
  <c r="D69" i="109"/>
  <c r="R68" i="109"/>
  <c r="N68" i="109"/>
  <c r="J68" i="109"/>
  <c r="F68" i="109"/>
  <c r="P67" i="109"/>
  <c r="L67" i="109"/>
  <c r="H67" i="109"/>
  <c r="D67" i="109"/>
  <c r="R66" i="109"/>
  <c r="N66" i="109"/>
  <c r="J66" i="109"/>
  <c r="F66" i="109"/>
  <c r="Q69" i="109"/>
  <c r="K69" i="109"/>
  <c r="F69" i="109"/>
  <c r="O68" i="109"/>
  <c r="I68" i="109"/>
  <c r="D68" i="109"/>
  <c r="R67" i="109"/>
  <c r="M67" i="109"/>
  <c r="G67" i="109"/>
  <c r="P66" i="109"/>
  <c r="K66" i="109"/>
  <c r="E66" i="109"/>
  <c r="P64" i="109"/>
  <c r="G66" i="109"/>
  <c r="M66" i="109"/>
  <c r="V66" i="109"/>
  <c r="AD66" i="109"/>
  <c r="E67" i="109"/>
  <c r="K67" i="109"/>
  <c r="U67" i="109"/>
  <c r="AB67" i="109"/>
  <c r="C68" i="109"/>
  <c r="K68" i="109"/>
  <c r="Q68" i="109"/>
  <c r="Z68" i="109"/>
  <c r="AH68" i="109"/>
  <c r="I69" i="109"/>
  <c r="O69" i="109"/>
  <c r="Y69" i="109"/>
  <c r="AF69" i="109"/>
  <c r="AH76" i="109"/>
  <c r="AD76" i="109"/>
  <c r="Z76" i="109"/>
  <c r="V76" i="109"/>
  <c r="AF75" i="109"/>
  <c r="AB75" i="109"/>
  <c r="X75" i="109"/>
  <c r="AH74" i="109"/>
  <c r="AD74" i="109"/>
  <c r="Z74" i="109"/>
  <c r="V74" i="109"/>
  <c r="AF73" i="109"/>
  <c r="AB73" i="109"/>
  <c r="X73" i="109"/>
  <c r="AF71" i="109"/>
  <c r="AG76" i="109"/>
  <c r="AB76" i="109"/>
  <c r="W76" i="109"/>
  <c r="AE75" i="109"/>
  <c r="Z75" i="109"/>
  <c r="U75" i="109"/>
  <c r="AC74" i="109"/>
  <c r="X74" i="109"/>
  <c r="AG73" i="109"/>
  <c r="AA73" i="109"/>
  <c r="V73" i="109"/>
  <c r="Y73" i="109"/>
  <c r="AE73" i="109"/>
  <c r="W74" i="109"/>
  <c r="AE74" i="109"/>
  <c r="V75" i="109"/>
  <c r="AC75" i="109"/>
  <c r="AA76" i="109"/>
  <c r="P83" i="109"/>
  <c r="L83" i="109"/>
  <c r="H83" i="109"/>
  <c r="D83" i="109"/>
  <c r="R82" i="109"/>
  <c r="N82" i="109"/>
  <c r="J82" i="109"/>
  <c r="F82" i="109"/>
  <c r="P81" i="109"/>
  <c r="L81" i="109"/>
  <c r="H81" i="109"/>
  <c r="D81" i="109"/>
  <c r="R80" i="109"/>
  <c r="N80" i="109"/>
  <c r="J80" i="109"/>
  <c r="F80" i="109"/>
  <c r="N83" i="109"/>
  <c r="I83" i="109"/>
  <c r="C83" i="109"/>
  <c r="Q82" i="109"/>
  <c r="L82" i="109"/>
  <c r="G82" i="109"/>
  <c r="O81" i="109"/>
  <c r="J81" i="109"/>
  <c r="E81" i="109"/>
  <c r="M80" i="109"/>
  <c r="H80" i="109"/>
  <c r="C80" i="109"/>
  <c r="E80" i="109"/>
  <c r="L80" i="109"/>
  <c r="V80" i="109"/>
  <c r="AC80" i="109"/>
  <c r="C81" i="109"/>
  <c r="K81" i="109"/>
  <c r="R81" i="109"/>
  <c r="AA81" i="109"/>
  <c r="C82" i="109"/>
  <c r="I82" i="109"/>
  <c r="P82" i="109"/>
  <c r="Z82" i="109"/>
  <c r="AG82" i="109"/>
  <c r="G83" i="109"/>
  <c r="O83" i="109"/>
  <c r="X83" i="109"/>
  <c r="AE83" i="109"/>
  <c r="H87" i="109"/>
  <c r="O87" i="109"/>
  <c r="F88" i="109"/>
  <c r="M88" i="109"/>
  <c r="D89" i="109"/>
  <c r="L89" i="109"/>
  <c r="C90" i="109"/>
  <c r="J90" i="109"/>
  <c r="Q90" i="109"/>
  <c r="D94" i="109"/>
  <c r="L94" i="109"/>
  <c r="U94" i="109"/>
  <c r="AA94" i="109"/>
  <c r="C95" i="109"/>
  <c r="J95" i="109"/>
  <c r="Q95" i="109"/>
  <c r="AA95" i="109"/>
  <c r="AG95" i="109"/>
  <c r="H96" i="109"/>
  <c r="P96" i="109"/>
  <c r="Y96" i="109"/>
  <c r="AE96" i="109"/>
  <c r="G97" i="109"/>
  <c r="N97" i="109"/>
  <c r="W97" i="109"/>
  <c r="AE97" i="109"/>
  <c r="F10" i="108"/>
  <c r="Q10" i="108"/>
  <c r="D11" i="108"/>
  <c r="O11" i="108"/>
  <c r="C12" i="108"/>
  <c r="M12" i="108"/>
  <c r="AI12" i="108"/>
  <c r="L13" i="108"/>
  <c r="AG13" i="108"/>
  <c r="H17" i="108"/>
  <c r="E18" i="108"/>
  <c r="P18" i="108"/>
  <c r="I19" i="108"/>
  <c r="C20" i="108"/>
  <c r="N20" i="108"/>
  <c r="R34" i="108"/>
  <c r="N34" i="108"/>
  <c r="J34" i="108"/>
  <c r="F34" i="108"/>
  <c r="R33" i="108"/>
  <c r="N33" i="108"/>
  <c r="J33" i="108"/>
  <c r="F33" i="108"/>
  <c r="R32" i="108"/>
  <c r="N32" i="108"/>
  <c r="J32" i="108"/>
  <c r="F32" i="108"/>
  <c r="R31" i="108"/>
  <c r="N31" i="108"/>
  <c r="J31" i="108"/>
  <c r="F31" i="108"/>
  <c r="P29" i="108"/>
  <c r="O34" i="108"/>
  <c r="I34" i="108"/>
  <c r="D34" i="108"/>
  <c r="O33" i="108"/>
  <c r="I33" i="108"/>
  <c r="D33" i="108"/>
  <c r="O32" i="108"/>
  <c r="I32" i="108"/>
  <c r="D32" i="108"/>
  <c r="O31" i="108"/>
  <c r="I31" i="108"/>
  <c r="D31" i="108"/>
  <c r="P34" i="108"/>
  <c r="K34" i="108"/>
  <c r="E34" i="108"/>
  <c r="P33" i="108"/>
  <c r="K33" i="108"/>
  <c r="E33" i="108"/>
  <c r="P32" i="108"/>
  <c r="K32" i="108"/>
  <c r="E32" i="108"/>
  <c r="P31" i="108"/>
  <c r="K31" i="108"/>
  <c r="E31" i="108"/>
  <c r="L31" i="108"/>
  <c r="C32" i="108"/>
  <c r="M32" i="108"/>
  <c r="G33" i="108"/>
  <c r="Q33" i="108"/>
  <c r="H34" i="108"/>
  <c r="J38" i="108"/>
  <c r="E39" i="108"/>
  <c r="O39" i="108"/>
  <c r="J40" i="108"/>
  <c r="F41" i="108"/>
  <c r="AG46" i="108"/>
  <c r="AA47" i="108"/>
  <c r="V48" i="108"/>
  <c r="R48" i="108"/>
  <c r="N48" i="108"/>
  <c r="J48" i="108"/>
  <c r="F48" i="108"/>
  <c r="R47" i="108"/>
  <c r="N47" i="108"/>
  <c r="J47" i="108"/>
  <c r="F47" i="108"/>
  <c r="R46" i="108"/>
  <c r="N46" i="108"/>
  <c r="J46" i="108"/>
  <c r="F46" i="108"/>
  <c r="R45" i="108"/>
  <c r="N45" i="108"/>
  <c r="J45" i="108"/>
  <c r="F45" i="108"/>
  <c r="P43" i="108"/>
  <c r="G45" i="108"/>
  <c r="L45" i="108"/>
  <c r="Q45" i="108"/>
  <c r="G46" i="108"/>
  <c r="L46" i="108"/>
  <c r="Q46" i="108"/>
  <c r="G47" i="108"/>
  <c r="L47" i="108"/>
  <c r="Q47" i="108"/>
  <c r="G48" i="108"/>
  <c r="L48" i="108"/>
  <c r="Q48" i="108"/>
  <c r="E52" i="108"/>
  <c r="J52" i="108"/>
  <c r="O52" i="108"/>
  <c r="E53" i="108"/>
  <c r="J53" i="108"/>
  <c r="O53" i="108"/>
  <c r="E54" i="108"/>
  <c r="J54" i="108"/>
  <c r="O54" i="108"/>
  <c r="E55" i="108"/>
  <c r="J55" i="108"/>
  <c r="U59" i="108"/>
  <c r="Z59" i="108"/>
  <c r="AE59" i="108"/>
  <c r="U60" i="108"/>
  <c r="Z60" i="108"/>
  <c r="AE60" i="108"/>
  <c r="U61" i="108"/>
  <c r="Z61" i="108"/>
  <c r="AE61" i="108"/>
  <c r="U62" i="108"/>
  <c r="Z62" i="108"/>
  <c r="Z66" i="108"/>
  <c r="AF66" i="108"/>
  <c r="V67" i="108"/>
  <c r="AB67" i="108"/>
  <c r="AJ67" i="108"/>
  <c r="Z68" i="108"/>
  <c r="AF68" i="108"/>
  <c r="V69" i="108"/>
  <c r="AB69" i="108"/>
  <c r="AJ76" i="108"/>
  <c r="AH76" i="108"/>
  <c r="AF76" i="108"/>
  <c r="AD76" i="108"/>
  <c r="AB76" i="108"/>
  <c r="Z76" i="108"/>
  <c r="X76" i="108"/>
  <c r="V76" i="108"/>
  <c r="AJ75" i="108"/>
  <c r="AH75" i="108"/>
  <c r="AF75" i="108"/>
  <c r="AD75" i="108"/>
  <c r="AB75" i="108"/>
  <c r="Z75" i="108"/>
  <c r="X75" i="108"/>
  <c r="V75" i="108"/>
  <c r="AJ74" i="108"/>
  <c r="AH74" i="108"/>
  <c r="AF74" i="108"/>
  <c r="AD74" i="108"/>
  <c r="AB74" i="108"/>
  <c r="Z74" i="108"/>
  <c r="X74" i="108"/>
  <c r="V74" i="108"/>
  <c r="AJ73" i="108"/>
  <c r="AH73" i="108"/>
  <c r="AF73" i="108"/>
  <c r="AD73" i="108"/>
  <c r="AB73" i="108"/>
  <c r="Z73" i="108"/>
  <c r="X73" i="108"/>
  <c r="V73" i="108"/>
  <c r="AH71" i="108"/>
  <c r="AI76" i="108"/>
  <c r="AA76" i="108"/>
  <c r="AI75" i="108"/>
  <c r="AA75" i="108"/>
  <c r="AI74" i="108"/>
  <c r="AA74" i="108"/>
  <c r="AI73" i="108"/>
  <c r="AA73" i="108"/>
  <c r="Y73" i="108"/>
  <c r="AE73" i="108"/>
  <c r="U74" i="108"/>
  <c r="Y75" i="108"/>
  <c r="AE75" i="108"/>
  <c r="U76" i="108"/>
  <c r="AI83" i="108"/>
  <c r="AG83" i="108"/>
  <c r="AE83" i="108"/>
  <c r="AC83" i="108"/>
  <c r="AA83" i="108"/>
  <c r="Y83" i="108"/>
  <c r="W83" i="108"/>
  <c r="U83" i="108"/>
  <c r="AI82" i="108"/>
  <c r="AG82" i="108"/>
  <c r="AE82" i="108"/>
  <c r="AC82" i="108"/>
  <c r="AA82" i="108"/>
  <c r="Y82" i="108"/>
  <c r="W82" i="108"/>
  <c r="U82" i="108"/>
  <c r="AI81" i="108"/>
  <c r="AG81" i="108"/>
  <c r="AE81" i="108"/>
  <c r="AC81" i="108"/>
  <c r="AA81" i="108"/>
  <c r="Y81" i="108"/>
  <c r="W81" i="108"/>
  <c r="U81" i="108"/>
  <c r="AI80" i="108"/>
  <c r="AG80" i="108"/>
  <c r="AE80" i="108"/>
  <c r="AC80" i="108"/>
  <c r="AA80" i="108"/>
  <c r="Y80" i="108"/>
  <c r="W80" i="108"/>
  <c r="U80" i="108"/>
  <c r="AH83" i="108"/>
  <c r="Z83" i="108"/>
  <c r="AH82" i="108"/>
  <c r="Z82" i="108"/>
  <c r="AH81" i="108"/>
  <c r="Z81" i="108"/>
  <c r="AH80" i="108"/>
  <c r="Z80" i="108"/>
  <c r="D80" i="108"/>
  <c r="J80" i="108"/>
  <c r="AF80" i="108"/>
  <c r="D81" i="108"/>
  <c r="J81" i="108"/>
  <c r="AF81" i="108"/>
  <c r="D82" i="108"/>
  <c r="J82" i="108"/>
  <c r="AF82" i="108"/>
  <c r="D83" i="108"/>
  <c r="AF83" i="108"/>
  <c r="Q104" i="108"/>
  <c r="O104" i="108"/>
  <c r="M104" i="108"/>
  <c r="K104" i="108"/>
  <c r="I104" i="108"/>
  <c r="G104" i="108"/>
  <c r="E104" i="108"/>
  <c r="C104" i="108"/>
  <c r="Q103" i="108"/>
  <c r="O103" i="108"/>
  <c r="M103" i="108"/>
  <c r="K103" i="108"/>
  <c r="I103" i="108"/>
  <c r="G103" i="108"/>
  <c r="E103" i="108"/>
  <c r="C103" i="108"/>
  <c r="Q102" i="108"/>
  <c r="O102" i="108"/>
  <c r="M102" i="108"/>
  <c r="K102" i="108"/>
  <c r="I102" i="108"/>
  <c r="G102" i="108"/>
  <c r="E102" i="108"/>
  <c r="C102" i="108"/>
  <c r="Q101" i="108"/>
  <c r="O101" i="108"/>
  <c r="M101" i="108"/>
  <c r="K101" i="108"/>
  <c r="I101" i="108"/>
  <c r="G101" i="108"/>
  <c r="E101" i="108"/>
  <c r="C101" i="108"/>
  <c r="R104" i="108"/>
  <c r="J104" i="108"/>
  <c r="R103" i="108"/>
  <c r="J103" i="108"/>
  <c r="R102" i="108"/>
  <c r="J102" i="108"/>
  <c r="R101" i="108"/>
  <c r="J101" i="108"/>
  <c r="P99" i="108"/>
  <c r="N104" i="108"/>
  <c r="H104" i="108"/>
  <c r="D103" i="108"/>
  <c r="N102" i="108"/>
  <c r="H102" i="108"/>
  <c r="D101" i="108"/>
  <c r="P104" i="108"/>
  <c r="L103" i="108"/>
  <c r="F103" i="108"/>
  <c r="P102" i="108"/>
  <c r="L101" i="108"/>
  <c r="F101" i="108"/>
  <c r="D104" i="108"/>
  <c r="N103" i="108"/>
  <c r="H103" i="108"/>
  <c r="D102" i="108"/>
  <c r="N101" i="108"/>
  <c r="H101" i="108"/>
  <c r="L104" i="108"/>
  <c r="P55" i="108"/>
  <c r="L55" i="108"/>
  <c r="H55" i="108"/>
  <c r="D55" i="108"/>
  <c r="P54" i="108"/>
  <c r="L54" i="108"/>
  <c r="H54" i="108"/>
  <c r="D54" i="108"/>
  <c r="P53" i="108"/>
  <c r="L53" i="108"/>
  <c r="H53" i="108"/>
  <c r="D53" i="108"/>
  <c r="P52" i="108"/>
  <c r="L52" i="108"/>
  <c r="H52" i="108"/>
  <c r="D52" i="108"/>
  <c r="F52" i="108"/>
  <c r="K52" i="108"/>
  <c r="Q52" i="108"/>
  <c r="F53" i="108"/>
  <c r="K53" i="108"/>
  <c r="Q53" i="108"/>
  <c r="F54" i="108"/>
  <c r="K54" i="108"/>
  <c r="Q54" i="108"/>
  <c r="F55" i="108"/>
  <c r="K55" i="108"/>
  <c r="Q55" i="108"/>
  <c r="AI62" i="108"/>
  <c r="AF62" i="108"/>
  <c r="AB62" i="108"/>
  <c r="X62" i="108"/>
  <c r="AJ61" i="108"/>
  <c r="AF61" i="108"/>
  <c r="AB61" i="108"/>
  <c r="X61" i="108"/>
  <c r="AJ60" i="108"/>
  <c r="AF60" i="108"/>
  <c r="AB60" i="108"/>
  <c r="X60" i="108"/>
  <c r="AJ59" i="108"/>
  <c r="AF59" i="108"/>
  <c r="AB59" i="108"/>
  <c r="X59" i="108"/>
  <c r="V59" i="108"/>
  <c r="AA59" i="108"/>
  <c r="AG59" i="108"/>
  <c r="V60" i="108"/>
  <c r="AA60" i="108"/>
  <c r="AG60" i="108"/>
  <c r="V61" i="108"/>
  <c r="AA61" i="108"/>
  <c r="AG61" i="108"/>
  <c r="V62" i="108"/>
  <c r="AA62" i="108"/>
  <c r="AG62" i="108"/>
  <c r="AJ97" i="108"/>
  <c r="AH97" i="108"/>
  <c r="AF97" i="108"/>
  <c r="AD97" i="108"/>
  <c r="AB97" i="108"/>
  <c r="Z97" i="108"/>
  <c r="X97" i="108"/>
  <c r="V97" i="108"/>
  <c r="AJ96" i="108"/>
  <c r="AH96" i="108"/>
  <c r="AF96" i="108"/>
  <c r="AD96" i="108"/>
  <c r="AB96" i="108"/>
  <c r="Z96" i="108"/>
  <c r="X96" i="108"/>
  <c r="V96" i="108"/>
  <c r="AJ95" i="108"/>
  <c r="AH95" i="108"/>
  <c r="AF95" i="108"/>
  <c r="AD95" i="108"/>
  <c r="AB95" i="108"/>
  <c r="Z95" i="108"/>
  <c r="X95" i="108"/>
  <c r="V95" i="108"/>
  <c r="AJ94" i="108"/>
  <c r="AH94" i="108"/>
  <c r="AF94" i="108"/>
  <c r="AD94" i="108"/>
  <c r="AB94" i="108"/>
  <c r="Z94" i="108"/>
  <c r="X94" i="108"/>
  <c r="V94" i="108"/>
  <c r="AH92" i="108"/>
  <c r="AE97" i="108"/>
  <c r="W97" i="108"/>
  <c r="AE96" i="108"/>
  <c r="W96" i="108"/>
  <c r="AE95" i="108"/>
  <c r="W95" i="108"/>
  <c r="AE94" i="108"/>
  <c r="W94" i="108"/>
  <c r="AI97" i="108"/>
  <c r="AC97" i="108"/>
  <c r="Y96" i="108"/>
  <c r="AI95" i="108"/>
  <c r="AC95" i="108"/>
  <c r="Y94" i="108"/>
  <c r="AG97" i="108"/>
  <c r="U96" i="108"/>
  <c r="AA95" i="108"/>
  <c r="U95" i="108"/>
  <c r="AG96" i="108"/>
  <c r="AA96" i="108"/>
  <c r="AG95" i="108"/>
  <c r="U94" i="108"/>
  <c r="Y97" i="108"/>
  <c r="AI96" i="108"/>
  <c r="AC96" i="108"/>
  <c r="AG94" i="108"/>
  <c r="AA94" i="108"/>
  <c r="Y95" i="108"/>
  <c r="AA97" i="108"/>
  <c r="L102" i="108"/>
  <c r="F104" i="108"/>
  <c r="G55" i="108"/>
  <c r="M55" i="108"/>
  <c r="R55" i="108"/>
  <c r="W60" i="108"/>
  <c r="AC60" i="108"/>
  <c r="AH60" i="108"/>
  <c r="W61" i="108"/>
  <c r="AC61" i="108"/>
  <c r="AH61" i="108"/>
  <c r="W62" i="108"/>
  <c r="AC62" i="108"/>
  <c r="AH62" i="108"/>
  <c r="Q83" i="108"/>
  <c r="O83" i="108"/>
  <c r="M83" i="108"/>
  <c r="K83" i="108"/>
  <c r="I83" i="108"/>
  <c r="G83" i="108"/>
  <c r="E83" i="108"/>
  <c r="C83" i="108"/>
  <c r="Q82" i="108"/>
  <c r="O82" i="108"/>
  <c r="M82" i="108"/>
  <c r="K82" i="108"/>
  <c r="I82" i="108"/>
  <c r="G82" i="108"/>
  <c r="E82" i="108"/>
  <c r="C82" i="108"/>
  <c r="Q81" i="108"/>
  <c r="O81" i="108"/>
  <c r="M81" i="108"/>
  <c r="K81" i="108"/>
  <c r="I81" i="108"/>
  <c r="G81" i="108"/>
  <c r="E81" i="108"/>
  <c r="C81" i="108"/>
  <c r="Q80" i="108"/>
  <c r="O80" i="108"/>
  <c r="M80" i="108"/>
  <c r="K80" i="108"/>
  <c r="I80" i="108"/>
  <c r="G80" i="108"/>
  <c r="E80" i="108"/>
  <c r="C80" i="108"/>
  <c r="P83" i="108"/>
  <c r="H83" i="108"/>
  <c r="P82" i="108"/>
  <c r="H82" i="108"/>
  <c r="P81" i="108"/>
  <c r="H81" i="108"/>
  <c r="P80" i="108"/>
  <c r="H80" i="108"/>
  <c r="P78" i="108"/>
  <c r="N80" i="108"/>
  <c r="N81" i="108"/>
  <c r="N82" i="108"/>
  <c r="N83" i="108"/>
  <c r="F68" i="81"/>
  <c r="H68" i="81" s="1"/>
  <c r="F70" i="81"/>
  <c r="H70" i="81" s="1"/>
  <c r="F72" i="81"/>
  <c r="H72" i="81" s="1"/>
  <c r="F74" i="81"/>
  <c r="H74" i="81" s="1"/>
  <c r="F76" i="81"/>
  <c r="H76" i="81" s="1"/>
  <c r="F78" i="81"/>
  <c r="H78" i="81" s="1"/>
  <c r="F80" i="81"/>
  <c r="H80" i="81" s="1"/>
  <c r="F82" i="81"/>
  <c r="H82" i="81" s="1"/>
  <c r="F84" i="81"/>
  <c r="H84" i="81" s="1"/>
  <c r="F86" i="81"/>
  <c r="H86" i="81" s="1"/>
  <c r="F88" i="81"/>
  <c r="H88" i="81" s="1"/>
  <c r="F90" i="81"/>
  <c r="H90" i="81" s="1"/>
  <c r="F92" i="81"/>
  <c r="H92" i="81" s="1"/>
  <c r="F94" i="81"/>
  <c r="H94" i="81" s="1"/>
  <c r="AH34" i="109"/>
  <c r="AD34" i="109"/>
  <c r="Z34" i="109"/>
  <c r="V34" i="109"/>
  <c r="AF33" i="109"/>
  <c r="AB33" i="109"/>
  <c r="X33" i="109"/>
  <c r="AH32" i="109"/>
  <c r="AD32" i="109"/>
  <c r="Z32" i="109"/>
  <c r="V32" i="109"/>
  <c r="AF31" i="109"/>
  <c r="AB31" i="109"/>
  <c r="X31" i="109"/>
  <c r="AF29" i="109"/>
  <c r="Y31" i="109"/>
  <c r="AD31" i="109"/>
  <c r="U32" i="109"/>
  <c r="AA32" i="109"/>
  <c r="AF32" i="109"/>
  <c r="W33" i="109"/>
  <c r="AC33" i="109"/>
  <c r="AH33" i="109"/>
  <c r="Y34" i="109"/>
  <c r="AE34" i="109"/>
  <c r="P48" i="109"/>
  <c r="L48" i="109"/>
  <c r="H48" i="109"/>
  <c r="D48" i="109"/>
  <c r="R47" i="109"/>
  <c r="N47" i="109"/>
  <c r="J47" i="109"/>
  <c r="F47" i="109"/>
  <c r="P46" i="109"/>
  <c r="L46" i="109"/>
  <c r="H46" i="109"/>
  <c r="D46" i="109"/>
  <c r="R45" i="109"/>
  <c r="N45" i="109"/>
  <c r="J45" i="109"/>
  <c r="F45" i="109"/>
  <c r="D45" i="109"/>
  <c r="I45" i="109"/>
  <c r="O45" i="109"/>
  <c r="F46" i="109"/>
  <c r="K46" i="109"/>
  <c r="Q46" i="109"/>
  <c r="C47" i="109"/>
  <c r="H47" i="109"/>
  <c r="M47" i="109"/>
  <c r="E48" i="109"/>
  <c r="J48" i="109"/>
  <c r="O48" i="109"/>
  <c r="AH62" i="109"/>
  <c r="AD62" i="109"/>
  <c r="Z62" i="109"/>
  <c r="V62" i="109"/>
  <c r="AF61" i="109"/>
  <c r="AB61" i="109"/>
  <c r="X61" i="109"/>
  <c r="AH60" i="109"/>
  <c r="AD60" i="109"/>
  <c r="Z60" i="109"/>
  <c r="V60" i="109"/>
  <c r="AF59" i="109"/>
  <c r="AB59" i="109"/>
  <c r="X59" i="109"/>
  <c r="AF57" i="109"/>
  <c r="Y59" i="109"/>
  <c r="AD59" i="109"/>
  <c r="U60" i="109"/>
  <c r="AA60" i="109"/>
  <c r="AF60" i="109"/>
  <c r="W61" i="109"/>
  <c r="AC61" i="109"/>
  <c r="AH61" i="109"/>
  <c r="Y62" i="109"/>
  <c r="AE62" i="109"/>
  <c r="P76" i="109"/>
  <c r="L76" i="109"/>
  <c r="H76" i="109"/>
  <c r="D76" i="109"/>
  <c r="R75" i="109"/>
  <c r="N75" i="109"/>
  <c r="J75" i="109"/>
  <c r="F75" i="109"/>
  <c r="P74" i="109"/>
  <c r="L74" i="109"/>
  <c r="H74" i="109"/>
  <c r="D74" i="109"/>
  <c r="R73" i="109"/>
  <c r="N73" i="109"/>
  <c r="J73" i="109"/>
  <c r="F73" i="109"/>
  <c r="D73" i="109"/>
  <c r="I73" i="109"/>
  <c r="O73" i="109"/>
  <c r="F74" i="109"/>
  <c r="K74" i="109"/>
  <c r="Q74" i="109"/>
  <c r="C75" i="109"/>
  <c r="H75" i="109"/>
  <c r="M75" i="109"/>
  <c r="E76" i="109"/>
  <c r="J76" i="109"/>
  <c r="O76" i="109"/>
  <c r="AH90" i="109"/>
  <c r="AD90" i="109"/>
  <c r="Z90" i="109"/>
  <c r="V90" i="109"/>
  <c r="AF89" i="109"/>
  <c r="AB89" i="109"/>
  <c r="X89" i="109"/>
  <c r="AH88" i="109"/>
  <c r="AD88" i="109"/>
  <c r="Z88" i="109"/>
  <c r="V88" i="109"/>
  <c r="AF87" i="109"/>
  <c r="AB87" i="109"/>
  <c r="X87" i="109"/>
  <c r="AF85" i="109"/>
  <c r="Y87" i="109"/>
  <c r="AD87" i="109"/>
  <c r="U88" i="109"/>
  <c r="AA88" i="109"/>
  <c r="AF88" i="109"/>
  <c r="W89" i="109"/>
  <c r="AC89" i="109"/>
  <c r="AH89" i="109"/>
  <c r="Y90" i="109"/>
  <c r="AE90" i="109"/>
  <c r="P104" i="109"/>
  <c r="L104" i="109"/>
  <c r="H104" i="109"/>
  <c r="D104" i="109"/>
  <c r="P103" i="109"/>
  <c r="L103" i="109"/>
  <c r="H103" i="109"/>
  <c r="D103" i="109"/>
  <c r="P102" i="109"/>
  <c r="L102" i="109"/>
  <c r="H102" i="109"/>
  <c r="D102" i="109"/>
  <c r="P101" i="109"/>
  <c r="L101" i="109"/>
  <c r="H101" i="109"/>
  <c r="D101" i="109"/>
  <c r="F101" i="109"/>
  <c r="K101" i="109"/>
  <c r="Q101" i="109"/>
  <c r="F102" i="109"/>
  <c r="K102" i="109"/>
  <c r="Q102" i="109"/>
  <c r="F103" i="109"/>
  <c r="K103" i="109"/>
  <c r="Q103" i="109"/>
  <c r="F104" i="109"/>
  <c r="K104" i="109"/>
  <c r="Q104" i="109"/>
  <c r="AJ20" i="108"/>
  <c r="AF20" i="108"/>
  <c r="AI19" i="108"/>
  <c r="AE19" i="108"/>
  <c r="AH18" i="108"/>
  <c r="U18" i="108"/>
  <c r="AG17" i="108"/>
  <c r="AE17" i="108"/>
  <c r="AJ17" i="108"/>
  <c r="AI18" i="108"/>
  <c r="AG19" i="108"/>
  <c r="AE20" i="108"/>
  <c r="P27" i="108"/>
  <c r="L27" i="108"/>
  <c r="H27" i="108"/>
  <c r="D27" i="108"/>
  <c r="P26" i="108"/>
  <c r="L26" i="108"/>
  <c r="H26" i="108"/>
  <c r="D26" i="108"/>
  <c r="P25" i="108"/>
  <c r="L25" i="108"/>
  <c r="H25" i="108"/>
  <c r="D25" i="108"/>
  <c r="P24" i="108"/>
  <c r="L24" i="108"/>
  <c r="H24" i="108"/>
  <c r="D24" i="108"/>
  <c r="F24" i="108"/>
  <c r="K24" i="108"/>
  <c r="Q24" i="108"/>
  <c r="F25" i="108"/>
  <c r="K25" i="108"/>
  <c r="Q25" i="108"/>
  <c r="F26" i="108"/>
  <c r="K26" i="108"/>
  <c r="Q26" i="108"/>
  <c r="F27" i="108"/>
  <c r="K27" i="108"/>
  <c r="Q27" i="108"/>
  <c r="AJ34" i="108"/>
  <c r="AF34" i="108"/>
  <c r="AB34" i="108"/>
  <c r="X34" i="108"/>
  <c r="AJ33" i="108"/>
  <c r="AF33" i="108"/>
  <c r="AB33" i="108"/>
  <c r="X33" i="108"/>
  <c r="AJ32" i="108"/>
  <c r="AF32" i="108"/>
  <c r="AB32" i="108"/>
  <c r="X32" i="108"/>
  <c r="AJ31" i="108"/>
  <c r="AF31" i="108"/>
  <c r="AB31" i="108"/>
  <c r="X31" i="108"/>
  <c r="V31" i="108"/>
  <c r="AA31" i="108"/>
  <c r="AG31" i="108"/>
  <c r="V32" i="108"/>
  <c r="AA32" i="108"/>
  <c r="AG32" i="108"/>
  <c r="V33" i="108"/>
  <c r="AA33" i="108"/>
  <c r="AG33" i="108"/>
  <c r="V34" i="108"/>
  <c r="AA34" i="108"/>
  <c r="AG34" i="108"/>
  <c r="E45" i="108"/>
  <c r="K45" i="108"/>
  <c r="P45" i="108"/>
  <c r="E46" i="108"/>
  <c r="K46" i="108"/>
  <c r="P46" i="108"/>
  <c r="E47" i="108"/>
  <c r="K47" i="108"/>
  <c r="P47" i="108"/>
  <c r="E48" i="108"/>
  <c r="K48" i="108"/>
  <c r="P48" i="108"/>
  <c r="C52" i="108"/>
  <c r="I52" i="108"/>
  <c r="N52" i="108"/>
  <c r="C53" i="108"/>
  <c r="I53" i="108"/>
  <c r="N53" i="108"/>
  <c r="C54" i="108"/>
  <c r="I54" i="108"/>
  <c r="N54" i="108"/>
  <c r="C55" i="108"/>
  <c r="I55" i="108"/>
  <c r="N55" i="108"/>
  <c r="R62" i="108"/>
  <c r="N62" i="108"/>
  <c r="J62" i="108"/>
  <c r="F62" i="108"/>
  <c r="R61" i="108"/>
  <c r="N61" i="108"/>
  <c r="J61" i="108"/>
  <c r="F61" i="108"/>
  <c r="R60" i="108"/>
  <c r="N60" i="108"/>
  <c r="J60" i="108"/>
  <c r="F60" i="108"/>
  <c r="R59" i="108"/>
  <c r="N59" i="108"/>
  <c r="J59" i="108"/>
  <c r="F59" i="108"/>
  <c r="P57" i="108"/>
  <c r="G59" i="108"/>
  <c r="L59" i="108"/>
  <c r="Q59" i="108"/>
  <c r="Y59" i="108"/>
  <c r="AD59" i="108"/>
  <c r="AI59" i="108"/>
  <c r="G60" i="108"/>
  <c r="L60" i="108"/>
  <c r="Q60" i="108"/>
  <c r="Y60" i="108"/>
  <c r="AD60" i="108"/>
  <c r="AI60" i="108"/>
  <c r="G61" i="108"/>
  <c r="L61" i="108"/>
  <c r="Q61" i="108"/>
  <c r="Y61" i="108"/>
  <c r="AD61" i="108"/>
  <c r="AI61" i="108"/>
  <c r="G62" i="108"/>
  <c r="L62" i="108"/>
  <c r="Q62" i="108"/>
  <c r="Y62" i="108"/>
  <c r="AD62" i="108"/>
  <c r="AJ62" i="108"/>
  <c r="AG69" i="108"/>
  <c r="AC69" i="108"/>
  <c r="Y69" i="108"/>
  <c r="U69" i="108"/>
  <c r="AG68" i="108"/>
  <c r="AC68" i="108"/>
  <c r="Y68" i="108"/>
  <c r="U68" i="108"/>
  <c r="AG67" i="108"/>
  <c r="AC67" i="108"/>
  <c r="Y67" i="108"/>
  <c r="U67" i="108"/>
  <c r="AG66" i="108"/>
  <c r="AC66" i="108"/>
  <c r="Y66" i="108"/>
  <c r="U66" i="108"/>
  <c r="AI69" i="108"/>
  <c r="AD69" i="108"/>
  <c r="X69" i="108"/>
  <c r="AI68" i="108"/>
  <c r="AD68" i="108"/>
  <c r="X68" i="108"/>
  <c r="AI67" i="108"/>
  <c r="AD67" i="108"/>
  <c r="X67" i="108"/>
  <c r="AI66" i="108"/>
  <c r="AD66" i="108"/>
  <c r="X66" i="108"/>
  <c r="AH64" i="108"/>
  <c r="W66" i="108"/>
  <c r="AE66" i="108"/>
  <c r="AA67" i="108"/>
  <c r="AH67" i="108"/>
  <c r="W68" i="108"/>
  <c r="AE68" i="108"/>
  <c r="AA69" i="108"/>
  <c r="AH69" i="108"/>
  <c r="AG73" i="108"/>
  <c r="W74" i="108"/>
  <c r="AC74" i="108"/>
  <c r="AG75" i="108"/>
  <c r="W76" i="108"/>
  <c r="AC76" i="108"/>
  <c r="F80" i="108"/>
  <c r="L80" i="108"/>
  <c r="R80" i="108"/>
  <c r="F81" i="108"/>
  <c r="L81" i="108"/>
  <c r="R81" i="108"/>
  <c r="F82" i="108"/>
  <c r="L82" i="108"/>
  <c r="R82" i="108"/>
  <c r="F83" i="108"/>
  <c r="L83" i="108"/>
  <c r="R83" i="108"/>
  <c r="AC94" i="108"/>
  <c r="P101" i="108"/>
  <c r="L25" i="110"/>
  <c r="O26" i="110"/>
  <c r="P34" i="110"/>
  <c r="L34" i="110"/>
  <c r="H34" i="110"/>
  <c r="D34" i="110"/>
  <c r="P33" i="110"/>
  <c r="L33" i="110"/>
  <c r="H33" i="110"/>
  <c r="D33" i="110"/>
  <c r="P32" i="110"/>
  <c r="L32" i="110"/>
  <c r="H32" i="110"/>
  <c r="D32" i="110"/>
  <c r="P31" i="110"/>
  <c r="L31" i="110"/>
  <c r="H31" i="110"/>
  <c r="D31" i="110"/>
  <c r="N34" i="110"/>
  <c r="I34" i="110"/>
  <c r="C34" i="110"/>
  <c r="N33" i="110"/>
  <c r="I33" i="110"/>
  <c r="C33" i="110"/>
  <c r="N32" i="110"/>
  <c r="I32" i="110"/>
  <c r="C32" i="110"/>
  <c r="N31" i="110"/>
  <c r="I31" i="110"/>
  <c r="C31" i="110"/>
  <c r="M34" i="110"/>
  <c r="F34" i="110"/>
  <c r="O33" i="110"/>
  <c r="G33" i="110"/>
  <c r="Q32" i="110"/>
  <c r="J32" i="110"/>
  <c r="R31" i="110"/>
  <c r="K31" i="110"/>
  <c r="E31" i="110"/>
  <c r="R34" i="110"/>
  <c r="K34" i="110"/>
  <c r="E34" i="110"/>
  <c r="M33" i="110"/>
  <c r="F33" i="110"/>
  <c r="O32" i="110"/>
  <c r="G32" i="110"/>
  <c r="Q31" i="110"/>
  <c r="J31" i="110"/>
  <c r="P29" i="110"/>
  <c r="O31" i="110"/>
  <c r="M32" i="110"/>
  <c r="K33" i="110"/>
  <c r="J34" i="110"/>
  <c r="U38" i="110"/>
  <c r="W39" i="110"/>
  <c r="AA40" i="110"/>
  <c r="AJ41" i="110"/>
  <c r="AF41" i="110"/>
  <c r="AB41" i="110"/>
  <c r="X41" i="110"/>
  <c r="AJ40" i="110"/>
  <c r="AF40" i="110"/>
  <c r="AB40" i="110"/>
  <c r="X40" i="110"/>
  <c r="AJ39" i="110"/>
  <c r="AF39" i="110"/>
  <c r="AB39" i="110"/>
  <c r="X39" i="110"/>
  <c r="AJ38" i="110"/>
  <c r="AF38" i="110"/>
  <c r="AB38" i="110"/>
  <c r="X38" i="110"/>
  <c r="AI41" i="110"/>
  <c r="AD41" i="110"/>
  <c r="Y41" i="110"/>
  <c r="AI40" i="110"/>
  <c r="AD40" i="110"/>
  <c r="Y40" i="110"/>
  <c r="AI39" i="110"/>
  <c r="AD39" i="110"/>
  <c r="Y39" i="110"/>
  <c r="AI38" i="110"/>
  <c r="AD38" i="110"/>
  <c r="Y38" i="110"/>
  <c r="AC41" i="110"/>
  <c r="V41" i="110"/>
  <c r="AG40" i="110"/>
  <c r="Z40" i="110"/>
  <c r="AC39" i="110"/>
  <c r="V39" i="110"/>
  <c r="AG38" i="110"/>
  <c r="Z38" i="110"/>
  <c r="AH41" i="110"/>
  <c r="AA41" i="110"/>
  <c r="U41" i="110"/>
  <c r="AE40" i="110"/>
  <c r="W40" i="110"/>
  <c r="AH39" i="110"/>
  <c r="AA39" i="110"/>
  <c r="U39" i="110"/>
  <c r="AE38" i="110"/>
  <c r="W38" i="110"/>
  <c r="AG41" i="110"/>
  <c r="Z41" i="110"/>
  <c r="AC40" i="110"/>
  <c r="V40" i="110"/>
  <c r="AG39" i="110"/>
  <c r="Z39" i="110"/>
  <c r="AC38" i="110"/>
  <c r="V38" i="110"/>
  <c r="AH36" i="110"/>
  <c r="AA38" i="110"/>
  <c r="AE39" i="110"/>
  <c r="AH40" i="110"/>
  <c r="V24" i="108"/>
  <c r="Z24" i="108"/>
  <c r="AD24" i="108"/>
  <c r="AH24" i="108"/>
  <c r="V25" i="108"/>
  <c r="Z25" i="108"/>
  <c r="AD25" i="108"/>
  <c r="AH25" i="108"/>
  <c r="V26" i="108"/>
  <c r="Z26" i="108"/>
  <c r="AD26" i="108"/>
  <c r="AH26" i="108"/>
  <c r="V27" i="108"/>
  <c r="Z27" i="108"/>
  <c r="AD27" i="108"/>
  <c r="V38" i="108"/>
  <c r="Z38" i="108"/>
  <c r="AD38" i="108"/>
  <c r="AH38" i="108"/>
  <c r="V39" i="108"/>
  <c r="Z39" i="108"/>
  <c r="AD39" i="108"/>
  <c r="AH39" i="108"/>
  <c r="V40" i="108"/>
  <c r="Z40" i="108"/>
  <c r="AD40" i="108"/>
  <c r="AH40" i="108"/>
  <c r="V41" i="108"/>
  <c r="Z41" i="108"/>
  <c r="AD41" i="108"/>
  <c r="V52" i="108"/>
  <c r="Z52" i="108"/>
  <c r="AD52" i="108"/>
  <c r="AH52" i="108"/>
  <c r="V53" i="108"/>
  <c r="Z53" i="108"/>
  <c r="AD53" i="108"/>
  <c r="AH53" i="108"/>
  <c r="V54" i="108"/>
  <c r="Z54" i="108"/>
  <c r="AD54" i="108"/>
  <c r="AH54" i="108"/>
  <c r="V55" i="108"/>
  <c r="Z55" i="108"/>
  <c r="AD55" i="108"/>
  <c r="O69" i="108"/>
  <c r="K69" i="108"/>
  <c r="G69" i="108"/>
  <c r="C69" i="108"/>
  <c r="O68" i="108"/>
  <c r="K68" i="108"/>
  <c r="G68" i="108"/>
  <c r="C68" i="108"/>
  <c r="O67" i="108"/>
  <c r="K67" i="108"/>
  <c r="G67" i="108"/>
  <c r="C67" i="108"/>
  <c r="O66" i="108"/>
  <c r="K66" i="108"/>
  <c r="G66" i="108"/>
  <c r="C66" i="108"/>
  <c r="F66" i="108"/>
  <c r="L66" i="108"/>
  <c r="Q66" i="108"/>
  <c r="F67" i="108"/>
  <c r="L67" i="108"/>
  <c r="Q67" i="108"/>
  <c r="F68" i="108"/>
  <c r="L68" i="108"/>
  <c r="Q68" i="108"/>
  <c r="F69" i="108"/>
  <c r="L69" i="108"/>
  <c r="Q69" i="108"/>
  <c r="AI90" i="108"/>
  <c r="AG90" i="108"/>
  <c r="AE90" i="108"/>
  <c r="AC90" i="108"/>
  <c r="AA90" i="108"/>
  <c r="Y90" i="108"/>
  <c r="W90" i="108"/>
  <c r="U90" i="108"/>
  <c r="AI89" i="108"/>
  <c r="AG89" i="108"/>
  <c r="AE89" i="108"/>
  <c r="AC89" i="108"/>
  <c r="AA89" i="108"/>
  <c r="Y89" i="108"/>
  <c r="W89" i="108"/>
  <c r="U89" i="108"/>
  <c r="AI88" i="108"/>
  <c r="AG88" i="108"/>
  <c r="AF90" i="108"/>
  <c r="X90" i="108"/>
  <c r="AF89" i="108"/>
  <c r="X89" i="108"/>
  <c r="AF88" i="108"/>
  <c r="AD88" i="108"/>
  <c r="AB88" i="108"/>
  <c r="Z88" i="108"/>
  <c r="X88" i="108"/>
  <c r="V88" i="108"/>
  <c r="AJ87" i="108"/>
  <c r="AH87" i="108"/>
  <c r="AF87" i="108"/>
  <c r="AD87" i="108"/>
  <c r="AB87" i="108"/>
  <c r="Z87" i="108"/>
  <c r="X87" i="108"/>
  <c r="V87" i="108"/>
  <c r="AH85" i="108"/>
  <c r="AJ90" i="108"/>
  <c r="AD90" i="108"/>
  <c r="AJ89" i="108"/>
  <c r="AD89" i="108"/>
  <c r="Y87" i="108"/>
  <c r="AG87" i="108"/>
  <c r="Y88" i="108"/>
  <c r="AJ88" i="108"/>
  <c r="AH89" i="108"/>
  <c r="Z90" i="108"/>
  <c r="P20" i="110"/>
  <c r="L20" i="110"/>
  <c r="H20" i="110"/>
  <c r="D20" i="110"/>
  <c r="P19" i="110"/>
  <c r="L19" i="110"/>
  <c r="H19" i="110"/>
  <c r="D19" i="110"/>
  <c r="P18" i="110"/>
  <c r="L18" i="110"/>
  <c r="H18" i="110"/>
  <c r="D18" i="110"/>
  <c r="P17" i="110"/>
  <c r="L17" i="110"/>
  <c r="H17" i="110"/>
  <c r="D17" i="110"/>
  <c r="R20" i="110"/>
  <c r="M20" i="110"/>
  <c r="G20" i="110"/>
  <c r="R19" i="110"/>
  <c r="M19" i="110"/>
  <c r="G19" i="110"/>
  <c r="R18" i="110"/>
  <c r="M18" i="110"/>
  <c r="G18" i="110"/>
  <c r="R17" i="110"/>
  <c r="M17" i="110"/>
  <c r="G17" i="110"/>
  <c r="P15" i="110"/>
  <c r="O20" i="110"/>
  <c r="I20" i="110"/>
  <c r="Q19" i="110"/>
  <c r="J19" i="110"/>
  <c r="C19" i="110"/>
  <c r="K18" i="110"/>
  <c r="E18" i="110"/>
  <c r="N17" i="110"/>
  <c r="F17" i="110"/>
  <c r="J17" i="110"/>
  <c r="C18" i="110"/>
  <c r="N18" i="110"/>
  <c r="F19" i="110"/>
  <c r="O19" i="110"/>
  <c r="J20" i="110"/>
  <c r="R27" i="110"/>
  <c r="N27" i="110"/>
  <c r="J27" i="110"/>
  <c r="F27" i="110"/>
  <c r="R26" i="110"/>
  <c r="N26" i="110"/>
  <c r="J26" i="110"/>
  <c r="F26" i="110"/>
  <c r="R25" i="110"/>
  <c r="N25" i="110"/>
  <c r="J25" i="110"/>
  <c r="F25" i="110"/>
  <c r="R24" i="110"/>
  <c r="N24" i="110"/>
  <c r="J24" i="110"/>
  <c r="F24" i="110"/>
  <c r="P22" i="110"/>
  <c r="P27" i="110"/>
  <c r="K27" i="110"/>
  <c r="E27" i="110"/>
  <c r="P26" i="110"/>
  <c r="K26" i="110"/>
  <c r="E26" i="110"/>
  <c r="P25" i="110"/>
  <c r="K25" i="110"/>
  <c r="E25" i="110"/>
  <c r="P24" i="110"/>
  <c r="K24" i="110"/>
  <c r="E24" i="110"/>
  <c r="Q27" i="110"/>
  <c r="I27" i="110"/>
  <c r="C27" i="110"/>
  <c r="M26" i="110"/>
  <c r="G26" i="110"/>
  <c r="Q25" i="110"/>
  <c r="I25" i="110"/>
  <c r="C25" i="110"/>
  <c r="M24" i="110"/>
  <c r="G24" i="110"/>
  <c r="O27" i="110"/>
  <c r="H27" i="110"/>
  <c r="L26" i="110"/>
  <c r="D26" i="110"/>
  <c r="O25" i="110"/>
  <c r="H25" i="110"/>
  <c r="L24" i="110"/>
  <c r="D24" i="110"/>
  <c r="C24" i="110"/>
  <c r="Q24" i="110"/>
  <c r="D25" i="110"/>
  <c r="H26" i="110"/>
  <c r="G27" i="110"/>
  <c r="F32" i="110"/>
  <c r="E33" i="110"/>
  <c r="R33" i="110"/>
  <c r="Q34" i="110"/>
  <c r="AH38" i="110"/>
  <c r="C45" i="110"/>
  <c r="K45" i="110"/>
  <c r="R45" i="110"/>
  <c r="I46" i="110"/>
  <c r="Q46" i="110"/>
  <c r="G47" i="110"/>
  <c r="N47" i="110"/>
  <c r="F48" i="110"/>
  <c r="M48" i="110"/>
  <c r="AJ13" i="110"/>
  <c r="AF13" i="110"/>
  <c r="AB13" i="110"/>
  <c r="X13" i="110"/>
  <c r="AJ12" i="110"/>
  <c r="AF12" i="110"/>
  <c r="AB12" i="110"/>
  <c r="X12" i="110"/>
  <c r="AJ11" i="110"/>
  <c r="AF11" i="110"/>
  <c r="AB11" i="110"/>
  <c r="X11" i="110"/>
  <c r="AJ10" i="110"/>
  <c r="AF10" i="110"/>
  <c r="AB10" i="110"/>
  <c r="X10" i="110"/>
  <c r="AH8" i="110"/>
  <c r="AG13" i="110"/>
  <c r="AA13" i="110"/>
  <c r="V13" i="110"/>
  <c r="AG12" i="110"/>
  <c r="AA12" i="110"/>
  <c r="V12" i="110"/>
  <c r="AG11" i="110"/>
  <c r="AA11" i="110"/>
  <c r="V11" i="110"/>
  <c r="AG10" i="110"/>
  <c r="AA10" i="110"/>
  <c r="V10" i="110"/>
  <c r="Y10" i="110"/>
  <c r="AE10" i="110"/>
  <c r="U11" i="110"/>
  <c r="AC11" i="110"/>
  <c r="AI11" i="110"/>
  <c r="Y12" i="110"/>
  <c r="AE12" i="110"/>
  <c r="U13" i="110"/>
  <c r="AC13" i="110"/>
  <c r="AI13" i="110"/>
  <c r="AJ27" i="110"/>
  <c r="AF27" i="110"/>
  <c r="AB27" i="110"/>
  <c r="X27" i="110"/>
  <c r="AJ26" i="110"/>
  <c r="AF26" i="110"/>
  <c r="AB26" i="110"/>
  <c r="X26" i="110"/>
  <c r="AJ25" i="110"/>
  <c r="AF25" i="110"/>
  <c r="AB25" i="110"/>
  <c r="X25" i="110"/>
  <c r="AJ24" i="110"/>
  <c r="AF24" i="110"/>
  <c r="AB24" i="110"/>
  <c r="X24" i="110"/>
  <c r="AH27" i="110"/>
  <c r="AC27" i="110"/>
  <c r="W27" i="110"/>
  <c r="AH26" i="110"/>
  <c r="AC26" i="110"/>
  <c r="W26" i="110"/>
  <c r="AH25" i="110"/>
  <c r="AC25" i="110"/>
  <c r="W25" i="110"/>
  <c r="AH24" i="110"/>
  <c r="AC24" i="110"/>
  <c r="W24" i="110"/>
  <c r="AH22" i="110"/>
  <c r="V24" i="110"/>
  <c r="AD24" i="110"/>
  <c r="Z25" i="110"/>
  <c r="AG25" i="110"/>
  <c r="V26" i="110"/>
  <c r="AD26" i="110"/>
  <c r="Z27" i="110"/>
  <c r="AG27" i="110"/>
  <c r="F45" i="110"/>
  <c r="M45" i="110"/>
  <c r="C46" i="110"/>
  <c r="K46" i="110"/>
  <c r="R46" i="110"/>
  <c r="I47" i="110"/>
  <c r="Q47" i="110"/>
  <c r="G48" i="110"/>
  <c r="P48" i="110"/>
  <c r="L48" i="110"/>
  <c r="H48" i="110"/>
  <c r="D48" i="110"/>
  <c r="P47" i="110"/>
  <c r="L47" i="110"/>
  <c r="H47" i="110"/>
  <c r="D47" i="110"/>
  <c r="P46" i="110"/>
  <c r="L46" i="110"/>
  <c r="H46" i="110"/>
  <c r="D46" i="110"/>
  <c r="P45" i="110"/>
  <c r="L45" i="110"/>
  <c r="H45" i="110"/>
  <c r="D45" i="110"/>
  <c r="O48" i="110"/>
  <c r="J48" i="110"/>
  <c r="E48" i="110"/>
  <c r="O47" i="110"/>
  <c r="J47" i="110"/>
  <c r="E47" i="110"/>
  <c r="O46" i="110"/>
  <c r="J46" i="110"/>
  <c r="E46" i="110"/>
  <c r="O45" i="110"/>
  <c r="J45" i="110"/>
  <c r="E45" i="110"/>
  <c r="G45" i="110"/>
  <c r="N45" i="110"/>
  <c r="F46" i="110"/>
  <c r="M46" i="110"/>
  <c r="C47" i="110"/>
  <c r="K47" i="110"/>
  <c r="R47" i="110"/>
  <c r="I48" i="110"/>
  <c r="Q48" i="110"/>
  <c r="E73" i="108"/>
  <c r="I73" i="108"/>
  <c r="M73" i="108"/>
  <c r="Q73" i="108"/>
  <c r="E74" i="108"/>
  <c r="I74" i="108"/>
  <c r="M74" i="108"/>
  <c r="Q74" i="108"/>
  <c r="E75" i="108"/>
  <c r="I75" i="108"/>
  <c r="M75" i="108"/>
  <c r="Q75" i="108"/>
  <c r="E76" i="108"/>
  <c r="I76" i="108"/>
  <c r="M76" i="108"/>
  <c r="Q90" i="108"/>
  <c r="O90" i="108"/>
  <c r="M90" i="108"/>
  <c r="K90" i="108"/>
  <c r="I90" i="108"/>
  <c r="G90" i="108"/>
  <c r="E90" i="108"/>
  <c r="C90" i="108"/>
  <c r="Q89" i="108"/>
  <c r="O89" i="108"/>
  <c r="M89" i="108"/>
  <c r="K89" i="108"/>
  <c r="I89" i="108"/>
  <c r="G89" i="108"/>
  <c r="E89" i="108"/>
  <c r="C89" i="108"/>
  <c r="D87" i="108"/>
  <c r="F87" i="108"/>
  <c r="H87" i="108"/>
  <c r="J87" i="108"/>
  <c r="L87" i="108"/>
  <c r="N87" i="108"/>
  <c r="P87" i="108"/>
  <c r="R87" i="108"/>
  <c r="D88" i="108"/>
  <c r="F88" i="108"/>
  <c r="H88" i="108"/>
  <c r="J88" i="108"/>
  <c r="L88" i="108"/>
  <c r="N88" i="108"/>
  <c r="P88" i="108"/>
  <c r="R88" i="108"/>
  <c r="F89" i="108"/>
  <c r="N89" i="108"/>
  <c r="F90" i="108"/>
  <c r="N90" i="108"/>
  <c r="R13" i="110"/>
  <c r="N13" i="110"/>
  <c r="J13" i="110"/>
  <c r="F13" i="110"/>
  <c r="R12" i="110"/>
  <c r="N12" i="110"/>
  <c r="J12" i="110"/>
  <c r="F12" i="110"/>
  <c r="R11" i="110"/>
  <c r="N11" i="110"/>
  <c r="J11" i="110"/>
  <c r="F11" i="110"/>
  <c r="R10" i="110"/>
  <c r="N10" i="110"/>
  <c r="J10" i="110"/>
  <c r="F10" i="110"/>
  <c r="D10" i="110"/>
  <c r="I10" i="110"/>
  <c r="O10" i="110"/>
  <c r="D11" i="110"/>
  <c r="I11" i="110"/>
  <c r="O11" i="110"/>
  <c r="D12" i="110"/>
  <c r="I12" i="110"/>
  <c r="O12" i="110"/>
  <c r="D13" i="110"/>
  <c r="I13" i="110"/>
  <c r="O13" i="110"/>
  <c r="R41" i="110"/>
  <c r="N41" i="110"/>
  <c r="J41" i="110"/>
  <c r="F41" i="110"/>
  <c r="R40" i="110"/>
  <c r="N40" i="110"/>
  <c r="J40" i="110"/>
  <c r="F40" i="110"/>
  <c r="R39" i="110"/>
  <c r="N39" i="110"/>
  <c r="J39" i="110"/>
  <c r="F39" i="110"/>
  <c r="R38" i="110"/>
  <c r="N38" i="110"/>
  <c r="J38" i="110"/>
  <c r="F38" i="110"/>
  <c r="P36" i="110"/>
  <c r="G38" i="110"/>
  <c r="L38" i="110"/>
  <c r="Q38" i="110"/>
  <c r="G39" i="110"/>
  <c r="L39" i="110"/>
  <c r="Q39" i="110"/>
  <c r="G40" i="110"/>
  <c r="L40" i="110"/>
  <c r="Q40" i="110"/>
  <c r="G41" i="110"/>
  <c r="L41" i="110"/>
  <c r="Q41" i="110"/>
  <c r="AJ62" i="110"/>
  <c r="AF62" i="110"/>
  <c r="AB62" i="110"/>
  <c r="X62" i="110"/>
  <c r="AJ61" i="110"/>
  <c r="AF61" i="110"/>
  <c r="AB61" i="110"/>
  <c r="X61" i="110"/>
  <c r="AJ60" i="110"/>
  <c r="AF60" i="110"/>
  <c r="AB60" i="110"/>
  <c r="X60" i="110"/>
  <c r="AJ59" i="110"/>
  <c r="AF59" i="110"/>
  <c r="AB59" i="110"/>
  <c r="X59" i="110"/>
  <c r="AH62" i="110"/>
  <c r="AC62" i="110"/>
  <c r="W62" i="110"/>
  <c r="AH61" i="110"/>
  <c r="AC61" i="110"/>
  <c r="W61" i="110"/>
  <c r="AH60" i="110"/>
  <c r="AC60" i="110"/>
  <c r="W60" i="110"/>
  <c r="AH59" i="110"/>
  <c r="AC59" i="110"/>
  <c r="W59" i="110"/>
  <c r="AH57" i="110"/>
  <c r="AD62" i="110"/>
  <c r="V62" i="110"/>
  <c r="AG61" i="110"/>
  <c r="Z61" i="110"/>
  <c r="AD60" i="110"/>
  <c r="V60" i="110"/>
  <c r="AG59" i="110"/>
  <c r="Z59" i="110"/>
  <c r="AG62" i="110"/>
  <c r="Z62" i="110"/>
  <c r="AD61" i="110"/>
  <c r="V61" i="110"/>
  <c r="AG60" i="110"/>
  <c r="Z60" i="110"/>
  <c r="U59" i="110"/>
  <c r="AD59" i="110"/>
  <c r="AA60" i="110"/>
  <c r="AE61" i="110"/>
  <c r="AE62" i="110"/>
  <c r="AA62" i="110"/>
  <c r="J67" i="110"/>
  <c r="Q67" i="110"/>
  <c r="G68" i="110"/>
  <c r="O68" i="110"/>
  <c r="C69" i="110"/>
  <c r="AI76" i="110"/>
  <c r="AG76" i="110"/>
  <c r="AE76" i="110"/>
  <c r="AC76" i="110"/>
  <c r="AA76" i="110"/>
  <c r="Y76" i="110"/>
  <c r="W76" i="110"/>
  <c r="U76" i="110"/>
  <c r="AI75" i="110"/>
  <c r="AG75" i="110"/>
  <c r="AE75" i="110"/>
  <c r="AC75" i="110"/>
  <c r="AA75" i="110"/>
  <c r="Y75" i="110"/>
  <c r="W75" i="110"/>
  <c r="U75" i="110"/>
  <c r="AI74" i="110"/>
  <c r="AG74" i="110"/>
  <c r="AE74" i="110"/>
  <c r="AC74" i="110"/>
  <c r="AA74" i="110"/>
  <c r="Y74" i="110"/>
  <c r="W74" i="110"/>
  <c r="U74" i="110"/>
  <c r="AI73" i="110"/>
  <c r="AG73" i="110"/>
  <c r="AE73" i="110"/>
  <c r="AC73" i="110"/>
  <c r="AA73" i="110"/>
  <c r="Y73" i="110"/>
  <c r="W73" i="110"/>
  <c r="U73" i="110"/>
  <c r="AJ76" i="110"/>
  <c r="AB76" i="110"/>
  <c r="AH75" i="110"/>
  <c r="Z75" i="110"/>
  <c r="AF74" i="110"/>
  <c r="X74" i="110"/>
  <c r="AD73" i="110"/>
  <c r="V73" i="110"/>
  <c r="AH71" i="110"/>
  <c r="AF76" i="110"/>
  <c r="X76" i="110"/>
  <c r="AD75" i="110"/>
  <c r="V75" i="110"/>
  <c r="AJ74" i="110"/>
  <c r="AB74" i="110"/>
  <c r="AH73" i="110"/>
  <c r="Z73" i="110"/>
  <c r="L73" i="110"/>
  <c r="AJ73" i="110"/>
  <c r="K74" i="110"/>
  <c r="V74" i="110"/>
  <c r="I75" i="110"/>
  <c r="AF75" i="110"/>
  <c r="AH76" i="110"/>
  <c r="D94" i="108"/>
  <c r="F94" i="108"/>
  <c r="H94" i="108"/>
  <c r="J94" i="108"/>
  <c r="L94" i="108"/>
  <c r="N94" i="108"/>
  <c r="P94" i="108"/>
  <c r="R94" i="108"/>
  <c r="D95" i="108"/>
  <c r="F95" i="108"/>
  <c r="H95" i="108"/>
  <c r="J95" i="108"/>
  <c r="L95" i="108"/>
  <c r="N95" i="108"/>
  <c r="P95" i="108"/>
  <c r="R95" i="108"/>
  <c r="D96" i="108"/>
  <c r="F96" i="108"/>
  <c r="H96" i="108"/>
  <c r="J96" i="108"/>
  <c r="L96" i="108"/>
  <c r="N96" i="108"/>
  <c r="P96" i="108"/>
  <c r="R96" i="108"/>
  <c r="D97" i="108"/>
  <c r="F97" i="108"/>
  <c r="H97" i="108"/>
  <c r="J97" i="108"/>
  <c r="L97" i="108"/>
  <c r="N97" i="108"/>
  <c r="P97" i="108"/>
  <c r="V17" i="110"/>
  <c r="Z17" i="110"/>
  <c r="AD17" i="110"/>
  <c r="AH17" i="110"/>
  <c r="V18" i="110"/>
  <c r="Z18" i="110"/>
  <c r="AD18" i="110"/>
  <c r="AH18" i="110"/>
  <c r="V19" i="110"/>
  <c r="Z19" i="110"/>
  <c r="AD19" i="110"/>
  <c r="AH19" i="110"/>
  <c r="V20" i="110"/>
  <c r="Z20" i="110"/>
  <c r="AD20" i="110"/>
  <c r="V31" i="110"/>
  <c r="Z31" i="110"/>
  <c r="AD31" i="110"/>
  <c r="AH31" i="110"/>
  <c r="V32" i="110"/>
  <c r="Z32" i="110"/>
  <c r="AD32" i="110"/>
  <c r="AH32" i="110"/>
  <c r="V33" i="110"/>
  <c r="Z33" i="110"/>
  <c r="AD33" i="110"/>
  <c r="AH33" i="110"/>
  <c r="V34" i="110"/>
  <c r="Z34" i="110"/>
  <c r="AD34" i="110"/>
  <c r="AG48" i="110"/>
  <c r="AC48" i="110"/>
  <c r="V45" i="110"/>
  <c r="Z45" i="110"/>
  <c r="AD45" i="110"/>
  <c r="AH45" i="110"/>
  <c r="V46" i="110"/>
  <c r="Z46" i="110"/>
  <c r="AD46" i="110"/>
  <c r="AH46" i="110"/>
  <c r="V47" i="110"/>
  <c r="Z47" i="110"/>
  <c r="AD47" i="110"/>
  <c r="AH47" i="110"/>
  <c r="V48" i="110"/>
  <c r="Z48" i="110"/>
  <c r="AE48" i="110"/>
  <c r="AJ48" i="110"/>
  <c r="AH55" i="110"/>
  <c r="AD55" i="110"/>
  <c r="Z55" i="110"/>
  <c r="V55" i="110"/>
  <c r="AH54" i="110"/>
  <c r="AD54" i="110"/>
  <c r="Z54" i="110"/>
  <c r="V54" i="110"/>
  <c r="AJ55" i="110"/>
  <c r="AE55" i="110"/>
  <c r="Y55" i="110"/>
  <c r="AJ54" i="110"/>
  <c r="AE54" i="110"/>
  <c r="Y54" i="110"/>
  <c r="AI53" i="110"/>
  <c r="AE53" i="110"/>
  <c r="AA53" i="110"/>
  <c r="W53" i="110"/>
  <c r="AI52" i="110"/>
  <c r="AE52" i="110"/>
  <c r="AA52" i="110"/>
  <c r="W52" i="110"/>
  <c r="AH50" i="110"/>
  <c r="X52" i="110"/>
  <c r="AC52" i="110"/>
  <c r="AH52" i="110"/>
  <c r="X53" i="110"/>
  <c r="AC53" i="110"/>
  <c r="AH53" i="110"/>
  <c r="AA54" i="110"/>
  <c r="AG54" i="110"/>
  <c r="W55" i="110"/>
  <c r="AC55" i="110"/>
  <c r="R62" i="110"/>
  <c r="N62" i="110"/>
  <c r="J62" i="110"/>
  <c r="F62" i="110"/>
  <c r="R61" i="110"/>
  <c r="N61" i="110"/>
  <c r="J61" i="110"/>
  <c r="F61" i="110"/>
  <c r="R60" i="110"/>
  <c r="N60" i="110"/>
  <c r="J60" i="110"/>
  <c r="F60" i="110"/>
  <c r="R59" i="110"/>
  <c r="N59" i="110"/>
  <c r="J59" i="110"/>
  <c r="F59" i="110"/>
  <c r="P57" i="110"/>
  <c r="P62" i="110"/>
  <c r="K62" i="110"/>
  <c r="E62" i="110"/>
  <c r="P61" i="110"/>
  <c r="K61" i="110"/>
  <c r="E61" i="110"/>
  <c r="P60" i="110"/>
  <c r="K60" i="110"/>
  <c r="E60" i="110"/>
  <c r="P59" i="110"/>
  <c r="K59" i="110"/>
  <c r="E59" i="110"/>
  <c r="C59" i="110"/>
  <c r="I59" i="110"/>
  <c r="Q59" i="110"/>
  <c r="G60" i="110"/>
  <c r="M60" i="110"/>
  <c r="C61" i="110"/>
  <c r="I61" i="110"/>
  <c r="Q61" i="110"/>
  <c r="G62" i="110"/>
  <c r="M62" i="110"/>
  <c r="P69" i="110"/>
  <c r="L69" i="110"/>
  <c r="H69" i="110"/>
  <c r="D69" i="110"/>
  <c r="O69" i="110"/>
  <c r="J69" i="110"/>
  <c r="E69" i="110"/>
  <c r="P68" i="110"/>
  <c r="L68" i="110"/>
  <c r="H68" i="110"/>
  <c r="D68" i="110"/>
  <c r="P67" i="110"/>
  <c r="L67" i="110"/>
  <c r="H67" i="110"/>
  <c r="D67" i="110"/>
  <c r="P66" i="110"/>
  <c r="L66" i="110"/>
  <c r="H66" i="110"/>
  <c r="D66" i="110"/>
  <c r="M69" i="110"/>
  <c r="F69" i="110"/>
  <c r="Q69" i="110"/>
  <c r="I69" i="110"/>
  <c r="N68" i="110"/>
  <c r="I68" i="110"/>
  <c r="C68" i="110"/>
  <c r="N67" i="110"/>
  <c r="I67" i="110"/>
  <c r="C67" i="110"/>
  <c r="N66" i="110"/>
  <c r="I66" i="110"/>
  <c r="C66" i="110"/>
  <c r="G66" i="110"/>
  <c r="O66" i="110"/>
  <c r="F67" i="110"/>
  <c r="M67" i="110"/>
  <c r="E68" i="110"/>
  <c r="K68" i="110"/>
  <c r="R68" i="110"/>
  <c r="K69" i="110"/>
  <c r="R76" i="110"/>
  <c r="N76" i="110"/>
  <c r="J76" i="110"/>
  <c r="F76" i="110"/>
  <c r="R75" i="110"/>
  <c r="N75" i="110"/>
  <c r="J75" i="110"/>
  <c r="F75" i="110"/>
  <c r="R74" i="110"/>
  <c r="N74" i="110"/>
  <c r="J74" i="110"/>
  <c r="F74" i="110"/>
  <c r="R73" i="110"/>
  <c r="N73" i="110"/>
  <c r="J73" i="110"/>
  <c r="F73" i="110"/>
  <c r="P71" i="110"/>
  <c r="M76" i="110"/>
  <c r="H76" i="110"/>
  <c r="C76" i="110"/>
  <c r="M75" i="110"/>
  <c r="H75" i="110"/>
  <c r="C75" i="110"/>
  <c r="M74" i="110"/>
  <c r="H74" i="110"/>
  <c r="C74" i="110"/>
  <c r="M73" i="110"/>
  <c r="H73" i="110"/>
  <c r="C73" i="110"/>
  <c r="P76" i="110"/>
  <c r="I76" i="110"/>
  <c r="Q75" i="110"/>
  <c r="K75" i="110"/>
  <c r="D75" i="110"/>
  <c r="L74" i="110"/>
  <c r="E74" i="110"/>
  <c r="O73" i="110"/>
  <c r="G73" i="110"/>
  <c r="L76" i="110"/>
  <c r="E76" i="110"/>
  <c r="O75" i="110"/>
  <c r="G75" i="110"/>
  <c r="P74" i="110"/>
  <c r="I74" i="110"/>
  <c r="Q73" i="110"/>
  <c r="K73" i="110"/>
  <c r="D73" i="110"/>
  <c r="E73" i="110"/>
  <c r="AB73" i="110"/>
  <c r="D74" i="110"/>
  <c r="Q74" i="110"/>
  <c r="AD74" i="110"/>
  <c r="P75" i="110"/>
  <c r="X75" i="110"/>
  <c r="O76" i="110"/>
  <c r="Z76" i="110"/>
  <c r="P55" i="110"/>
  <c r="L55" i="110"/>
  <c r="H55" i="110"/>
  <c r="D55" i="110"/>
  <c r="P54" i="110"/>
  <c r="E52" i="110"/>
  <c r="I52" i="110"/>
  <c r="M52" i="110"/>
  <c r="Q52" i="110"/>
  <c r="E53" i="110"/>
  <c r="I53" i="110"/>
  <c r="M53" i="110"/>
  <c r="Q53" i="110"/>
  <c r="E54" i="110"/>
  <c r="I54" i="110"/>
  <c r="M54" i="110"/>
  <c r="R54" i="110"/>
  <c r="G55" i="110"/>
  <c r="M55" i="110"/>
  <c r="R55" i="110"/>
  <c r="AJ104" i="110"/>
  <c r="AH104" i="110"/>
  <c r="AF104" i="110"/>
  <c r="AD104" i="110"/>
  <c r="AB104" i="110"/>
  <c r="Z104" i="110"/>
  <c r="X104" i="110"/>
  <c r="V104" i="110"/>
  <c r="AJ103" i="110"/>
  <c r="AH103" i="110"/>
  <c r="AF103" i="110"/>
  <c r="AD103" i="110"/>
  <c r="AB103" i="110"/>
  <c r="Z103" i="110"/>
  <c r="X103" i="110"/>
  <c r="V103" i="110"/>
  <c r="AJ102" i="110"/>
  <c r="AH102" i="110"/>
  <c r="AF102" i="110"/>
  <c r="AD102" i="110"/>
  <c r="AB102" i="110"/>
  <c r="Z102" i="110"/>
  <c r="X102" i="110"/>
  <c r="V102" i="110"/>
  <c r="AJ101" i="110"/>
  <c r="AH101" i="110"/>
  <c r="AF101" i="110"/>
  <c r="AD101" i="110"/>
  <c r="AB101" i="110"/>
  <c r="Z101" i="110"/>
  <c r="X101" i="110"/>
  <c r="V101" i="110"/>
  <c r="AH99" i="110"/>
  <c r="AC104" i="110"/>
  <c r="U104" i="110"/>
  <c r="AC103" i="110"/>
  <c r="U103" i="110"/>
  <c r="AC102" i="110"/>
  <c r="U102" i="110"/>
  <c r="AC101" i="110"/>
  <c r="U101" i="110"/>
  <c r="AE104" i="110"/>
  <c r="W104" i="110"/>
  <c r="AE103" i="110"/>
  <c r="W103" i="110"/>
  <c r="AI104" i="110"/>
  <c r="AA104" i="110"/>
  <c r="AI103" i="110"/>
  <c r="AA103" i="110"/>
  <c r="AI102" i="110"/>
  <c r="AA102" i="110"/>
  <c r="AI101" i="110"/>
  <c r="AA101" i="110"/>
  <c r="W101" i="110"/>
  <c r="W102" i="110"/>
  <c r="Y104" i="110"/>
  <c r="C82" i="110"/>
  <c r="E82" i="110"/>
  <c r="G82" i="110"/>
  <c r="I82" i="110"/>
  <c r="K82" i="110"/>
  <c r="M82" i="110"/>
  <c r="O82" i="110"/>
  <c r="Q82" i="110"/>
  <c r="C83" i="110"/>
  <c r="E83" i="110"/>
  <c r="G83" i="110"/>
  <c r="I83" i="110"/>
  <c r="K83" i="110"/>
  <c r="M83" i="110"/>
  <c r="O83" i="110"/>
  <c r="Q83" i="110"/>
  <c r="AG101" i="110"/>
  <c r="AG102" i="110"/>
  <c r="AG104" i="110"/>
  <c r="C90" i="110"/>
  <c r="E90" i="110"/>
  <c r="G90" i="110"/>
  <c r="I90" i="110"/>
  <c r="K90" i="110"/>
  <c r="M90" i="110"/>
  <c r="O90" i="110"/>
  <c r="Q90" i="110"/>
  <c r="Q97" i="110"/>
  <c r="O97" i="110"/>
  <c r="M97" i="110"/>
  <c r="K97" i="110"/>
  <c r="I97" i="110"/>
  <c r="G97" i="110"/>
  <c r="E97" i="110"/>
  <c r="C97" i="110"/>
  <c r="Q96" i="110"/>
  <c r="O96" i="110"/>
  <c r="M96" i="110"/>
  <c r="K96" i="110"/>
  <c r="I96" i="110"/>
  <c r="G96" i="110"/>
  <c r="E96" i="110"/>
  <c r="C96" i="110"/>
  <c r="Q95" i="110"/>
  <c r="O95" i="110"/>
  <c r="M95" i="110"/>
  <c r="K95" i="110"/>
  <c r="I95" i="110"/>
  <c r="G95" i="110"/>
  <c r="E95" i="110"/>
  <c r="C95" i="110"/>
  <c r="Q94" i="110"/>
  <c r="O94" i="110"/>
  <c r="M94" i="110"/>
  <c r="K94" i="110"/>
  <c r="L97" i="110"/>
  <c r="D97" i="110"/>
  <c r="L96" i="110"/>
  <c r="D96" i="110"/>
  <c r="L95" i="110"/>
  <c r="D95" i="110"/>
  <c r="L94" i="110"/>
  <c r="D94" i="110"/>
  <c r="F94" i="110"/>
  <c r="H94" i="110"/>
  <c r="J94" i="110"/>
  <c r="P94" i="110"/>
  <c r="J95" i="110"/>
  <c r="P95" i="110"/>
  <c r="J96" i="110"/>
  <c r="P96" i="110"/>
  <c r="J97" i="110"/>
  <c r="P97" i="110"/>
  <c r="AE101" i="110"/>
  <c r="AE102" i="110"/>
  <c r="Y103" i="110"/>
  <c r="AH69" i="110"/>
  <c r="AD69" i="110"/>
  <c r="Z69" i="110"/>
  <c r="V69" i="110"/>
  <c r="AH68" i="110"/>
  <c r="AD68" i="110"/>
  <c r="Z68" i="110"/>
  <c r="V68" i="110"/>
  <c r="V66" i="110"/>
  <c r="Z66" i="110"/>
  <c r="AD66" i="110"/>
  <c r="AH66" i="110"/>
  <c r="V67" i="110"/>
  <c r="Z67" i="110"/>
  <c r="AD67" i="110"/>
  <c r="AH67" i="110"/>
  <c r="W68" i="110"/>
  <c r="AB68" i="110"/>
  <c r="AG68" i="110"/>
  <c r="W69" i="110"/>
  <c r="AB69" i="110"/>
  <c r="AG69" i="110"/>
  <c r="D80" i="110"/>
  <c r="F80" i="110"/>
  <c r="H80" i="110"/>
  <c r="J80" i="110"/>
  <c r="L80" i="110"/>
  <c r="N80" i="110"/>
  <c r="P80" i="110"/>
  <c r="R80" i="110"/>
  <c r="D81" i="110"/>
  <c r="F81" i="110"/>
  <c r="H81" i="110"/>
  <c r="J81" i="110"/>
  <c r="L81" i="110"/>
  <c r="N81" i="110"/>
  <c r="P81" i="110"/>
  <c r="R81" i="110"/>
  <c r="D82" i="110"/>
  <c r="F82" i="110"/>
  <c r="H82" i="110"/>
  <c r="J82" i="110"/>
  <c r="L82" i="110"/>
  <c r="N82" i="110"/>
  <c r="P82" i="110"/>
  <c r="R82" i="110"/>
  <c r="D83" i="110"/>
  <c r="F83" i="110"/>
  <c r="H83" i="110"/>
  <c r="J83" i="110"/>
  <c r="L83" i="110"/>
  <c r="N83" i="110"/>
  <c r="P83" i="110"/>
  <c r="P92" i="110"/>
  <c r="N94" i="110"/>
  <c r="H95" i="110"/>
  <c r="N95" i="110"/>
  <c r="H96" i="110"/>
  <c r="N96" i="110"/>
  <c r="H97" i="110"/>
  <c r="N97" i="110"/>
  <c r="Y101" i="110"/>
  <c r="Y102" i="110"/>
  <c r="AG103" i="110"/>
  <c r="E6" i="95"/>
  <c r="AI97" i="110"/>
  <c r="AG97" i="110"/>
  <c r="AE97" i="110"/>
  <c r="AC97" i="110"/>
  <c r="AA97" i="110"/>
  <c r="Y97" i="110"/>
  <c r="W97" i="110"/>
  <c r="U97" i="110"/>
  <c r="AI96" i="110"/>
  <c r="AG96" i="110"/>
  <c r="AE96" i="110"/>
  <c r="AC96" i="110"/>
  <c r="AA96" i="110"/>
  <c r="Y96" i="110"/>
  <c r="W96" i="110"/>
  <c r="U96" i="110"/>
  <c r="AI95" i="110"/>
  <c r="AG95" i="110"/>
  <c r="AE95" i="110"/>
  <c r="AC95" i="110"/>
  <c r="AA95" i="110"/>
  <c r="Y95" i="110"/>
  <c r="W95" i="110"/>
  <c r="U95" i="110"/>
  <c r="AI94" i="110"/>
  <c r="AG94" i="110"/>
  <c r="AE94" i="110"/>
  <c r="AC94" i="110"/>
  <c r="AA94" i="110"/>
  <c r="Y94" i="110"/>
  <c r="W94" i="110"/>
  <c r="U94" i="110"/>
  <c r="V94" i="110"/>
  <c r="AD94" i="110"/>
  <c r="V95" i="110"/>
  <c r="AD95" i="110"/>
  <c r="V96" i="110"/>
  <c r="AD96" i="110"/>
  <c r="V97" i="110"/>
  <c r="AD97" i="110"/>
  <c r="D101" i="110"/>
  <c r="F101" i="110"/>
  <c r="H101" i="110"/>
  <c r="J101" i="110"/>
  <c r="L101" i="110"/>
  <c r="N101" i="110"/>
  <c r="P101" i="110"/>
  <c r="R101" i="110"/>
  <c r="D102" i="110"/>
  <c r="F102" i="110"/>
  <c r="H102" i="110"/>
  <c r="J102" i="110"/>
  <c r="L102" i="110"/>
  <c r="N102" i="110"/>
  <c r="P102" i="110"/>
  <c r="R102" i="110"/>
  <c r="D103" i="110"/>
  <c r="F103" i="110"/>
  <c r="H103" i="110"/>
  <c r="J103" i="110"/>
  <c r="L103" i="110"/>
  <c r="N103" i="110"/>
  <c r="P103" i="110"/>
  <c r="R103" i="110"/>
  <c r="D104" i="110"/>
  <c r="F104" i="110"/>
  <c r="H104" i="110"/>
  <c r="J104" i="110"/>
  <c r="L104" i="110"/>
  <c r="N104" i="110"/>
  <c r="P104" i="110"/>
  <c r="K6" i="95"/>
  <c r="K10" i="95"/>
  <c r="K14" i="95"/>
  <c r="F14" i="89"/>
  <c r="K8" i="95"/>
  <c r="K16" i="95"/>
  <c r="H17" i="98" l="1"/>
  <c r="H30" i="98"/>
  <c r="M17" i="114"/>
  <c r="J17" i="114"/>
  <c r="E94" i="81"/>
  <c r="K84" i="81"/>
  <c r="E86" i="81"/>
  <c r="AJ121" i="98"/>
  <c r="AJ203" i="100"/>
  <c r="K96" i="98"/>
  <c r="J17" i="115"/>
  <c r="M17" i="115" s="1"/>
  <c r="E98" i="98"/>
  <c r="H30" i="114"/>
  <c r="G23" i="114"/>
  <c r="AB203" i="100"/>
  <c r="AN205" i="100"/>
  <c r="AN202" i="100"/>
  <c r="K30" i="98"/>
  <c r="K30" i="114"/>
  <c r="J17" i="101"/>
  <c r="E30" i="101"/>
  <c r="K30" i="101"/>
  <c r="J60" i="81"/>
  <c r="J56" i="81"/>
  <c r="J52" i="81"/>
  <c r="F98" i="81"/>
  <c r="F104" i="81"/>
  <c r="M54" i="81"/>
  <c r="M46" i="81"/>
  <c r="H60" i="81"/>
  <c r="H56" i="81"/>
  <c r="H52" i="81"/>
  <c r="J48" i="81"/>
  <c r="H48" i="81"/>
  <c r="J44" i="81"/>
  <c r="H44" i="81"/>
  <c r="J40" i="81"/>
  <c r="H40" i="81"/>
  <c r="F122" i="81"/>
  <c r="E84" i="81"/>
  <c r="E68" i="81"/>
  <c r="F124" i="81"/>
  <c r="E92" i="81"/>
  <c r="K70" i="81"/>
  <c r="M42" i="81"/>
  <c r="E46" i="81"/>
  <c r="K92" i="81"/>
  <c r="E76" i="81"/>
  <c r="M50" i="81"/>
  <c r="M58" i="81"/>
  <c r="E62" i="81"/>
  <c r="M38" i="81"/>
  <c r="F108" i="81"/>
  <c r="F114" i="81"/>
  <c r="K76" i="81"/>
  <c r="K86" i="81"/>
  <c r="H64" i="81"/>
  <c r="H54" i="81"/>
  <c r="H50" i="81"/>
  <c r="H42" i="81"/>
  <c r="H58" i="81"/>
  <c r="H46" i="81"/>
  <c r="H38" i="81"/>
  <c r="AG202" i="100"/>
  <c r="AG206" i="100"/>
  <c r="AG205" i="100"/>
  <c r="AG203" i="100"/>
  <c r="AD202" i="100"/>
  <c r="AE201" i="100"/>
  <c r="AE197" i="100"/>
  <c r="AE200" i="100"/>
  <c r="AE198" i="100"/>
  <c r="AB197" i="100"/>
  <c r="AD206" i="100"/>
  <c r="AJ200" i="100"/>
  <c r="AJ201" i="100"/>
  <c r="AN199" i="100"/>
  <c r="AH204" i="100"/>
  <c r="AE199" i="100"/>
  <c r="AL205" i="100"/>
  <c r="AG204" i="100"/>
  <c r="AF117" i="101"/>
  <c r="AF116" i="101"/>
  <c r="AF115" i="101"/>
  <c r="AD110" i="101"/>
  <c r="AD109" i="101"/>
  <c r="AD108" i="101"/>
  <c r="AF103" i="101"/>
  <c r="AF102" i="101"/>
  <c r="AF101" i="101"/>
  <c r="AH126" i="98"/>
  <c r="AH125" i="98"/>
  <c r="AF120" i="98"/>
  <c r="AF119" i="98"/>
  <c r="AF118" i="98"/>
  <c r="AD113" i="98"/>
  <c r="AD112" i="98"/>
  <c r="AD111" i="98"/>
  <c r="AF106" i="98"/>
  <c r="AF105" i="98"/>
  <c r="AF104" i="98"/>
  <c r="E10" i="87"/>
  <c r="H10" i="87"/>
  <c r="H11" i="87"/>
  <c r="E11" i="87"/>
  <c r="H12" i="87"/>
  <c r="E12" i="87"/>
  <c r="E13" i="87"/>
  <c r="H13" i="87"/>
  <c r="X125" i="101"/>
  <c r="AJ122" i="101"/>
  <c r="AH117" i="101"/>
  <c r="AH116" i="101"/>
  <c r="AH115" i="101"/>
  <c r="AJ110" i="101"/>
  <c r="AJ109" i="101"/>
  <c r="AJ108" i="101"/>
  <c r="AH103" i="101"/>
  <c r="AH102" i="101"/>
  <c r="AH101" i="101"/>
  <c r="AJ127" i="98"/>
  <c r="AJ126" i="98"/>
  <c r="AJ125" i="98"/>
  <c r="P98" i="98"/>
  <c r="L98" i="98"/>
  <c r="H98" i="98"/>
  <c r="D98" i="98"/>
  <c r="C98" i="98"/>
  <c r="E96" i="98"/>
  <c r="W124" i="101"/>
  <c r="W123" i="101"/>
  <c r="W122" i="101"/>
  <c r="Y117" i="101"/>
  <c r="Y116" i="101"/>
  <c r="Y115" i="101"/>
  <c r="W110" i="101"/>
  <c r="W109" i="101"/>
  <c r="W108" i="101"/>
  <c r="Y103" i="101"/>
  <c r="Y102" i="101"/>
  <c r="Y101" i="101"/>
  <c r="B41" i="82"/>
  <c r="C41" i="82"/>
  <c r="C42" i="82"/>
  <c r="B42" i="82"/>
  <c r="C44" i="82"/>
  <c r="B44" i="82"/>
  <c r="F36" i="82"/>
  <c r="G36" i="82"/>
  <c r="F44" i="82"/>
  <c r="G44" i="82"/>
  <c r="J27" i="82"/>
  <c r="K27" i="82"/>
  <c r="F26" i="82"/>
  <c r="G26" i="82"/>
  <c r="G27" i="82"/>
  <c r="F27" i="82"/>
  <c r="K26" i="82"/>
  <c r="J26" i="82"/>
  <c r="J25" i="82"/>
  <c r="K25" i="82"/>
  <c r="N96" i="98"/>
  <c r="V123" i="101"/>
  <c r="J98" i="98"/>
  <c r="M18" i="117"/>
  <c r="J96" i="98"/>
  <c r="Z122" i="101"/>
  <c r="F98" i="98"/>
  <c r="H96" i="98"/>
  <c r="F123" i="81"/>
  <c r="H123" i="81"/>
  <c r="I123" i="81" s="1"/>
  <c r="F119" i="81"/>
  <c r="H119" i="81"/>
  <c r="I119" i="81" s="1"/>
  <c r="F115" i="81"/>
  <c r="H115" i="81"/>
  <c r="I115" i="81" s="1"/>
  <c r="F111" i="81"/>
  <c r="H111" i="81"/>
  <c r="I111" i="81" s="1"/>
  <c r="F107" i="81"/>
  <c r="H107" i="81"/>
  <c r="I107" i="81" s="1"/>
  <c r="F103" i="81"/>
  <c r="H103" i="81"/>
  <c r="I103" i="81" s="1"/>
  <c r="F99" i="81"/>
  <c r="H99" i="81"/>
  <c r="I99" i="81" s="1"/>
  <c r="H93" i="81"/>
  <c r="H89" i="81"/>
  <c r="H85" i="81"/>
  <c r="H81" i="81"/>
  <c r="H77" i="81"/>
  <c r="H73" i="81"/>
  <c r="H69" i="81"/>
  <c r="E54" i="81"/>
  <c r="E50" i="81"/>
  <c r="E42" i="81"/>
  <c r="E58" i="81"/>
  <c r="J62" i="81"/>
  <c r="AC202" i="100"/>
  <c r="AC205" i="100"/>
  <c r="AC203" i="100"/>
  <c r="AA201" i="100"/>
  <c r="AA197" i="100"/>
  <c r="AA200" i="100"/>
  <c r="AA198" i="100"/>
  <c r="AF200" i="100"/>
  <c r="AC206" i="100"/>
  <c r="AF201" i="100"/>
  <c r="AJ199" i="100"/>
  <c r="AD204" i="100"/>
  <c r="AA199" i="100"/>
  <c r="AH205" i="100"/>
  <c r="AC204" i="100"/>
  <c r="AB117" i="101"/>
  <c r="AB116" i="101"/>
  <c r="AB115" i="101"/>
  <c r="Z110" i="101"/>
  <c r="Z109" i="101"/>
  <c r="Z108" i="101"/>
  <c r="AB103" i="101"/>
  <c r="AB102" i="101"/>
  <c r="AB101" i="101"/>
  <c r="AD127" i="98"/>
  <c r="AD126" i="98"/>
  <c r="AD125" i="98"/>
  <c r="AB120" i="98"/>
  <c r="AB119" i="98"/>
  <c r="AB118" i="98"/>
  <c r="Z113" i="98"/>
  <c r="Z112" i="98"/>
  <c r="Z111" i="98"/>
  <c r="AB106" i="98"/>
  <c r="AB105" i="98"/>
  <c r="AB104" i="98"/>
  <c r="G96" i="98"/>
  <c r="E14" i="87"/>
  <c r="H14" i="87"/>
  <c r="H15" i="87"/>
  <c r="E15" i="87"/>
  <c r="H16" i="87"/>
  <c r="E16" i="87"/>
  <c r="E17" i="87"/>
  <c r="H17" i="87"/>
  <c r="AJ125" i="101"/>
  <c r="AF124" i="101"/>
  <c r="AF123" i="101"/>
  <c r="AF122" i="101"/>
  <c r="AD117" i="101"/>
  <c r="AD116" i="101"/>
  <c r="AD115" i="101"/>
  <c r="AF110" i="101"/>
  <c r="AF109" i="101"/>
  <c r="AF108" i="101"/>
  <c r="AD103" i="101"/>
  <c r="AD102" i="101"/>
  <c r="AD101" i="101"/>
  <c r="AF127" i="98"/>
  <c r="AF126" i="98"/>
  <c r="AF125" i="98"/>
  <c r="O98" i="98"/>
  <c r="Q96" i="98"/>
  <c r="AI124" i="101"/>
  <c r="AI123" i="101"/>
  <c r="AI122" i="101"/>
  <c r="AK117" i="101"/>
  <c r="AK116" i="101"/>
  <c r="AK115" i="101"/>
  <c r="AI110" i="101"/>
  <c r="AI109" i="101"/>
  <c r="AI108" i="101"/>
  <c r="AK103" i="101"/>
  <c r="AK102" i="101"/>
  <c r="AK101" i="101"/>
  <c r="R96" i="101"/>
  <c r="N96" i="101"/>
  <c r="J96" i="101"/>
  <c r="F96" i="101"/>
  <c r="C96" i="101"/>
  <c r="F43" i="82"/>
  <c r="G43" i="82"/>
  <c r="F37" i="82"/>
  <c r="G37" i="82"/>
  <c r="C43" i="82"/>
  <c r="B43" i="82"/>
  <c r="C37" i="82"/>
  <c r="B37" i="82"/>
  <c r="F38" i="82"/>
  <c r="G38" i="82"/>
  <c r="G25" i="82"/>
  <c r="F25" i="82"/>
  <c r="J28" i="82"/>
  <c r="K28" i="82"/>
  <c r="J20" i="82"/>
  <c r="K20" i="82"/>
  <c r="F20" i="82"/>
  <c r="G20" i="82"/>
  <c r="F28" i="82"/>
  <c r="G28" i="82"/>
  <c r="F96" i="98"/>
  <c r="AD124" i="101"/>
  <c r="AD122" i="101"/>
  <c r="L96" i="98"/>
  <c r="E96" i="101"/>
  <c r="P96" i="98"/>
  <c r="Q96" i="101"/>
  <c r="M60" i="81"/>
  <c r="M56" i="81"/>
  <c r="M52" i="81"/>
  <c r="M48" i="81"/>
  <c r="M44" i="81"/>
  <c r="M40" i="81"/>
  <c r="J54" i="81"/>
  <c r="J50" i="81"/>
  <c r="J42" i="81"/>
  <c r="J58" i="81"/>
  <c r="M62" i="81"/>
  <c r="J46" i="81"/>
  <c r="J38" i="81"/>
  <c r="AE205" i="100"/>
  <c r="AE203" i="100"/>
  <c r="AE204" i="100"/>
  <c r="AE202" i="100"/>
  <c r="AM201" i="100"/>
  <c r="AM197" i="100"/>
  <c r="AM200" i="100"/>
  <c r="AM198" i="100"/>
  <c r="AJ197" i="100"/>
  <c r="AB200" i="100"/>
  <c r="AB201" i="100"/>
  <c r="AF199" i="100"/>
  <c r="AM199" i="100"/>
  <c r="AD205" i="100"/>
  <c r="X117" i="101"/>
  <c r="X116" i="101"/>
  <c r="X115" i="101"/>
  <c r="V110" i="101"/>
  <c r="V109" i="101"/>
  <c r="V108" i="101"/>
  <c r="X103" i="101"/>
  <c r="X102" i="101"/>
  <c r="X101" i="101"/>
  <c r="Z127" i="98"/>
  <c r="Z126" i="98"/>
  <c r="Z125" i="98"/>
  <c r="X120" i="98"/>
  <c r="X119" i="98"/>
  <c r="X118" i="98"/>
  <c r="V113" i="98"/>
  <c r="V112" i="98"/>
  <c r="V111" i="98"/>
  <c r="X106" i="98"/>
  <c r="X105" i="98"/>
  <c r="X104" i="98"/>
  <c r="E18" i="87"/>
  <c r="H18" i="87"/>
  <c r="H19" i="87"/>
  <c r="E19" i="87"/>
  <c r="H20" i="87"/>
  <c r="E20" i="87"/>
  <c r="AB124" i="101"/>
  <c r="AB123" i="101"/>
  <c r="AB122" i="101"/>
  <c r="Z117" i="101"/>
  <c r="Z116" i="101"/>
  <c r="Z115" i="101"/>
  <c r="AB110" i="101"/>
  <c r="AB109" i="101"/>
  <c r="AB108" i="101"/>
  <c r="Z103" i="101"/>
  <c r="Z102" i="101"/>
  <c r="Z101" i="101"/>
  <c r="AB127" i="98"/>
  <c r="AB126" i="98"/>
  <c r="AB125" i="98"/>
  <c r="K98" i="98"/>
  <c r="M96" i="98"/>
  <c r="AE124" i="101"/>
  <c r="AE123" i="101"/>
  <c r="AE122" i="101"/>
  <c r="AG117" i="101"/>
  <c r="AG116" i="101"/>
  <c r="AG115" i="101"/>
  <c r="AE110" i="101"/>
  <c r="AE109" i="101"/>
  <c r="AE108" i="101"/>
  <c r="AG103" i="101"/>
  <c r="AG102" i="101"/>
  <c r="AG101" i="101"/>
  <c r="B35" i="82"/>
  <c r="C35" i="82"/>
  <c r="C36" i="82"/>
  <c r="B36" i="82"/>
  <c r="F35" i="82"/>
  <c r="G35" i="82"/>
  <c r="C38" i="82"/>
  <c r="B38" i="82"/>
  <c r="G40" i="82"/>
  <c r="F40" i="82"/>
  <c r="F22" i="82"/>
  <c r="G22" i="82"/>
  <c r="K22" i="82"/>
  <c r="J22" i="82"/>
  <c r="G21" i="82"/>
  <c r="F21" i="82"/>
  <c r="K21" i="82"/>
  <c r="J21" i="82"/>
  <c r="K29" i="82"/>
  <c r="J29" i="82"/>
  <c r="V124" i="101"/>
  <c r="V122" i="101"/>
  <c r="AH128" i="98"/>
  <c r="D96" i="98"/>
  <c r="Z124" i="101"/>
  <c r="Q98" i="98"/>
  <c r="I96" i="101"/>
  <c r="F121" i="81"/>
  <c r="H121" i="81"/>
  <c r="I121" i="81" s="1"/>
  <c r="F117" i="81"/>
  <c r="H117" i="81"/>
  <c r="I117" i="81" s="1"/>
  <c r="F113" i="81"/>
  <c r="H113" i="81"/>
  <c r="I113" i="81" s="1"/>
  <c r="F109" i="81"/>
  <c r="H109" i="81"/>
  <c r="I109" i="81" s="1"/>
  <c r="F105" i="81"/>
  <c r="H105" i="81"/>
  <c r="I105" i="81" s="1"/>
  <c r="F101" i="81"/>
  <c r="H101" i="81"/>
  <c r="I101" i="81" s="1"/>
  <c r="H62" i="81"/>
  <c r="AL203" i="100"/>
  <c r="AL206" i="100"/>
  <c r="AK202" i="100"/>
  <c r="AK205" i="100"/>
  <c r="AK203" i="100"/>
  <c r="AK206" i="100"/>
  <c r="AH202" i="100"/>
  <c r="AI201" i="100"/>
  <c r="AI197" i="100"/>
  <c r="AI200" i="100"/>
  <c r="AI198" i="100"/>
  <c r="AF197" i="100"/>
  <c r="AH206" i="100"/>
  <c r="AN200" i="100"/>
  <c r="AN201" i="100"/>
  <c r="AB199" i="100"/>
  <c r="AL204" i="100"/>
  <c r="AI199" i="100"/>
  <c r="AE206" i="100"/>
  <c r="AK204" i="100"/>
  <c r="AN197" i="100"/>
  <c r="AJ117" i="101"/>
  <c r="AJ116" i="101"/>
  <c r="AJ115" i="101"/>
  <c r="AH110" i="101"/>
  <c r="AH109" i="101"/>
  <c r="AH108" i="101"/>
  <c r="AJ103" i="101"/>
  <c r="AJ102" i="101"/>
  <c r="AJ101" i="101"/>
  <c r="V127" i="98"/>
  <c r="V126" i="98"/>
  <c r="V125" i="98"/>
  <c r="AJ119" i="98"/>
  <c r="AJ118" i="98"/>
  <c r="AH113" i="98"/>
  <c r="AH112" i="98"/>
  <c r="AH111" i="98"/>
  <c r="AJ106" i="98"/>
  <c r="AJ105" i="98"/>
  <c r="AJ104" i="98"/>
  <c r="E6" i="87"/>
  <c r="G21" i="87"/>
  <c r="H6" i="87"/>
  <c r="H7" i="87"/>
  <c r="E7" i="87"/>
  <c r="H8" i="87"/>
  <c r="E8" i="87"/>
  <c r="E9" i="87"/>
  <c r="H9" i="87"/>
  <c r="D27" i="82"/>
  <c r="C27" i="82" s="1"/>
  <c r="B27" i="82" s="1"/>
  <c r="D23" i="82"/>
  <c r="C23" i="82" s="1"/>
  <c r="B23" i="82" s="1"/>
  <c r="D29" i="82"/>
  <c r="C29" i="82" s="1"/>
  <c r="B29" i="82" s="1"/>
  <c r="D26" i="82"/>
  <c r="C26" i="82" s="1"/>
  <c r="B26" i="82" s="1"/>
  <c r="D25" i="82"/>
  <c r="C25" i="82" s="1"/>
  <c r="B25" i="82" s="1"/>
  <c r="D21" i="82"/>
  <c r="C21" i="82" s="1"/>
  <c r="B21" i="82" s="1"/>
  <c r="D28" i="82"/>
  <c r="C28" i="82" s="1"/>
  <c r="B28" i="82" s="1"/>
  <c r="D24" i="82"/>
  <c r="C24" i="82" s="1"/>
  <c r="B24" i="82" s="1"/>
  <c r="D20" i="82"/>
  <c r="C20" i="82" s="1"/>
  <c r="B20" i="82" s="1"/>
  <c r="D22" i="82"/>
  <c r="C22" i="82" s="1"/>
  <c r="B22" i="82" s="1"/>
  <c r="X123" i="101"/>
  <c r="X122" i="101"/>
  <c r="V117" i="101"/>
  <c r="V116" i="101"/>
  <c r="V115" i="101"/>
  <c r="X110" i="101"/>
  <c r="X109" i="101"/>
  <c r="X108" i="101"/>
  <c r="V103" i="101"/>
  <c r="V102" i="101"/>
  <c r="V101" i="101"/>
  <c r="B6" i="87"/>
  <c r="C21" i="87"/>
  <c r="X127" i="98"/>
  <c r="X126" i="98"/>
  <c r="X125" i="98"/>
  <c r="G98" i="98"/>
  <c r="I96" i="98"/>
  <c r="AA124" i="101"/>
  <c r="AA123" i="101"/>
  <c r="AA122" i="101"/>
  <c r="AC117" i="101"/>
  <c r="AC116" i="101"/>
  <c r="AC115" i="101"/>
  <c r="AA110" i="101"/>
  <c r="AA109" i="101"/>
  <c r="AA108" i="101"/>
  <c r="AC103" i="101"/>
  <c r="AC102" i="101"/>
  <c r="AC101" i="101"/>
  <c r="K96" i="101"/>
  <c r="C40" i="82"/>
  <c r="B40" i="82"/>
  <c r="F39" i="82"/>
  <c r="G39" i="82"/>
  <c r="C39" i="82"/>
  <c r="B39" i="82"/>
  <c r="F41" i="82"/>
  <c r="G41" i="82"/>
  <c r="G42" i="82"/>
  <c r="F42" i="82"/>
  <c r="G29" i="82"/>
  <c r="F29" i="82"/>
  <c r="J24" i="82"/>
  <c r="K24" i="82"/>
  <c r="F23" i="82"/>
  <c r="G23" i="82"/>
  <c r="J23" i="82"/>
  <c r="K23" i="82"/>
  <c r="G24" i="82"/>
  <c r="F24" i="82"/>
  <c r="AD123" i="101"/>
  <c r="R98" i="98"/>
  <c r="Z123" i="101"/>
  <c r="AJ124" i="101"/>
  <c r="N98" i="9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<sst xmlns="http://schemas.openxmlformats.org/spreadsheetml/2006/main" count="7639" uniqueCount="1387">
  <si>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</si>
  <si>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</si>
  <si>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</si>
  <si>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</si>
  <si>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</si>
  <si>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</si>
  <si>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</si>
  <si>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</si>
  <si>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</si>
  <si>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</si>
  <si>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</si>
  <si>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</si>
  <si>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</si>
  <si>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</si>
  <si>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</si>
  <si>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</si>
  <si>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</si>
  <si>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</si>
  <si>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</si>
  <si>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</si>
  <si>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</si>
  <si>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</si>
  <si>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</si>
  <si>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</si>
  <si>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</si>
  <si>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</si>
  <si>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</si>
  <si>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</si>
  <si>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</si>
  <si>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</si>
  <si>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</si>
  <si>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</si>
  <si>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</si>
  <si>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</si>
  <si>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</si>
  <si>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</si>
  <si>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</si>
  <si>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</si>
  <si>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</si>
  <si>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</si>
  <si>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</si>
  <si>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</si>
  <si>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</si>
  <si>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</si>
  <si>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</si>
  <si>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</si>
  <si>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</si>
  <si>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</si>
  <si>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</si>
  <si>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</si>
  <si>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</si>
  <si>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</si>
  <si>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</si>
  <si>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</si>
  <si>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</si>
  <si>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</si>
  <si>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</si>
  <si>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</si>
  <si>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</si>
  <si>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</si>
  <si>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</si>
  <si>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</si>
  <si>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</si>
  <si>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</si>
  <si>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</si>
  <si>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</si>
  <si>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</si>
  <si>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</si>
  <si>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</si>
  <si>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</si>
  <si>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</si>
  <si>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</si>
  <si>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</si>
  <si>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</si>
  <si>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</si>
  <si>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</si>
  <si>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</si>
  <si>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</si>
  <si>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</si>
  <si>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</si>
  <si>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</si>
  <si>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</si>
  <si>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</si>
  <si>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</si>
  <si>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</si>
  <si>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</si>
  <si>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</si>
  <si>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</si>
  <si>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</si>
  <si>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</si>
  <si>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All Liverpool North (Team Unknown)</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</si>
  <si>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</si>
  <si>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</si>
  <si>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</si>
  <si>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</si>
  <si>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</si>
  <si>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</si>
  <si>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</si>
  <si>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</si>
  <si>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</si>
  <si>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</si>
  <si>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</si>
  <si>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</si>
  <si>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</si>
  <si>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</si>
  <si>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</si>
  <si>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</si>
  <si>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</si>
  <si>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</si>
  <si>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</si>
  <si>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</si>
  <si>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</si>
  <si>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</si>
  <si>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</si>
  <si>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</si>
  <si>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</si>
  <si>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</si>
  <si>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</si>
  <si>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</si>
  <si>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</si>
  <si>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</si>
  <si>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</si>
  <si>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</si>
  <si>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</si>
  <si>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</si>
  <si>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</si>
  <si>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</si>
  <si>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</si>
  <si>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</si>
  <si>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</si>
  <si>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</si>
  <si>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</si>
  <si>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</si>
  <si>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</si>
  <si>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</si>
  <si>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</si>
  <si>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</si>
  <si>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</si>
  <si>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</si>
  <si>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</si>
  <si>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</si>
  <si>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</si>
  <si>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</si>
  <si>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</si>
  <si>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</si>
  <si>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</si>
  <si>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</si>
  <si>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</si>
  <si>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</si>
  <si>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</si>
  <si>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</si>
  <si>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</si>
  <si>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</si>
  <si>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</si>
  <si>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</si>
  <si>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</si>
  <si>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</si>
  <si>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</si>
  <si>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</si>
  <si>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</si>
  <si>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</si>
  <si>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</si>
  <si>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</si>
  <si>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</si>
  <si>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</si>
  <si>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</si>
  <si>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</si>
  <si>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</si>
  <si>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</si>
  <si>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</si>
  <si>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</si>
  <si>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</si>
  <si>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</si>
  <si>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</si>
  <si>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</si>
  <si>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</si>
  <si>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</si>
  <si>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</si>
  <si>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</si>
  <si>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</si>
  <si>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</si>
  <si>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</si>
  <si>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</si>
  <si>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</si>
  <si>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</si>
  <si>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</si>
  <si>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</si>
  <si>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</si>
  <si>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</si>
  <si>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</si>
  <si>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</si>
  <si>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</si>
  <si>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</si>
  <si>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</si>
  <si>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</si>
  <si>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</si>
  <si>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</si>
  <si>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</si>
  <si>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</si>
  <si>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</si>
  <si>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</si>
  <si>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</si>
  <si>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</si>
  <si>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</si>
  <si>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</si>
  <si>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</si>
  <si>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</si>
  <si>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</si>
  <si>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</si>
  <si>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</si>
  <si>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</si>
  <si>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</si>
  <si>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</si>
  <si>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</si>
  <si>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</si>
  <si>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</si>
  <si>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</si>
  <si>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</si>
  <si>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</si>
  <si>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</si>
  <si>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</si>
  <si>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</si>
  <si>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</si>
  <si>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</si>
  <si>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</si>
  <si>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</si>
  <si>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</si>
  <si>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</si>
  <si>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</si>
  <si>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</si>
  <si>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</si>
  <si>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</si>
  <si>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</si>
  <si>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</si>
  <si>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</si>
  <si>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</si>
  <si>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</si>
  <si>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</si>
  <si>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</si>
  <si>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</si>
  <si>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</si>
  <si>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</si>
  <si>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</si>
  <si>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</si>
  <si>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</si>
  <si>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</si>
  <si>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KTW-Dartford and Gravesham</t>
  </si>
  <si>
    <t>Awaiting Allocation HARINGEY</t>
  </si>
  <si>
    <t>Blackburn 3 - N51</t>
  </si>
  <si>
    <t>East Berks ACE Team</t>
  </si>
  <si>
    <t>Cardiff - IOM Wisdom Team</t>
  </si>
  <si>
    <t>Central Birmingham PQiP</t>
  </si>
  <si>
    <t>Bradford OMU 1 (BNA)</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</si>
  <si>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</si>
  <si>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</si>
  <si>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</si>
  <si>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</si>
  <si>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</si>
  <si>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</si>
  <si>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</si>
  <si>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</si>
  <si>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</si>
  <si>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</si>
  <si>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</si>
  <si>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</si>
  <si>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</si>
  <si>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</si>
  <si>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</si>
  <si>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Bradford OMU 2 (BNB)</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</si>
  <si>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</si>
  <si>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</si>
  <si>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</si>
  <si>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</si>
  <si>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</si>
  <si>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</si>
  <si>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</si>
  <si>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</si>
  <si>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</si>
  <si>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</si>
  <si>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</si>
  <si>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</si>
  <si>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</si>
  <si>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Bradford OMU 4 YOT (BND)</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</si>
  <si>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</si>
  <si>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</si>
  <si>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</si>
  <si>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</si>
  <si>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</si>
  <si>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</si>
  <si>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</si>
  <si>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</si>
  <si>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</si>
  <si>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</si>
  <si>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</si>
  <si>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</si>
  <si>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</si>
  <si>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</si>
  <si>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</si>
  <si>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Bradford OMU 5 (BNE)</t>
  </si>
  <si>
    <t>Lambeth - N07</t>
  </si>
  <si>
    <t>North West Lancashire</t>
  </si>
  <si>
    <t>Unpaid Work and Attendance Centres - N55</t>
  </si>
  <si>
    <t>Grantham - N53</t>
  </si>
  <si>
    <t>GM Manchester N4</t>
  </si>
  <si>
    <t>KTW-Mid Kent</t>
  </si>
  <si>
    <t>Awaiting Allocation ISLINGTON</t>
  </si>
  <si>
    <t>Hartlepool 1</t>
  </si>
  <si>
    <t>Blackpool 5 - N51</t>
  </si>
  <si>
    <t>East Berkshire 4</t>
  </si>
  <si>
    <t>Cardiff - Women's Pathfinder Team</t>
  </si>
  <si>
    <t>Coventry Team 3 - N52</t>
  </si>
  <si>
    <t>Bradford OMU 6 - N55</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</si>
  <si>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</si>
  <si>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</si>
  <si>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</si>
  <si>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</si>
  <si>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</si>
  <si>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</si>
  <si>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</si>
  <si>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</si>
  <si>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</si>
  <si>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</si>
  <si>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</si>
  <si>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</si>
  <si>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</si>
  <si>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Calderdale OMU 1 (CNA)</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</si>
  <si>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</si>
  <si>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</si>
  <si>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</si>
  <si>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</si>
  <si>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</si>
  <si>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</si>
  <si>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</si>
  <si>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</si>
  <si>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</si>
  <si>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</si>
  <si>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</si>
  <si>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</si>
  <si>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</si>
  <si>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Calderdale OMU 2 - N55</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</si>
  <si>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</si>
  <si>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</si>
  <si>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</si>
  <si>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</si>
  <si>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</si>
  <si>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</si>
  <si>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</si>
  <si>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</si>
  <si>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</si>
  <si>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</si>
  <si>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</si>
  <si>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</si>
  <si>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</si>
  <si>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</si>
  <si>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</si>
  <si>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</si>
  <si>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</si>
  <si>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</si>
  <si>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</si>
  <si>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</si>
  <si>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</si>
  <si>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</si>
  <si>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</si>
  <si>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</si>
  <si>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</si>
  <si>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</si>
  <si>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</si>
  <si>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</si>
  <si>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</si>
  <si>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</si>
  <si>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</si>
  <si>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</si>
  <si>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</si>
  <si>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</si>
  <si>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</si>
  <si>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</si>
  <si>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</si>
  <si>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</si>
  <si>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</si>
  <si>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</si>
  <si>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</si>
  <si>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</si>
  <si>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</si>
  <si>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</si>
  <si>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</si>
  <si>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</si>
  <si>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</si>
  <si>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</si>
  <si>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</si>
  <si>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</si>
  <si>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</si>
  <si>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</si>
  <si>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</si>
  <si>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</si>
  <si>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</si>
  <si>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</si>
  <si>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</si>
  <si>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Leicester City PQUIP - N53</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</si>
  <si>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</si>
  <si>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</si>
  <si>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</si>
  <si>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</si>
  <si>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</si>
  <si>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</si>
  <si>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</si>
  <si>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</si>
  <si>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</si>
  <si>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</si>
  <si>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</si>
  <si>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</si>
  <si>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</si>
  <si>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</si>
  <si>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</si>
  <si>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</si>
  <si>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</si>
  <si>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</si>
  <si>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</si>
  <si>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</si>
  <si>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</si>
  <si>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</si>
  <si>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</si>
  <si>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</si>
  <si>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</si>
  <si>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</si>
  <si>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</si>
  <si>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</si>
  <si>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</si>
  <si>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</si>
  <si>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</si>
  <si>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</si>
  <si>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</si>
  <si>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</si>
  <si>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</si>
  <si>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</si>
  <si>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</si>
  <si>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</si>
  <si>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</si>
  <si>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</si>
  <si>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</si>
  <si>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</si>
  <si>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</si>
  <si>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</si>
  <si>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</si>
  <si>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</si>
  <si>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</si>
  <si>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</si>
  <si>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</si>
  <si>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</si>
  <si>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</si>
  <si>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</si>
  <si>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</si>
  <si>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</si>
  <si>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</si>
  <si>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</si>
  <si>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</si>
  <si>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</si>
  <si>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</si>
  <si>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</si>
  <si>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</si>
  <si>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</si>
  <si>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</si>
  <si>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</si>
  <si>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</si>
  <si>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</si>
  <si>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</si>
  <si>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</si>
  <si>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</si>
  <si>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</si>
  <si>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</si>
  <si>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</si>
  <si>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</si>
  <si>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</si>
  <si>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</si>
  <si>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</si>
  <si>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</si>
  <si>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</si>
  <si>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</si>
  <si>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</si>
  <si>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</si>
  <si>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</si>
  <si>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</si>
  <si>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</si>
  <si>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</si>
  <si>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</si>
  <si>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</si>
  <si>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</si>
  <si>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</si>
  <si>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</si>
  <si>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</si>
  <si>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</si>
  <si>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</si>
  <si>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</si>
  <si>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</si>
  <si>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</si>
  <si>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</si>
  <si>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</si>
  <si>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</si>
  <si>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</si>
  <si>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</si>
  <si>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</si>
  <si>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</si>
  <si>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</si>
  <si>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</si>
  <si>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</si>
  <si>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</si>
  <si>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</si>
  <si>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</si>
  <si>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</si>
  <si>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</si>
  <si>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</si>
  <si>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</si>
  <si>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</si>
  <si>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</si>
  <si>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</si>
  <si>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</si>
  <si>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</si>
  <si>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</si>
  <si>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</si>
  <si>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</si>
  <si>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</si>
  <si>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</si>
  <si>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</si>
  <si>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</si>
  <si>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</si>
  <si>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</si>
  <si>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</si>
  <si>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</si>
  <si>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</si>
  <si>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</si>
  <si>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</si>
  <si>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</si>
  <si>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South Tyneside</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</si>
  <si>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</si>
  <si>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</si>
  <si>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</si>
  <si>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</si>
  <si>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</si>
  <si>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</si>
  <si>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</si>
  <si>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</si>
  <si>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</si>
  <si>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</si>
  <si>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</si>
  <si>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</si>
  <si>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</si>
  <si>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</si>
  <si>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</si>
  <si>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</si>
  <si>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</si>
  <si>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</si>
  <si>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</si>
  <si>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</si>
  <si>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</si>
  <si>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</si>
  <si>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</si>
  <si>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</si>
  <si>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</si>
  <si>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</si>
  <si>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</si>
  <si>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</si>
  <si>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</si>
  <si>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</si>
  <si>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</si>
  <si>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</si>
  <si>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</si>
  <si>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</si>
  <si>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</si>
  <si>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</si>
  <si>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</si>
  <si>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</si>
  <si>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</si>
  <si>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</si>
  <si>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</si>
  <si>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</si>
  <si>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</si>
  <si>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</si>
  <si>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</si>
  <si>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</si>
  <si>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</si>
  <si>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</si>
  <si>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</si>
  <si>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</si>
  <si>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</si>
  <si>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</si>
  <si>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</si>
  <si>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</si>
  <si>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</si>
  <si>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YSN Harrogate PP OMU</t>
  </si>
  <si>
    <t>CAI 1</t>
  </si>
  <si>
    <t>Liverpool North 2</t>
  </si>
  <si>
    <t>Swansea - Team 2</t>
  </si>
  <si>
    <t>Solihull A</t>
  </si>
  <si>
    <t>YSN Northallerton PP OMU</t>
  </si>
  <si>
    <t>CAI 2</t>
  </si>
  <si>
    <t>Liverpool North 3</t>
  </si>
  <si>
    <t>Swansea - Team 3</t>
  </si>
  <si>
    <t>Solihull B</t>
  </si>
  <si>
    <t>CAI 3</t>
  </si>
  <si>
    <t>Liverpool North 4</t>
  </si>
  <si>
    <t>Swansea - Team 4</t>
  </si>
  <si>
    <t>South Birmingham 1</t>
  </si>
  <si>
    <t>YSN Scarborough PP OMU</t>
  </si>
  <si>
    <t>UPW Leicestershire - N53</t>
  </si>
  <si>
    <t>CAI 4 PQIP</t>
  </si>
  <si>
    <t>Swansea - Team 5</t>
  </si>
  <si>
    <t>South Birmingham 2</t>
  </si>
  <si>
    <t>YSN Scarborough PP OMU2</t>
  </si>
  <si>
    <t>UPW Lincolnshire</t>
  </si>
  <si>
    <t>CAI 6 - N07</t>
  </si>
  <si>
    <t>Liverpool North 8 - N51</t>
  </si>
  <si>
    <t>Swansea - Team 6</t>
  </si>
  <si>
    <t>South Birmingham 3</t>
  </si>
  <si>
    <t>YSN Skipton PP OMU</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</si>
  <si>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</si>
  <si>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</si>
  <si>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</si>
  <si>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</si>
  <si>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</si>
  <si>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</si>
  <si>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</si>
  <si>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</si>
  <si>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</si>
  <si>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</si>
  <si>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</si>
  <si>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YSS Barnsley OMU 1</t>
  </si>
  <si>
    <t>Liverpool South 2</t>
  </si>
  <si>
    <t>Unallocated Team(N59)</t>
  </si>
  <si>
    <t>Wrexham - Team 1</t>
  </si>
  <si>
    <t>Staffordshire Short Term Custody</t>
  </si>
  <si>
    <t>YSS Barnsley OMU 2</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</si>
  <si>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</si>
  <si>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</si>
  <si>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</si>
  <si>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</si>
  <si>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</si>
  <si>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</si>
  <si>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</si>
  <si>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</si>
  <si>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</si>
  <si>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</si>
  <si>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</si>
  <si>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</si>
  <si>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</si>
  <si>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</si>
  <si>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</si>
  <si>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</si>
  <si>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</si>
  <si>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</si>
  <si>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</si>
  <si>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</si>
  <si>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</si>
  <si>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</si>
  <si>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</si>
  <si>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</si>
  <si>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</si>
  <si>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</si>
  <si>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</si>
  <si>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</si>
  <si>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</si>
  <si>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</si>
  <si>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YSS Rotherham OMU 1</t>
  </si>
  <si>
    <t>CRO 3</t>
  </si>
  <si>
    <t>Merseyside and Cheshire UPW Hub Team 2</t>
  </si>
  <si>
    <t>YSS Rotherham OMU 2</t>
  </si>
  <si>
    <t>CRO 4</t>
  </si>
  <si>
    <t>Merseyside and Cheshire UPW Hub Team 3</t>
  </si>
  <si>
    <t>YSS Rotherham OMU 3 - N55</t>
  </si>
  <si>
    <t>CRO 5 - N07</t>
  </si>
  <si>
    <t>Merseyside Resettle</t>
  </si>
  <si>
    <t>YSS Rotherham OMU 4 - N55</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</si>
  <si>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</si>
  <si>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</si>
  <si>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</si>
  <si>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</si>
  <si>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</si>
  <si>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</si>
  <si>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</si>
  <si>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</si>
  <si>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</si>
  <si>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</si>
  <si>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</si>
  <si>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</si>
  <si>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</si>
  <si>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</si>
  <si>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</si>
  <si>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</si>
  <si>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</si>
  <si>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</si>
  <si>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</si>
  <si>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</si>
  <si>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</si>
  <si>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</si>
  <si>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</si>
  <si>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</si>
  <si>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Sefton 2</t>
  </si>
  <si>
    <t>Wolverhampton and Walsall Team 5 PQuiP</t>
  </si>
  <si>
    <t>YSW Bfd Resettlement 2 - N55</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</si>
  <si>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</si>
  <si>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</si>
  <si>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</si>
  <si>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</si>
  <si>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</si>
  <si>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</si>
  <si>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</si>
  <si>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</si>
  <si>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</si>
  <si>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</si>
  <si>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</si>
  <si>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</si>
  <si>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</si>
  <si>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</si>
  <si>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</si>
  <si>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</si>
  <si>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</si>
  <si>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</si>
  <si>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</si>
  <si>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</si>
  <si>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</si>
  <si>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</si>
  <si>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</si>
  <si>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</si>
  <si>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</si>
  <si>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</si>
  <si>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</si>
  <si>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</si>
  <si>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</si>
  <si>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</si>
  <si>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</si>
  <si>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</si>
  <si>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</si>
  <si>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</si>
  <si>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</si>
  <si>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</si>
  <si>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</si>
  <si>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</si>
  <si>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</si>
  <si>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</si>
  <si>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</si>
  <si>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</si>
  <si>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</si>
  <si>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</si>
  <si>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</si>
  <si>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</si>
  <si>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</si>
  <si>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</si>
  <si>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</si>
  <si>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</si>
  <si>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</si>
  <si>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</si>
  <si>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</si>
  <si>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</si>
  <si>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</si>
  <si>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</si>
  <si>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</si>
  <si>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</si>
  <si>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</si>
  <si>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</si>
  <si>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</si>
  <si>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</si>
  <si>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</si>
  <si>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</si>
  <si>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</si>
  <si>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</si>
  <si>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</si>
  <si>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</si>
  <si>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</si>
  <si>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</si>
  <si>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</si>
  <si>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</si>
  <si>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</si>
  <si>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</si>
  <si>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</si>
  <si>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</si>
  <si>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</si>
  <si>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</si>
  <si>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</si>
  <si>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</si>
  <si>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</si>
  <si>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</si>
  <si>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</si>
  <si>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</si>
  <si>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</si>
  <si>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</si>
  <si>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</si>
  <si>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</si>
  <si>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</si>
  <si>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</si>
  <si>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</si>
  <si>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</si>
  <si>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</si>
  <si>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</si>
  <si>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</si>
  <si>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</si>
  <si>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</si>
  <si>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</si>
  <si>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</si>
  <si>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</si>
  <si>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</si>
  <si>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</si>
  <si>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</si>
  <si>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</si>
  <si>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</si>
  <si>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</si>
  <si>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</si>
  <si>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</si>
  <si>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</si>
  <si>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</si>
  <si>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</si>
  <si>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</si>
  <si>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</si>
  <si>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</si>
  <si>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</si>
  <si>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</si>
  <si>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</si>
  <si>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</si>
  <si>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</si>
  <si>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</si>
  <si>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</si>
  <si>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</si>
  <si>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</si>
  <si>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</si>
  <si>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</si>
  <si>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</si>
  <si>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</si>
  <si>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</si>
  <si>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</si>
  <si>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</si>
  <si>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</si>
  <si>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</si>
  <si>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</si>
  <si>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</si>
  <si>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</si>
  <si>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</si>
  <si>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</si>
  <si>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</si>
  <si>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</si>
  <si>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</si>
  <si>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</si>
  <si>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</si>
  <si>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</si>
  <si>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</si>
  <si>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</si>
  <si>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</si>
  <si>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</si>
  <si>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</si>
  <si>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</si>
  <si>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</si>
  <si>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</si>
  <si>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</si>
  <si>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</si>
  <si>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</si>
  <si>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</si>
  <si>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</si>
  <si>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</si>
  <si>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</si>
  <si>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</si>
  <si>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</si>
  <si>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</si>
  <si>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</si>
  <si>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</si>
  <si>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</si>
  <si>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</si>
  <si>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</si>
  <si>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</si>
  <si>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</si>
  <si>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</si>
  <si>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</si>
  <si>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</si>
  <si>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</si>
  <si>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</si>
  <si>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</si>
  <si>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</si>
  <si>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</si>
  <si>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</si>
  <si>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</si>
  <si>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</si>
  <si>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</si>
  <si>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</si>
  <si>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</si>
  <si>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</si>
  <si>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</si>
  <si>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</si>
  <si>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</si>
  <si>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</si>
  <si>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</si>
  <si>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</si>
  <si>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</si>
  <si>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</si>
  <si>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</si>
  <si>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</si>
  <si>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</si>
  <si>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</si>
  <si>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</si>
  <si>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</si>
  <si>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</si>
  <si>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</si>
  <si>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</si>
  <si>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</si>
  <si>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</si>
  <si>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</si>
  <si>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</si>
  <si>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</si>
  <si>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</si>
  <si>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</si>
  <si>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</si>
  <si>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</si>
  <si>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</si>
  <si>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</si>
  <si>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</si>
  <si>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</si>
  <si>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</si>
  <si>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</si>
  <si>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</si>
  <si>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</si>
  <si>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</si>
  <si>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</si>
  <si>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</si>
  <si>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</si>
  <si>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</si>
  <si>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</si>
  <si>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</si>
  <si>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</si>
  <si>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</si>
  <si>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</si>
  <si>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</si>
  <si>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</si>
  <si>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</si>
  <si>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</si>
  <si>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</si>
  <si>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</si>
  <si>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</si>
  <si>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</si>
  <si>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</si>
  <si>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</si>
  <si>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</si>
  <si>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</si>
  <si>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</si>
  <si>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</si>
  <si>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</si>
  <si>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</si>
  <si>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</si>
  <si>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</si>
  <si>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</si>
  <si>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</si>
  <si>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</si>
  <si>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</si>
  <si>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</si>
  <si>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</si>
  <si>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</si>
  <si>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</si>
  <si>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</si>
  <si>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</si>
  <si>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</si>
  <si>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</si>
  <si>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</si>
  <si>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</si>
  <si>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</si>
  <si>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</si>
  <si>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</si>
  <si>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</si>
  <si>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</si>
  <si>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</si>
  <si>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</si>
  <si>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</si>
  <si>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</si>
  <si>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</si>
  <si>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</si>
  <si>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</si>
  <si>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</si>
  <si>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</si>
  <si>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</si>
  <si>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</si>
  <si>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</si>
  <si>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</si>
  <si>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</si>
  <si>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</si>
  <si>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</si>
  <si>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</si>
  <si>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</si>
  <si>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</si>
  <si>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</si>
  <si>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</si>
  <si>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</si>
  <si>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</si>
  <si>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</si>
  <si>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</si>
  <si>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</si>
  <si>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</si>
  <si>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</si>
  <si>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</si>
  <si>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</si>
  <si>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</si>
  <si>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</si>
  <si>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</si>
  <si>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</si>
  <si>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</si>
  <si>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</si>
  <si>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</si>
  <si>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</si>
  <si>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</si>
  <si>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</si>
  <si>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</si>
  <si>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</si>
  <si>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</si>
  <si>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</si>
  <si>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</si>
  <si>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</si>
  <si>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</si>
  <si>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</si>
  <si>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</si>
  <si>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</si>
  <si>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</si>
  <si>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</si>
  <si>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</si>
  <si>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</si>
  <si>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</si>
  <si>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</si>
  <si>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</si>
  <si>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</si>
  <si>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</si>
  <si>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</si>
  <si>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</si>
  <si>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</si>
  <si>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</si>
  <si>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</si>
  <si>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</si>
  <si>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</si>
  <si>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</si>
  <si>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</si>
  <si>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</si>
  <si>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</si>
  <si>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</si>
  <si>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</si>
  <si>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</si>
  <si>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</si>
  <si>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</si>
  <si>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</si>
  <si>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</si>
  <si>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</si>
  <si>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</si>
  <si>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</si>
  <si>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</si>
  <si>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</si>
  <si>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</si>
  <si>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</si>
  <si>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</si>
  <si>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</si>
  <si>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</si>
  <si>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</si>
  <si>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</si>
  <si>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</si>
  <si>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</si>
  <si>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</si>
  <si>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</si>
  <si>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</si>
  <si>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</si>
  <si>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</si>
  <si>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</si>
  <si>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</si>
  <si>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</si>
  <si>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</si>
  <si>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</si>
  <si>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</si>
  <si>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</si>
  <si>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</si>
  <si>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</si>
  <si>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</si>
  <si>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</si>
  <si>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</si>
  <si>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</si>
  <si>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</si>
  <si>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</si>
  <si>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</si>
  <si>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</si>
  <si>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</si>
  <si>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</si>
  <si>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</si>
  <si>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</si>
  <si>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</si>
  <si>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</si>
  <si>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</si>
  <si>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</si>
  <si>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</si>
  <si>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</si>
  <si>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</si>
  <si>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</si>
  <si>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</si>
  <si>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</si>
  <si>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</si>
  <si>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</si>
  <si>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</si>
  <si>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</si>
  <si>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</si>
  <si>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</si>
  <si>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</si>
  <si>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</si>
  <si>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</si>
  <si>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</si>
  <si>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</si>
  <si>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</si>
  <si>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</si>
  <si>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</si>
  <si>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</si>
  <si>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</si>
  <si>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</si>
  <si>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</si>
  <si>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</si>
  <si>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</si>
  <si>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</si>
  <si>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</si>
  <si>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</si>
  <si>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</si>
  <si>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</si>
  <si>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</si>
  <si>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</si>
  <si>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</si>
  <si>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</si>
  <si>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</si>
  <si>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</si>
  <si>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</si>
  <si>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</si>
  <si>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</si>
  <si>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</si>
  <si>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</si>
  <si>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</si>
  <si>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</si>
  <si>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</si>
  <si>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</si>
  <si>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</si>
  <si>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</si>
  <si>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</si>
  <si>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</si>
  <si>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</si>
  <si>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</si>
  <si>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</si>
  <si>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</si>
  <si>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</si>
  <si>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</si>
  <si>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</si>
  <si>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</si>
  <si>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</si>
  <si>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</si>
  <si>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</si>
  <si>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</si>
  <si>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</si>
  <si>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</si>
  <si>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</si>
  <si>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</si>
  <si>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</si>
  <si>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</si>
  <si>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</si>
  <si>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</si>
  <si>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</si>
  <si>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</si>
  <si>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</si>
  <si>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</si>
  <si>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</si>
  <si>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</si>
  <si>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</si>
  <si>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</si>
  <si>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</si>
  <si>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</si>
  <si>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</si>
  <si>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</si>
  <si>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</si>
  <si>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</si>
  <si>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</si>
  <si>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</si>
  <si>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</si>
  <si>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</si>
  <si>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</si>
  <si>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</si>
  <si>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</si>
  <si>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</si>
  <si>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</si>
  <si>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</si>
  <si>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</si>
  <si>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</si>
  <si>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</si>
  <si>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</si>
  <si>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</si>
  <si>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</si>
  <si>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</si>
  <si>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</si>
  <si>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</si>
  <si>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</si>
  <si>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</si>
  <si>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</si>
  <si>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</si>
  <si>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</si>
  <si>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</si>
  <si>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</si>
  <si>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</si>
  <si>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</si>
  <si>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</si>
  <si>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</si>
  <si>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</si>
  <si>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</si>
  <si>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</si>
  <si>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</si>
  <si>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</si>
  <si>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</si>
  <si>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</si>
  <si>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</si>
  <si>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</si>
  <si>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</si>
  <si>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</si>
  <si>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</si>
  <si>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</si>
  <si>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</si>
  <si>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</si>
  <si>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</si>
  <si>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</si>
  <si>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</si>
  <si>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</si>
  <si>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</si>
  <si>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</si>
  <si>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</si>
  <si>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</si>
  <si>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</si>
  <si>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</si>
  <si>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</si>
  <si>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</si>
  <si>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</si>
  <si>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</si>
  <si>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</si>
  <si>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</si>
  <si>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</si>
  <si>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</si>
  <si>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</si>
  <si>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</si>
  <si>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</si>
  <si>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</si>
  <si>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</si>
  <si>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</si>
  <si>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</si>
  <si>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</si>
  <si>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</si>
  <si>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</si>
  <si>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</si>
  <si>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</si>
  <si>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</si>
  <si>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</si>
  <si>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</si>
  <si>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</si>
  <si>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</si>
  <si>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</si>
  <si>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</si>
  <si>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</si>
  <si>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</si>
  <si>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</si>
  <si>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</si>
  <si>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</si>
  <si>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</si>
  <si>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</si>
  <si>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</si>
  <si>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</si>
  <si>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</si>
  <si>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</si>
  <si>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</si>
  <si>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</si>
  <si>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</si>
  <si>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</si>
  <si>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</si>
  <si>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</si>
  <si>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</si>
  <si>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</si>
  <si>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</si>
  <si>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</si>
  <si>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</si>
  <si>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</si>
  <si>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</si>
  <si>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</si>
  <si>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</si>
  <si>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</si>
  <si>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</si>
  <si>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</si>
  <si>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</si>
  <si>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</si>
  <si>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</si>
  <si>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</si>
  <si>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</si>
  <si>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</si>
  <si>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</si>
  <si>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</si>
  <si>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</si>
  <si>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</si>
  <si>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</si>
  <si>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</si>
  <si>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</si>
  <si>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</si>
  <si>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</si>
  <si>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</si>
  <si>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</si>
  <si>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</si>
  <si>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</si>
  <si>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</si>
  <si>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</si>
  <si>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</si>
  <si>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</si>
  <si>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</si>
  <si>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</si>
  <si>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</si>
  <si>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</si>
  <si>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</si>
  <si>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</si>
  <si>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</si>
  <si>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</si>
  <si>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</si>
  <si>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</si>
  <si>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</si>
  <si>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</si>
  <si>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</si>
  <si>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</si>
  <si>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</si>
  <si>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</si>
  <si>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</si>
  <si>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</si>
  <si>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</si>
  <si>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</si>
  <si>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</si>
  <si>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</si>
  <si>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</si>
  <si>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PQiPs North Staffordshire Team</t>
  </si>
  <si>
    <t>PQiPs South Staffordshire Team</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</si>
  <si>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</si>
  <si>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</si>
  <si>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</si>
  <si>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</si>
  <si>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</si>
  <si>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</si>
  <si>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</si>
  <si>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</si>
  <si>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</si>
  <si>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</si>
  <si>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Hull Community Intergration Team 3</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</si>
  <si>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</si>
  <si>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</si>
  <si>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</si>
  <si>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</si>
  <si>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</si>
  <si>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</si>
  <si>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</si>
  <si>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</si>
  <si>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</si>
  <si>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</si>
  <si>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</si>
  <si>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</si>
  <si>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</si>
  <si>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</si>
  <si>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</si>
  <si>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</si>
  <si>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</si>
  <si>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</si>
  <si>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</si>
  <si>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</si>
  <si>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</si>
  <si>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</si>
  <si>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</si>
  <si>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</si>
  <si>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</si>
  <si>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</si>
  <si>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</si>
  <si>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</si>
  <si>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</si>
  <si>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</si>
  <si>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r>
      <t>Total (</t>
    </r>
    <r>
      <rPr>
        <b/>
        <sz val="10"/>
        <color rgb="FFFF0000"/>
        <rFont val="Arial"/>
        <family val="2"/>
      </rPr>
      <t>including unallocated cases</t>
    </r>
    <r>
      <rPr>
        <b/>
        <sz val="10"/>
        <color theme="1"/>
        <rFont val="Arial"/>
        <family val="2"/>
      </rPr>
      <t>)</t>
    </r>
  </si>
  <si>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</si>
  <si>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</si>
  <si>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</si>
  <si>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</si>
  <si>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</si>
  <si>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</si>
  <si>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</si>
  <si>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</si>
  <si>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</si>
  <si>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</si>
  <si>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</si>
  <si>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</si>
  <si>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</si>
  <si>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</si>
  <si>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</si>
  <si>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</si>
  <si>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</si>
  <si>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</si>
  <si>
    <t>PO CMS % of overall available</t>
  </si>
  <si>
    <t>PP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</si>
</sst>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15"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7" fillId="0" borderId="0" applyFont="0" applyFill="0" applyBorder="0" applyAlignment="0" applyProtection="0"/>
    <xf numFmtId="0" fontId="19" fillId="0" borderId="0" applyNumberFormat="0" applyFill="0" applyBorder="0" applyAlignment="0" applyProtection="0"/>
    <xf numFmtId="0" fontId="20" fillId="0" borderId="0"/>
    <xf numFmtId="0" fontId="24" fillId="0" borderId="0" applyNumberFormat="0" applyFill="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28" fillId="14" borderId="0" applyNumberFormat="0" applyBorder="0" applyAlignment="0" applyProtection="0"/>
    <xf numFmtId="0" fontId="29" fillId="15" borderId="0" applyNumberFormat="0" applyBorder="0" applyAlignment="0" applyProtection="0"/>
    <xf numFmtId="0" fontId="30" fillId="16" borderId="0" applyNumberFormat="0" applyBorder="0" applyAlignment="0" applyProtection="0"/>
    <xf numFmtId="0" fontId="31" fillId="17" borderId="39" applyNumberFormat="0" applyAlignment="0" applyProtection="0"/>
    <xf numFmtId="0" fontId="32" fillId="18" borderId="40" applyNumberFormat="0" applyAlignment="0" applyProtection="0"/>
    <xf numFmtId="0" fontId="33" fillId="18" borderId="39" applyNumberFormat="0" applyAlignment="0" applyProtection="0"/>
    <xf numFmtId="0" fontId="34" fillId="0" borderId="41" applyNumberFormat="0" applyFill="0" applyAlignment="0" applyProtection="0"/>
    <xf numFmtId="0" fontId="35" fillId="19" borderId="42" applyNumberFormat="0" applyAlignment="0" applyProtection="0"/>
    <xf numFmtId="0" fontId="36" fillId="0" borderId="0" applyNumberFormat="0" applyFill="0" applyBorder="0" applyAlignment="0" applyProtection="0"/>
    <xf numFmtId="0" fontId="20" fillId="20" borderId="43" applyNumberFormat="0" applyFont="0" applyAlignment="0" applyProtection="0"/>
    <xf numFmtId="0" fontId="37" fillId="0" borderId="0" applyNumberFormat="0" applyFill="0" applyBorder="0" applyAlignment="0" applyProtection="0"/>
    <xf numFmtId="0" fontId="38" fillId="0" borderId="44" applyNumberFormat="0" applyFill="0" applyAlignment="0" applyProtection="0"/>
    <xf numFmtId="0" fontId="39"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39"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39"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39"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39"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39"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20" fillId="44" borderId="0" applyNumberFormat="0" applyBorder="0" applyAlignment="0" applyProtection="0"/>
    <xf numFmtId="0" fontId="40" fillId="0" borderId="0" applyNumberFormat="0" applyFill="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29" fillId="15" borderId="0" applyNumberFormat="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63" fillId="0" borderId="0"/>
    <xf numFmtId="0" fontId="64" fillId="14" borderId="0" applyNumberFormat="0" applyBorder="0" applyAlignment="0" applyProtection="0"/>
    <xf numFmtId="0" fontId="65" fillId="15" borderId="0" applyNumberFormat="0" applyBorder="0" applyAlignment="0" applyProtection="0"/>
    <xf numFmtId="0" fontId="66" fillId="16" borderId="0" applyNumberFormat="0" applyBorder="0" applyAlignment="0" applyProtection="0"/>
    <xf numFmtId="0" fontId="67" fillId="17" borderId="39" applyNumberFormat="0" applyAlignment="0" applyProtection="0"/>
    <xf numFmtId="0" fontId="68" fillId="18" borderId="40" applyNumberFormat="0" applyAlignment="0" applyProtection="0"/>
    <xf numFmtId="0" fontId="69" fillId="18" borderId="39" applyNumberFormat="0" applyAlignment="0" applyProtection="0"/>
    <xf numFmtId="0" fontId="70" fillId="0" borderId="41" applyNumberFormat="0" applyFill="0" applyAlignment="0" applyProtection="0"/>
    <xf numFmtId="0" fontId="71" fillId="19" borderId="42" applyNumberFormat="0" applyAlignment="0" applyProtection="0"/>
    <xf numFmtId="0" fontId="72" fillId="0" borderId="0" applyNumberFormat="0" applyFill="0" applyBorder="0" applyAlignment="0" applyProtection="0"/>
    <xf numFmtId="0" fontId="63" fillId="20" borderId="43" applyNumberFormat="0" applyFont="0" applyAlignment="0" applyProtection="0"/>
    <xf numFmtId="0" fontId="73" fillId="0" borderId="0" applyNumberFormat="0" applyFill="0" applyBorder="0" applyAlignment="0" applyProtection="0"/>
    <xf numFmtId="0" fontId="74" fillId="0" borderId="44" applyNumberFormat="0" applyFill="0" applyAlignment="0" applyProtection="0"/>
    <xf numFmtId="0" fontId="75" fillId="21"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75" fillId="25"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75" fillId="29"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75" fillId="33" borderId="0" applyNumberFormat="0" applyBorder="0" applyAlignment="0" applyProtection="0"/>
    <xf numFmtId="0" fontId="63"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75" fillId="37" borderId="0" applyNumberFormat="0" applyBorder="0" applyAlignment="0" applyProtection="0"/>
    <xf numFmtId="0" fontId="63" fillId="38" borderId="0" applyNumberFormat="0" applyBorder="0" applyAlignment="0" applyProtection="0"/>
    <xf numFmtId="0" fontId="63" fillId="39" borderId="0" applyNumberFormat="0" applyBorder="0" applyAlignment="0" applyProtection="0"/>
    <xf numFmtId="0" fontId="63" fillId="40" borderId="0" applyNumberFormat="0" applyBorder="0" applyAlignment="0" applyProtection="0"/>
    <xf numFmtId="0" fontId="75" fillId="41" borderId="0" applyNumberFormat="0" applyBorder="0" applyAlignment="0" applyProtection="0"/>
    <xf numFmtId="0" fontId="63" fillId="42" borderId="0" applyNumberFormat="0" applyBorder="0" applyAlignment="0" applyProtection="0"/>
    <xf numFmtId="0" fontId="63" fillId="43" borderId="0" applyNumberFormat="0" applyBorder="0" applyAlignment="0" applyProtection="0"/>
    <xf numFmtId="0" fontId="6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cellStyleXfs>
  <cellXfs count="611">
    <xf numFmtId="0" fontId="0" fillId="0" borderId="0" xfId="0"/>
    <xf numFmtId="0" fontId="5" fillId="0" borderId="0" xfId="0" applyFont="1"/>
    <xf numFmtId="0" fontId="5" fillId="0" borderId="0" xfId="0" applyFont="1" applyAlignment="1">
      <alignment horizontal="center"/>
    </xf>
    <xf numFmtId="0" fontId="7" fillId="0" borderId="0" xfId="0" applyFont="1"/>
    <xf numFmtId="0" fontId="8" fillId="0" borderId="0" xfId="0" applyFont="1" applyAlignment="1">
      <alignment vertical="center"/>
    </xf>
    <xf numFmtId="14" fontId="5" fillId="0" borderId="0" xfId="0" applyNumberFormat="1" applyFont="1" applyAlignment="1">
      <alignment vertical="center"/>
    </xf>
    <xf numFmtId="0" fontId="0" fillId="0" borderId="0" xfId="0" applyAlignment="1">
      <alignment horizontal="center"/>
    </xf>
    <xf numFmtId="0" fontId="19" fillId="0" borderId="0" xfId="2"/>
    <xf numFmtId="0" fontId="0" fillId="4" borderId="0" xfId="0" applyFill="1"/>
    <xf numFmtId="0" fontId="0" fillId="0" borderId="0" xfId="0" applyAlignment="1">
      <alignment horizontal="left"/>
    </xf>
    <xf numFmtId="0" fontId="5" fillId="4" borderId="0" xfId="0" applyFont="1" applyFill="1"/>
    <xf numFmtId="0" fontId="5" fillId="4" borderId="0" xfId="0" applyFont="1" applyFill="1" applyAlignment="1">
      <alignment horizontal="center" vertical="top" wrapText="1"/>
    </xf>
    <xf numFmtId="0" fontId="21" fillId="4" borderId="2" xfId="0" applyFont="1" applyFill="1" applyBorder="1" applyAlignment="1">
      <alignment horizontal="center"/>
    </xf>
    <xf numFmtId="0" fontId="10" fillId="10" borderId="2" xfId="0" applyFont="1" applyFill="1" applyBorder="1" applyAlignment="1">
      <alignment horizontal="center" vertical="center"/>
    </xf>
    <xf numFmtId="0" fontId="10" fillId="4" borderId="0" xfId="0" applyFont="1" applyFill="1" applyAlignment="1">
      <alignment horizontal="center" vertical="top" wrapText="1"/>
    </xf>
    <xf numFmtId="164" fontId="5" fillId="0" borderId="1" xfId="0" applyNumberFormat="1" applyFont="1" applyBorder="1"/>
    <xf numFmtId="0" fontId="22" fillId="0" borderId="0" xfId="0" applyFont="1" applyAlignment="1">
      <alignment vertical="center" wrapText="1"/>
    </xf>
    <xf numFmtId="0" fontId="18" fillId="0" borderId="0" xfId="0" applyFont="1" applyAlignment="1">
      <alignment horizontal="center"/>
    </xf>
    <xf numFmtId="166" fontId="5" fillId="0" borderId="4" xfId="0" applyNumberFormat="1" applyFont="1" applyBorder="1" applyAlignment="1">
      <alignment horizontal="center" vertical="center"/>
    </xf>
    <xf numFmtId="166" fontId="5" fillId="0" borderId="0" xfId="0" applyNumberFormat="1" applyFont="1" applyAlignment="1">
      <alignment horizontal="center" vertical="center"/>
    </xf>
    <xf numFmtId="0" fontId="15" fillId="10" borderId="0" xfId="0" applyFont="1" applyFill="1" applyAlignment="1">
      <alignment horizontal="left" vertical="center" wrapText="1"/>
    </xf>
    <xf numFmtId="0" fontId="7" fillId="0" borderId="0" xfId="0" applyFont="1" applyAlignment="1">
      <alignment horizontal="center"/>
    </xf>
    <xf numFmtId="10" fontId="5" fillId="0" borderId="1" xfId="0" applyNumberFormat="1" applyFont="1" applyBorder="1" applyAlignment="1">
      <alignment horizontal="center"/>
    </xf>
    <xf numFmtId="0" fontId="0" fillId="4" borderId="1" xfId="0" applyFill="1" applyBorder="1"/>
    <xf numFmtId="0" fontId="9" fillId="10" borderId="25" xfId="0" applyFont="1" applyFill="1" applyBorder="1" applyAlignment="1">
      <alignment horizontal="center" vertical="center"/>
    </xf>
    <xf numFmtId="0" fontId="10" fillId="10" borderId="1" xfId="0" applyFont="1" applyFill="1" applyBorder="1"/>
    <xf numFmtId="0" fontId="16" fillId="5" borderId="1" xfId="0" applyFont="1" applyFill="1" applyBorder="1" applyAlignment="1">
      <alignment vertical="center" wrapText="1"/>
    </xf>
    <xf numFmtId="0" fontId="0" fillId="4" borderId="0" xfId="0" applyFill="1" applyAlignment="1">
      <alignment horizontal="center"/>
    </xf>
    <xf numFmtId="164" fontId="5"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4" fillId="0" borderId="0" xfId="0" applyFont="1"/>
    <xf numFmtId="0" fontId="9" fillId="10" borderId="2" xfId="0" applyFont="1" applyFill="1" applyBorder="1" applyAlignment="1">
      <alignment horizontal="center" vertical="center"/>
    </xf>
    <xf numFmtId="0" fontId="10" fillId="0" borderId="0" xfId="0" applyFont="1" applyAlignment="1">
      <alignment horizontal="center"/>
    </xf>
    <xf numFmtId="0" fontId="46" fillId="0" borderId="0" xfId="0" applyFont="1" applyAlignment="1">
      <alignment horizontal="center" vertical="center" wrapText="1"/>
    </xf>
    <xf numFmtId="0" fontId="0" fillId="0" borderId="1" xfId="0" applyBorder="1" applyAlignment="1">
      <alignment horizontal="center"/>
    </xf>
    <xf numFmtId="0" fontId="41" fillId="0" borderId="0" xfId="0" applyFont="1" applyAlignment="1">
      <alignment wrapText="1"/>
    </xf>
    <xf numFmtId="0" fontId="15" fillId="10" borderId="1" xfId="0" applyFont="1" applyFill="1" applyBorder="1" applyAlignment="1">
      <alignment horizontal="center" vertical="center" wrapText="1"/>
    </xf>
    <xf numFmtId="0" fontId="15" fillId="10" borderId="0" xfId="0" applyFont="1" applyFill="1" applyAlignment="1">
      <alignment horizontal="center"/>
    </xf>
    <xf numFmtId="0" fontId="42" fillId="10" borderId="1" xfId="0" applyFont="1" applyFill="1" applyBorder="1" applyAlignment="1">
      <alignment horizontal="center"/>
    </xf>
    <xf numFmtId="10" fontId="0" fillId="0" borderId="0" xfId="0" applyNumberFormat="1"/>
    <xf numFmtId="0" fontId="47" fillId="2" borderId="0" xfId="0" applyFont="1" applyFill="1" applyAlignment="1">
      <alignment horizontal="center"/>
    </xf>
    <xf numFmtId="0" fontId="10" fillId="0" borderId="0" xfId="0" applyFont="1" applyAlignment="1">
      <alignment horizontal="center" wrapText="1"/>
    </xf>
    <xf numFmtId="0" fontId="5" fillId="4" borderId="2" xfId="0" applyFont="1" applyFill="1" applyBorder="1"/>
    <xf numFmtId="0" fontId="5" fillId="4" borderId="1" xfId="0" applyFont="1" applyFill="1" applyBorder="1" applyAlignment="1">
      <alignment wrapText="1"/>
    </xf>
    <xf numFmtId="0" fontId="5" fillId="0" borderId="1" xfId="0" applyFont="1" applyBorder="1" applyAlignment="1">
      <alignment horizontal="center" wrapText="1"/>
    </xf>
    <xf numFmtId="0" fontId="48" fillId="0" borderId="0" xfId="0" applyFont="1"/>
    <xf numFmtId="166" fontId="5" fillId="46" borderId="0" xfId="0" applyNumberFormat="1" applyFont="1" applyFill="1" applyAlignment="1">
      <alignment horizontal="left" vertical="center" indent="14"/>
    </xf>
    <xf numFmtId="0" fontId="0" fillId="2" borderId="0" xfId="0" applyFill="1"/>
    <xf numFmtId="2" fontId="0" fillId="0" borderId="0" xfId="0" applyNumberFormat="1"/>
    <xf numFmtId="10" fontId="5" fillId="0" borderId="0" xfId="0" applyNumberFormat="1" applyFont="1"/>
    <xf numFmtId="0" fontId="15" fillId="10" borderId="17" xfId="0" applyFont="1" applyFill="1" applyBorder="1" applyAlignment="1">
      <alignment horizontal="center"/>
    </xf>
    <xf numFmtId="0" fontId="41" fillId="48" borderId="1" xfId="0" applyFont="1" applyFill="1" applyBorder="1" applyAlignment="1">
      <alignment horizontal="center" vertical="center"/>
    </xf>
    <xf numFmtId="0" fontId="0" fillId="0" borderId="0" xfId="0" applyProtection="1">
      <protection locked="0"/>
    </xf>
    <xf numFmtId="0" fontId="41" fillId="3" borderId="1" xfId="0" applyFont="1" applyFill="1" applyBorder="1" applyAlignment="1" applyProtection="1">
      <alignment horizontal="center" vertical="center" wrapText="1"/>
      <protection locked="0"/>
    </xf>
    <xf numFmtId="0" fontId="41" fillId="13" borderId="1" xfId="0" applyFont="1" applyFill="1" applyBorder="1" applyAlignment="1" applyProtection="1">
      <alignment horizontal="center" vertical="center" wrapText="1"/>
      <protection locked="0"/>
    </xf>
    <xf numFmtId="0" fontId="5" fillId="0" borderId="0" xfId="0" applyFont="1" applyAlignment="1">
      <alignment horizontal="center" vertical="center"/>
    </xf>
    <xf numFmtId="0" fontId="5" fillId="2" borderId="0" xfId="0" applyFont="1" applyFill="1" applyAlignment="1">
      <alignment horizontal="center" vertical="center"/>
    </xf>
    <xf numFmtId="0" fontId="7" fillId="2" borderId="0" xfId="0" applyFont="1" applyFill="1" applyAlignment="1">
      <alignment horizontal="center"/>
    </xf>
    <xf numFmtId="0" fontId="50" fillId="0" borderId="0" xfId="0" applyFont="1"/>
    <xf numFmtId="0" fontId="51" fillId="0" borderId="0" xfId="0" applyFont="1"/>
    <xf numFmtId="166" fontId="49" fillId="46" borderId="0" xfId="0" applyNumberFormat="1" applyFont="1" applyFill="1" applyAlignment="1">
      <alignment horizontal="left" vertical="center" indent="14"/>
    </xf>
    <xf numFmtId="0" fontId="23" fillId="0" borderId="1" xfId="0" applyFont="1" applyBorder="1"/>
    <xf numFmtId="0" fontId="42" fillId="10" borderId="1" xfId="0" quotePrefix="1" applyFont="1" applyFill="1" applyBorder="1" applyAlignment="1">
      <alignment horizontal="center" vertical="center" wrapText="1"/>
    </xf>
    <xf numFmtId="0" fontId="53" fillId="0" borderId="0" xfId="0" applyFont="1"/>
    <xf numFmtId="0" fontId="23" fillId="6" borderId="1" xfId="0" applyFont="1" applyFill="1" applyBorder="1"/>
    <xf numFmtId="10" fontId="23" fillId="0" borderId="1" xfId="0" applyNumberFormat="1" applyFont="1" applyBorder="1" applyAlignment="1">
      <alignment horizontal="center"/>
    </xf>
    <xf numFmtId="9" fontId="23" fillId="0" borderId="1" xfId="0" applyNumberFormat="1" applyFont="1" applyBorder="1" applyAlignment="1">
      <alignment horizontal="center"/>
    </xf>
    <xf numFmtId="0" fontId="23" fillId="12" borderId="18" xfId="0" quotePrefix="1" applyFont="1" applyFill="1" applyBorder="1" applyAlignment="1">
      <alignment horizontal="left" vertical="center" wrapText="1"/>
    </xf>
    <xf numFmtId="0" fontId="53" fillId="0" borderId="1" xfId="0" applyFont="1" applyBorder="1"/>
    <xf numFmtId="0" fontId="54" fillId="10" borderId="17" xfId="0" applyFont="1" applyFill="1" applyBorder="1" applyAlignment="1">
      <alignment horizontal="center" vertical="center" wrapText="1"/>
    </xf>
    <xf numFmtId="0" fontId="54" fillId="10" borderId="22" xfId="0" applyFont="1" applyFill="1" applyBorder="1" applyAlignment="1">
      <alignment horizontal="center" vertical="center" wrapText="1"/>
    </xf>
    <xf numFmtId="0" fontId="23" fillId="2" borderId="1" xfId="0" applyFont="1" applyFill="1" applyBorder="1" applyAlignment="1">
      <alignment horizontal="left" vertical="center" wrapText="1"/>
    </xf>
    <xf numFmtId="9" fontId="23" fillId="0" borderId="0" xfId="0" applyNumberFormat="1" applyFont="1" applyAlignment="1">
      <alignment horizontal="center" vertical="center"/>
    </xf>
    <xf numFmtId="9" fontId="23" fillId="2" borderId="1" xfId="0" applyNumberFormat="1" applyFont="1" applyFill="1" applyBorder="1" applyAlignment="1">
      <alignment horizontal="center" vertical="center" wrapText="1"/>
    </xf>
    <xf numFmtId="0" fontId="23" fillId="0" borderId="1" xfId="0" applyFont="1" applyBorder="1" applyAlignment="1">
      <alignment horizontal="center"/>
    </xf>
    <xf numFmtId="0" fontId="42" fillId="10" borderId="1" xfId="0" applyFont="1" applyFill="1" applyBorder="1" applyAlignment="1">
      <alignment horizontal="center" vertical="center"/>
    </xf>
    <xf numFmtId="1" fontId="23" fillId="0" borderId="1" xfId="1" applyNumberFormat="1" applyFont="1" applyBorder="1" applyAlignment="1">
      <alignment horizontal="center"/>
    </xf>
    <xf numFmtId="0" fontId="23" fillId="0" borderId="1" xfId="0" applyFont="1" applyBorder="1" applyAlignment="1">
      <alignment horizontal="center" vertical="center"/>
    </xf>
    <xf numFmtId="0" fontId="23" fillId="7" borderId="1" xfId="0" quotePrefix="1" applyFont="1" applyFill="1" applyBorder="1" applyAlignment="1">
      <alignment horizontal="left"/>
    </xf>
    <xf numFmtId="0" fontId="23" fillId="7" borderId="1" xfId="0" applyFont="1" applyFill="1" applyBorder="1" applyAlignment="1">
      <alignment horizontal="center"/>
    </xf>
    <xf numFmtId="1" fontId="23" fillId="7" borderId="1" xfId="0" applyNumberFormat="1" applyFont="1" applyFill="1" applyBorder="1" applyAlignment="1">
      <alignment horizontal="center"/>
    </xf>
    <xf numFmtId="10" fontId="23" fillId="7" borderId="1" xfId="0" applyNumberFormat="1" applyFont="1" applyFill="1" applyBorder="1" applyAlignment="1">
      <alignment horizontal="center"/>
    </xf>
    <xf numFmtId="0" fontId="23" fillId="12" borderId="1" xfId="0" quotePrefix="1" applyFont="1" applyFill="1" applyBorder="1" applyAlignment="1">
      <alignment horizontal="left" vertical="center" wrapText="1"/>
    </xf>
    <xf numFmtId="0" fontId="53" fillId="10" borderId="1" xfId="0" applyFont="1" applyFill="1" applyBorder="1"/>
    <xf numFmtId="1"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0" fontId="23" fillId="0" borderId="1" xfId="0" applyNumberFormat="1" applyFont="1" applyBorder="1" applyAlignment="1">
      <alignment horizontal="center" vertical="top" wrapText="1"/>
    </xf>
    <xf numFmtId="164" fontId="23" fillId="0" borderId="1" xfId="0" applyNumberFormat="1" applyFont="1" applyBorder="1" applyAlignment="1">
      <alignment horizontal="center" vertical="top" wrapText="1"/>
    </xf>
    <xf numFmtId="0" fontId="23" fillId="0" borderId="20" xfId="0" applyFont="1" applyBorder="1" applyAlignment="1">
      <alignment horizontal="center" vertical="center"/>
    </xf>
    <xf numFmtId="0" fontId="23" fillId="2" borderId="18" xfId="0" applyFont="1" applyFill="1" applyBorder="1" applyAlignment="1">
      <alignment horizontal="center" vertical="center"/>
    </xf>
    <xf numFmtId="0" fontId="23" fillId="0" borderId="0" xfId="0" applyFont="1"/>
    <xf numFmtId="10" fontId="23" fillId="2" borderId="1" xfId="0" applyNumberFormat="1" applyFont="1" applyFill="1" applyBorder="1" applyAlignment="1">
      <alignment horizontal="center" vertical="center"/>
    </xf>
    <xf numFmtId="0" fontId="57" fillId="48" borderId="1" xfId="0" applyFont="1" applyFill="1" applyBorder="1" applyAlignment="1">
      <alignment horizontal="center"/>
    </xf>
    <xf numFmtId="1" fontId="23" fillId="0" borderId="1" xfId="0" applyNumberFormat="1" applyFont="1" applyBorder="1" applyAlignment="1">
      <alignment horizontal="center"/>
    </xf>
    <xf numFmtId="0" fontId="42" fillId="10" borderId="17" xfId="0" applyFont="1" applyFill="1" applyBorder="1" applyAlignment="1">
      <alignment horizontal="center"/>
    </xf>
    <xf numFmtId="0" fontId="23" fillId="0" borderId="22" xfId="0" applyFont="1" applyBorder="1" applyAlignment="1">
      <alignment horizontal="center"/>
    </xf>
    <xf numFmtId="0" fontId="23" fillId="0" borderId="56" xfId="0" applyFont="1" applyBorder="1" applyAlignment="1">
      <alignment horizontal="center"/>
    </xf>
    <xf numFmtId="0" fontId="23" fillId="0" borderId="20" xfId="0" applyFont="1" applyBorder="1" applyAlignment="1">
      <alignment horizontal="center"/>
    </xf>
    <xf numFmtId="10" fontId="23" fillId="50" borderId="1" xfId="0" applyNumberFormat="1" applyFont="1" applyFill="1" applyBorder="1" applyAlignment="1">
      <alignment horizontal="center"/>
    </xf>
    <xf numFmtId="0" fontId="23" fillId="50" borderId="1" xfId="0" applyFont="1" applyFill="1" applyBorder="1" applyAlignment="1">
      <alignment horizontal="center"/>
    </xf>
    <xf numFmtId="9" fontId="23" fillId="50" borderId="1" xfId="0" applyNumberFormat="1" applyFont="1" applyFill="1" applyBorder="1" applyAlignment="1">
      <alignment horizontal="center"/>
    </xf>
    <xf numFmtId="9" fontId="23" fillId="50" borderId="1" xfId="0" applyNumberFormat="1" applyFont="1" applyFill="1" applyBorder="1" applyAlignment="1">
      <alignment horizontal="center" vertical="center"/>
    </xf>
    <xf numFmtId="9" fontId="23" fillId="50" borderId="18" xfId="0" applyNumberFormat="1" applyFont="1" applyFill="1" applyBorder="1" applyAlignment="1">
      <alignment horizontal="center" vertical="center"/>
    </xf>
    <xf numFmtId="165" fontId="23" fillId="50" borderId="1" xfId="1" applyNumberFormat="1" applyFont="1" applyFill="1" applyBorder="1" applyAlignment="1">
      <alignment horizontal="center"/>
    </xf>
    <xf numFmtId="0" fontId="23" fillId="50" borderId="1" xfId="0" applyFont="1" applyFill="1" applyBorder="1"/>
    <xf numFmtId="0" fontId="23" fillId="7" borderId="1" xfId="0" applyFont="1" applyFill="1" applyBorder="1"/>
    <xf numFmtId="9" fontId="23" fillId="7" borderId="1" xfId="0" applyNumberFormat="1" applyFont="1" applyFill="1" applyBorder="1" applyAlignment="1">
      <alignment horizontal="center"/>
    </xf>
    <xf numFmtId="1" fontId="23" fillId="7" borderId="1" xfId="0" applyNumberFormat="1" applyFont="1" applyFill="1" applyBorder="1" applyAlignment="1">
      <alignment horizontal="center" vertical="top" wrapText="1"/>
    </xf>
    <xf numFmtId="10" fontId="23" fillId="7" borderId="1" xfId="0" applyNumberFormat="1" applyFont="1" applyFill="1" applyBorder="1" applyAlignment="1">
      <alignment horizontal="center" vertical="top" wrapText="1"/>
    </xf>
    <xf numFmtId="0" fontId="57" fillId="50" borderId="1" xfId="0" applyFont="1" applyFill="1" applyBorder="1" applyAlignment="1">
      <alignment horizontal="center"/>
    </xf>
    <xf numFmtId="10" fontId="23" fillId="0" borderId="0" xfId="0" applyNumberFormat="1" applyFont="1" applyAlignment="1">
      <alignment horizontal="center"/>
    </xf>
    <xf numFmtId="164" fontId="23" fillId="0" borderId="18" xfId="0" applyNumberFormat="1" applyFont="1" applyBorder="1" applyAlignment="1">
      <alignment horizontal="center"/>
    </xf>
    <xf numFmtId="164" fontId="23" fillId="0" borderId="1" xfId="0" applyNumberFormat="1" applyFont="1" applyBorder="1" applyAlignment="1">
      <alignment horizontal="center"/>
    </xf>
    <xf numFmtId="0" fontId="23" fillId="8" borderId="1" xfId="0" applyFont="1" applyFill="1" applyBorder="1" applyAlignment="1">
      <alignment horizontal="center"/>
    </xf>
    <xf numFmtId="10" fontId="57" fillId="50" borderId="1" xfId="0" applyNumberFormat="1" applyFont="1" applyFill="1" applyBorder="1" applyAlignment="1">
      <alignment horizontal="center"/>
    </xf>
    <xf numFmtId="0" fontId="23" fillId="50" borderId="1" xfId="0" quotePrefix="1" applyFont="1" applyFill="1" applyBorder="1" applyAlignment="1">
      <alignment horizontal="left" vertical="center" wrapText="1"/>
    </xf>
    <xf numFmtId="10" fontId="57" fillId="7" borderId="1" xfId="0" applyNumberFormat="1" applyFont="1" applyFill="1" applyBorder="1" applyAlignment="1">
      <alignment horizontal="center"/>
    </xf>
    <xf numFmtId="10" fontId="57" fillId="7" borderId="1" xfId="0" applyNumberFormat="1" applyFont="1" applyFill="1" applyBorder="1" applyAlignment="1">
      <alignment horizontal="center" vertical="center"/>
    </xf>
    <xf numFmtId="0" fontId="23" fillId="50" borderId="18" xfId="0" quotePrefix="1" applyFont="1" applyFill="1" applyBorder="1" applyAlignment="1">
      <alignment horizontal="left" vertical="center" wrapText="1"/>
    </xf>
    <xf numFmtId="10" fontId="23" fillId="50" borderId="18" xfId="0" applyNumberFormat="1" applyFont="1" applyFill="1" applyBorder="1" applyAlignment="1">
      <alignment horizontal="center" vertical="center"/>
    </xf>
    <xf numFmtId="10" fontId="23" fillId="50" borderId="1" xfId="0" applyNumberFormat="1" applyFont="1" applyFill="1" applyBorder="1" applyAlignment="1">
      <alignment horizontal="center" vertical="center"/>
    </xf>
    <xf numFmtId="10" fontId="23" fillId="2" borderId="0" xfId="0" applyNumberFormat="1" applyFont="1" applyFill="1" applyAlignment="1">
      <alignment horizontal="center"/>
    </xf>
    <xf numFmtId="9" fontId="23" fillId="2" borderId="1" xfId="0" applyNumberFormat="1" applyFont="1" applyFill="1" applyBorder="1" applyAlignment="1">
      <alignment horizontal="center"/>
    </xf>
    <xf numFmtId="0" fontId="42" fillId="10" borderId="7" xfId="0" applyFont="1" applyFill="1" applyBorder="1" applyAlignment="1">
      <alignment horizontal="center"/>
    </xf>
    <xf numFmtId="0" fontId="42" fillId="10" borderId="57" xfId="0" applyFont="1" applyFill="1" applyBorder="1" applyAlignment="1">
      <alignment horizontal="center"/>
    </xf>
    <xf numFmtId="0" fontId="42" fillId="10" borderId="8" xfId="0" applyFont="1" applyFill="1" applyBorder="1" applyAlignment="1">
      <alignment horizontal="center"/>
    </xf>
    <xf numFmtId="0" fontId="42" fillId="10" borderId="18" xfId="0" applyFont="1" applyFill="1" applyBorder="1" applyAlignment="1">
      <alignment horizontal="center"/>
    </xf>
    <xf numFmtId="0" fontId="23" fillId="8" borderId="17" xfId="0" applyFont="1" applyFill="1" applyBorder="1" applyAlignment="1">
      <alignment horizontal="center"/>
    </xf>
    <xf numFmtId="0" fontId="23" fillId="8" borderId="3" xfId="0" applyFont="1" applyFill="1" applyBorder="1" applyAlignment="1">
      <alignment horizontal="center"/>
    </xf>
    <xf numFmtId="0" fontId="23" fillId="8" borderId="18" xfId="0" applyFont="1" applyFill="1" applyBorder="1" applyAlignment="1">
      <alignment horizontal="center"/>
    </xf>
    <xf numFmtId="0" fontId="23" fillId="0" borderId="0" xfId="0" applyFont="1" applyAlignment="1">
      <alignment horizontal="center" vertical="center"/>
    </xf>
    <xf numFmtId="0" fontId="23" fillId="0" borderId="0" xfId="0" applyFont="1" applyAlignment="1">
      <alignment horizontal="center" wrapText="1"/>
    </xf>
    <xf numFmtId="1" fontId="23" fillId="0" borderId="0" xfId="0" applyNumberFormat="1" applyFont="1" applyAlignment="1">
      <alignment horizontal="center"/>
    </xf>
    <xf numFmtId="1" fontId="57" fillId="50" borderId="1" xfId="0" applyNumberFormat="1" applyFont="1" applyFill="1" applyBorder="1" applyAlignment="1">
      <alignment horizontal="center" vertical="center"/>
    </xf>
    <xf numFmtId="0" fontId="57" fillId="50" borderId="1" xfId="0" applyFont="1" applyFill="1" applyBorder="1" applyAlignment="1">
      <alignment horizontal="center" vertical="center"/>
    </xf>
    <xf numFmtId="1" fontId="57" fillId="7" borderId="1" xfId="0" applyNumberFormat="1" applyFont="1" applyFill="1" applyBorder="1" applyAlignment="1">
      <alignment horizontal="center"/>
    </xf>
    <xf numFmtId="0" fontId="57" fillId="7" borderId="3" xfId="0" applyFont="1" applyFill="1" applyBorder="1" applyAlignment="1">
      <alignment horizontal="center"/>
    </xf>
    <xf numFmtId="165" fontId="57" fillId="7" borderId="1" xfId="0" applyNumberFormat="1" applyFont="1" applyFill="1" applyBorder="1" applyAlignment="1">
      <alignment horizontal="center"/>
    </xf>
    <xf numFmtId="0" fontId="53" fillId="0" borderId="2" xfId="0" applyFont="1" applyBorder="1"/>
    <xf numFmtId="0" fontId="0" fillId="0" borderId="2" xfId="0" applyBorder="1" applyAlignment="1">
      <alignment horizontal="left"/>
    </xf>
    <xf numFmtId="0" fontId="23" fillId="0" borderId="2" xfId="0" applyFont="1" applyBorder="1" applyAlignment="1">
      <alignment horizontal="left"/>
    </xf>
    <xf numFmtId="0" fontId="57" fillId="48" borderId="1" xfId="0" applyFont="1" applyFill="1" applyBorder="1" applyAlignment="1">
      <alignment horizontal="center" vertical="center"/>
    </xf>
    <xf numFmtId="0" fontId="57" fillId="0" borderId="0" xfId="0" applyFont="1" applyAlignment="1">
      <alignment wrapText="1"/>
    </xf>
    <xf numFmtId="0" fontId="23" fillId="0" borderId="18" xfId="0" applyFont="1" applyBorder="1" applyAlignment="1">
      <alignment horizontal="center"/>
    </xf>
    <xf numFmtId="1" fontId="29" fillId="51" borderId="1" xfId="66" applyNumberFormat="1" applyFill="1" applyBorder="1" applyAlignment="1">
      <alignment horizontal="center"/>
    </xf>
    <xf numFmtId="0" fontId="23" fillId="0" borderId="9" xfId="0" applyFont="1" applyBorder="1"/>
    <xf numFmtId="9" fontId="23" fillId="0" borderId="10" xfId="0" applyNumberFormat="1" applyFont="1" applyBorder="1" applyAlignment="1">
      <alignment horizontal="center"/>
    </xf>
    <xf numFmtId="10" fontId="23" fillId="0" borderId="0" xfId="0" applyNumberFormat="1" applyFont="1"/>
    <xf numFmtId="9" fontId="57" fillId="50" borderId="1" xfId="0" applyNumberFormat="1" applyFont="1" applyFill="1" applyBorder="1" applyAlignment="1">
      <alignment horizontal="center"/>
    </xf>
    <xf numFmtId="0" fontId="57" fillId="50" borderId="45" xfId="0" applyFont="1" applyFill="1" applyBorder="1"/>
    <xf numFmtId="9" fontId="57" fillId="50" borderId="45" xfId="0" applyNumberFormat="1" applyFont="1" applyFill="1" applyBorder="1" applyAlignment="1">
      <alignment horizontal="center"/>
    </xf>
    <xf numFmtId="10" fontId="57" fillId="50" borderId="45" xfId="0" applyNumberFormat="1" applyFont="1" applyFill="1" applyBorder="1" applyAlignment="1">
      <alignment horizontal="center"/>
    </xf>
    <xf numFmtId="0" fontId="53" fillId="0" borderId="0" xfId="0" applyFont="1" applyAlignment="1">
      <alignment horizontal="center"/>
    </xf>
    <xf numFmtId="0" fontId="57" fillId="5" borderId="1" xfId="0" applyFont="1" applyFill="1" applyBorder="1" applyAlignment="1">
      <alignment horizontal="left" vertical="top" wrapText="1"/>
    </xf>
    <xf numFmtId="9" fontId="23" fillId="5" borderId="0" xfId="0" applyNumberFormat="1" applyFont="1" applyFill="1" applyAlignment="1">
      <alignment horizontal="center"/>
    </xf>
    <xf numFmtId="9" fontId="23" fillId="5" borderId="1" xfId="0" applyNumberFormat="1" applyFont="1" applyFill="1" applyBorder="1" applyAlignment="1">
      <alignment horizontal="center"/>
    </xf>
    <xf numFmtId="0" fontId="54" fillId="10" borderId="1" xfId="0" applyFont="1" applyFill="1" applyBorder="1" applyAlignment="1">
      <alignment horizontal="center" vertical="center" wrapText="1"/>
    </xf>
    <xf numFmtId="0" fontId="54" fillId="10" borderId="2" xfId="0" applyFont="1" applyFill="1" applyBorder="1" applyAlignment="1">
      <alignment horizontal="center" vertical="center" wrapText="1"/>
    </xf>
    <xf numFmtId="0" fontId="23" fillId="12" borderId="1" xfId="0" applyFont="1" applyFill="1" applyBorder="1" applyAlignment="1">
      <alignment horizontal="center"/>
    </xf>
    <xf numFmtId="10" fontId="23" fillId="12" borderId="1" xfId="0" applyNumberFormat="1" applyFont="1" applyFill="1" applyBorder="1" applyAlignment="1">
      <alignment horizontal="center"/>
    </xf>
    <xf numFmtId="1" fontId="23" fillId="5" borderId="1" xfId="0" applyNumberFormat="1" applyFont="1" applyFill="1" applyBorder="1" applyAlignment="1">
      <alignment horizontal="center" vertical="top" wrapText="1"/>
    </xf>
    <xf numFmtId="10" fontId="23" fillId="5" borderId="1" xfId="0" applyNumberFormat="1" applyFont="1" applyFill="1" applyBorder="1" applyAlignment="1">
      <alignment horizontal="center" vertical="top" wrapText="1"/>
    </xf>
    <xf numFmtId="0" fontId="23" fillId="5" borderId="1" xfId="0" applyFont="1" applyFill="1" applyBorder="1" applyAlignment="1">
      <alignment horizontal="center" vertical="top" wrapText="1"/>
    </xf>
    <xf numFmtId="10" fontId="23" fillId="12" borderId="1" xfId="0" applyNumberFormat="1" applyFont="1" applyFill="1" applyBorder="1" applyAlignment="1">
      <alignment horizontal="center" vertical="top" wrapText="1"/>
    </xf>
    <xf numFmtId="0" fontId="42" fillId="0" borderId="0" xfId="0" applyFont="1"/>
    <xf numFmtId="0" fontId="42" fillId="10" borderId="1" xfId="0" applyFont="1" applyFill="1" applyBorder="1" applyAlignment="1">
      <alignment horizontal="center" wrapText="1"/>
    </xf>
    <xf numFmtId="165" fontId="23" fillId="0" borderId="1" xfId="0" applyNumberFormat="1" applyFont="1" applyBorder="1" applyAlignment="1">
      <alignment horizontal="center"/>
    </xf>
    <xf numFmtId="0" fontId="23" fillId="10" borderId="1" xfId="0" applyFont="1" applyFill="1" applyBorder="1"/>
    <xf numFmtId="10" fontId="53" fillId="0" borderId="0" xfId="0" applyNumberFormat="1" applyFont="1"/>
    <xf numFmtId="0" fontId="54" fillId="0" borderId="0" xfId="0" applyFont="1" applyAlignment="1">
      <alignment horizontal="center" vertical="center" wrapText="1"/>
    </xf>
    <xf numFmtId="0" fontId="23" fillId="0" borderId="0" xfId="0" applyFont="1" applyAlignment="1">
      <alignment horizontal="center"/>
    </xf>
    <xf numFmtId="9" fontId="23" fillId="0" borderId="1" xfId="0" applyNumberFormat="1" applyFont="1" applyBorder="1"/>
    <xf numFmtId="0" fontId="57" fillId="50" borderId="1" xfId="0" applyFont="1" applyFill="1" applyBorder="1"/>
    <xf numFmtId="0" fontId="15" fillId="10" borderId="45" xfId="0" quotePrefix="1" applyFont="1" applyFill="1" applyBorder="1" applyAlignment="1">
      <alignment horizontal="center" vertical="center" wrapText="1"/>
    </xf>
    <xf numFmtId="0" fontId="15" fillId="10" borderId="45" xfId="0" applyFont="1" applyFill="1" applyBorder="1" applyAlignment="1">
      <alignment horizontal="center" vertical="center" wrapText="1"/>
    </xf>
    <xf numFmtId="0" fontId="23" fillId="0" borderId="32" xfId="0" applyFont="1" applyBorder="1" applyAlignment="1">
      <alignment horizontal="center"/>
    </xf>
    <xf numFmtId="165" fontId="23" fillId="0" borderId="20" xfId="1" applyNumberFormat="1" applyFont="1" applyBorder="1" applyAlignment="1">
      <alignment horizontal="center"/>
    </xf>
    <xf numFmtId="0" fontId="57" fillId="50" borderId="30" xfId="0" quotePrefix="1" applyFont="1" applyFill="1" applyBorder="1" applyAlignment="1">
      <alignment horizontal="left"/>
    </xf>
    <xf numFmtId="0" fontId="57" fillId="50" borderId="46" xfId="0" applyFont="1" applyFill="1" applyBorder="1" applyAlignment="1">
      <alignment horizontal="center"/>
    </xf>
    <xf numFmtId="165" fontId="57" fillId="50" borderId="48" xfId="1" applyNumberFormat="1" applyFont="1" applyFill="1" applyBorder="1" applyAlignment="1">
      <alignment horizontal="center"/>
    </xf>
    <xf numFmtId="0" fontId="59" fillId="5" borderId="1" xfId="0" applyFont="1" applyFill="1" applyBorder="1" applyAlignment="1">
      <alignment vertical="center" wrapText="1"/>
    </xf>
    <xf numFmtId="0" fontId="57" fillId="5" borderId="1" xfId="0" applyFont="1" applyFill="1" applyBorder="1"/>
    <xf numFmtId="2" fontId="57" fillId="50" borderId="1" xfId="0" applyNumberFormat="1" applyFont="1" applyFill="1" applyBorder="1"/>
    <xf numFmtId="10" fontId="57" fillId="50" borderId="1" xfId="0" applyNumberFormat="1" applyFont="1" applyFill="1" applyBorder="1"/>
    <xf numFmtId="0" fontId="56"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15" fillId="10" borderId="9" xfId="0" applyFont="1" applyFill="1" applyBorder="1" applyAlignment="1">
      <alignment horizontal="center" vertical="center" wrapText="1"/>
    </xf>
    <xf numFmtId="0" fontId="15" fillId="10" borderId="10" xfId="0" quotePrefix="1" applyFont="1" applyFill="1" applyBorder="1" applyAlignment="1">
      <alignment horizontal="center" vertical="center" wrapText="1"/>
    </xf>
    <xf numFmtId="0" fontId="43" fillId="0" borderId="0" xfId="0" applyFont="1" applyAlignment="1">
      <alignment vertical="center" wrapText="1"/>
    </xf>
    <xf numFmtId="0" fontId="7" fillId="0" borderId="0" xfId="0" applyFont="1" applyAlignment="1">
      <alignment wrapText="1"/>
    </xf>
    <xf numFmtId="1" fontId="23" fillId="0" borderId="2" xfId="0" applyNumberFormat="1" applyFont="1" applyBorder="1" applyAlignment="1">
      <alignment horizontal="center"/>
    </xf>
    <xf numFmtId="0" fontId="54" fillId="10" borderId="47" xfId="0" applyFont="1" applyFill="1" applyBorder="1" applyAlignment="1">
      <alignment horizontal="center" vertical="center" wrapText="1"/>
    </xf>
    <xf numFmtId="0" fontId="54" fillId="10" borderId="23" xfId="0" applyFont="1" applyFill="1" applyBorder="1" applyAlignment="1">
      <alignment horizontal="center" vertical="center" wrapText="1"/>
    </xf>
    <xf numFmtId="9" fontId="5" fillId="0" borderId="10" xfId="0" applyNumberFormat="1" applyFont="1" applyBorder="1" applyAlignment="1">
      <alignment horizontal="center" vertical="center"/>
    </xf>
    <xf numFmtId="0" fontId="6" fillId="50" borderId="29" xfId="0" applyFont="1" applyFill="1" applyBorder="1" applyAlignment="1">
      <alignment vertical="center"/>
    </xf>
    <xf numFmtId="9" fontId="6" fillId="50" borderId="14"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1" fontId="6" fillId="50" borderId="15" xfId="0" applyNumberFormat="1" applyFont="1" applyFill="1" applyBorder="1" applyAlignment="1">
      <alignment horizontal="center" vertical="center"/>
    </xf>
    <xf numFmtId="1" fontId="6" fillId="50" borderId="16" xfId="0" applyNumberFormat="1" applyFont="1" applyFill="1" applyBorder="1" applyAlignment="1">
      <alignment horizontal="center" vertical="center"/>
    </xf>
    <xf numFmtId="1" fontId="5" fillId="0" borderId="9" xfId="0" applyNumberFormat="1" applyFont="1" applyBorder="1" applyAlignment="1">
      <alignment horizontal="center" vertical="center"/>
    </xf>
    <xf numFmtId="1" fontId="5" fillId="0" borderId="25" xfId="0" applyNumberFormat="1" applyFont="1" applyBorder="1" applyAlignment="1">
      <alignment horizontal="center" vertical="center"/>
    </xf>
    <xf numFmtId="0" fontId="15" fillId="10" borderId="25" xfId="0" applyFont="1" applyFill="1" applyBorder="1" applyAlignment="1">
      <alignment horizontal="center" vertical="center" wrapText="1"/>
    </xf>
    <xf numFmtId="10" fontId="23" fillId="5" borderId="1" xfId="0" applyNumberFormat="1" applyFont="1" applyFill="1" applyBorder="1" applyAlignment="1">
      <alignment horizontal="center" vertical="center"/>
    </xf>
    <xf numFmtId="10" fontId="23" fillId="5" borderId="1" xfId="0" applyNumberFormat="1" applyFont="1" applyFill="1" applyBorder="1" applyAlignment="1">
      <alignment horizontal="center"/>
    </xf>
    <xf numFmtId="14" fontId="5" fillId="2" borderId="0" xfId="0" applyNumberFormat="1" applyFont="1" applyFill="1" applyAlignment="1">
      <alignment horizontal="center" vertical="center" wrapText="1"/>
    </xf>
    <xf numFmtId="0" fontId="11" fillId="2" borderId="0" xfId="0" applyFont="1" applyFill="1" applyAlignment="1">
      <alignment horizontal="center" vertical="center" wrapText="1"/>
    </xf>
    <xf numFmtId="9" fontId="57" fillId="5" borderId="1" xfId="0" applyNumberFormat="1" applyFont="1" applyFill="1" applyBorder="1" applyAlignment="1">
      <alignment horizontal="center"/>
    </xf>
    <xf numFmtId="9" fontId="57" fillId="5" borderId="1" xfId="0" applyNumberFormat="1" applyFont="1" applyFill="1" applyBorder="1"/>
    <xf numFmtId="0" fontId="52" fillId="0" borderId="0" xfId="2" quotePrefix="1" applyFont="1" applyAlignment="1" applyProtection="1">
      <protection locked="0"/>
    </xf>
    <xf numFmtId="0" fontId="52" fillId="0" borderId="0" xfId="2" applyFont="1" applyAlignment="1"/>
    <xf numFmtId="10" fontId="23" fillId="0" borderId="1" xfId="0" applyNumberFormat="1" applyFont="1" applyBorder="1" applyAlignment="1">
      <alignment horizontal="center" vertical="center"/>
    </xf>
    <xf numFmtId="0" fontId="10" fillId="10" borderId="1" xfId="0" applyFont="1" applyFill="1" applyBorder="1" applyAlignment="1">
      <alignment horizontal="center"/>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56" fillId="2" borderId="1" xfId="0" applyFont="1" applyFill="1" applyBorder="1" applyAlignment="1">
      <alignment horizontal="center" vertical="center" wrapText="1"/>
    </xf>
    <xf numFmtId="0" fontId="10" fillId="10" borderId="0" xfId="0" applyFont="1" applyFill="1" applyAlignment="1">
      <alignment horizontal="center" vertical="center" wrapText="1"/>
    </xf>
    <xf numFmtId="0" fontId="57" fillId="50" borderId="1" xfId="0" applyFont="1" applyFill="1" applyBorder="1" applyAlignment="1">
      <alignment wrapText="1"/>
    </xf>
    <xf numFmtId="0" fontId="59" fillId="50" borderId="1" xfId="0" applyFont="1" applyFill="1" applyBorder="1" applyAlignment="1">
      <alignment vertical="center" wrapText="1"/>
    </xf>
    <xf numFmtId="0" fontId="42" fillId="10" borderId="1" xfId="0" applyFont="1" applyFill="1" applyBorder="1" applyAlignment="1">
      <alignment horizontal="center" vertical="center" wrapText="1"/>
    </xf>
    <xf numFmtId="0" fontId="15" fillId="10" borderId="1" xfId="0" applyFont="1" applyFill="1" applyBorder="1" applyAlignment="1">
      <alignment horizontal="center" vertical="center"/>
    </xf>
    <xf numFmtId="0" fontId="21" fillId="4" borderId="0" xfId="0" applyFont="1" applyFill="1" applyAlignment="1">
      <alignment horizontal="center"/>
    </xf>
    <xf numFmtId="10" fontId="5" fillId="4" borderId="1" xfId="0" applyNumberFormat="1" applyFont="1" applyFill="1" applyBorder="1"/>
    <xf numFmtId="10" fontId="7" fillId="0" borderId="1" xfId="0" applyNumberFormat="1" applyFont="1" applyBorder="1"/>
    <xf numFmtId="0" fontId="53" fillId="0" borderId="17" xfId="0" applyFont="1" applyBorder="1"/>
    <xf numFmtId="165" fontId="0" fillId="0" borderId="0" xfId="0" applyNumberFormat="1"/>
    <xf numFmtId="9" fontId="0" fillId="0" borderId="0" xfId="0" applyNumberFormat="1"/>
    <xf numFmtId="1" fontId="5" fillId="0" borderId="0" xfId="0" applyNumberFormat="1" applyFont="1"/>
    <xf numFmtId="9" fontId="53" fillId="0" borderId="0" xfId="0" applyNumberFormat="1" applyFont="1" applyAlignment="1">
      <alignment horizontal="center"/>
    </xf>
    <xf numFmtId="0" fontId="23" fillId="52" borderId="1" xfId="0" applyFont="1" applyFill="1" applyBorder="1"/>
    <xf numFmtId="0" fontId="23" fillId="52" borderId="1" xfId="0" quotePrefix="1" applyFont="1" applyFill="1" applyBorder="1" applyAlignment="1">
      <alignment horizontal="left"/>
    </xf>
    <xf numFmtId="0" fontId="23" fillId="0" borderId="2" xfId="0" applyFont="1" applyBorder="1"/>
    <xf numFmtId="0" fontId="7" fillId="0" borderId="2" xfId="0" applyFont="1" applyBorder="1"/>
    <xf numFmtId="164" fontId="23" fillId="2" borderId="1" xfId="0" applyNumberFormat="1" applyFont="1" applyFill="1" applyBorder="1" applyAlignment="1">
      <alignment horizontal="center"/>
    </xf>
    <xf numFmtId="1" fontId="23" fillId="2" borderId="1" xfId="0" applyNumberFormat="1" applyFont="1" applyFill="1" applyBorder="1" applyAlignment="1">
      <alignment horizontal="center"/>
    </xf>
    <xf numFmtId="164" fontId="23" fillId="2" borderId="1" xfId="0" applyNumberFormat="1" applyFont="1" applyFill="1" applyBorder="1" applyAlignment="1">
      <alignment horizontal="center" vertical="center"/>
    </xf>
    <xf numFmtId="164" fontId="23" fillId="2" borderId="18" xfId="0" applyNumberFormat="1" applyFont="1" applyFill="1" applyBorder="1" applyAlignment="1">
      <alignment horizontal="center" vertical="center"/>
    </xf>
    <xf numFmtId="1" fontId="23" fillId="2" borderId="0" xfId="0" applyNumberFormat="1" applyFont="1" applyFill="1" applyAlignment="1">
      <alignment horizontal="center"/>
    </xf>
    <xf numFmtId="164" fontId="23" fillId="2" borderId="0" xfId="0" applyNumberFormat="1" applyFont="1" applyFill="1" applyAlignment="1">
      <alignment horizontal="center" vertical="center"/>
    </xf>
    <xf numFmtId="1" fontId="0" fillId="0" borderId="0" xfId="0" applyNumberFormat="1"/>
    <xf numFmtId="0" fontId="77" fillId="0" borderId="0" xfId="0" quotePrefix="1" applyFont="1" applyAlignment="1">
      <alignment vertical="center"/>
    </xf>
    <xf numFmtId="166" fontId="5" fillId="0" borderId="0" xfId="0" applyNumberFormat="1" applyFont="1" applyAlignment="1">
      <alignment horizontal="left" vertical="center" indent="14"/>
    </xf>
    <xf numFmtId="0" fontId="43" fillId="3" borderId="1" xfId="0" applyFont="1" applyFill="1" applyBorder="1" applyAlignment="1" applyProtection="1">
      <alignment horizontal="center" vertical="center" wrapText="1"/>
      <protection locked="0"/>
    </xf>
    <xf numFmtId="0" fontId="80" fillId="3" borderId="1" xfId="0" applyFont="1" applyFill="1" applyBorder="1" applyAlignment="1" applyProtection="1">
      <alignment horizontal="center" vertical="center" wrapText="1"/>
      <protection locked="0"/>
    </xf>
    <xf numFmtId="0" fontId="61" fillId="0" borderId="0" xfId="0" quotePrefix="1" applyFont="1" applyAlignment="1">
      <alignment horizontal="left" vertical="center" wrapText="1" indent="14"/>
    </xf>
    <xf numFmtId="0" fontId="2" fillId="0" borderId="0" xfId="0" applyFont="1"/>
    <xf numFmtId="0" fontId="82" fillId="0" borderId="0" xfId="0" applyFont="1"/>
    <xf numFmtId="9" fontId="2" fillId="0" borderId="0" xfId="1" applyFont="1"/>
    <xf numFmtId="0" fontId="83" fillId="0" borderId="1" xfId="0" applyFont="1" applyBorder="1" applyAlignment="1">
      <alignment horizontal="center"/>
    </xf>
    <xf numFmtId="0" fontId="83" fillId="0" borderId="2" xfId="0" applyFont="1" applyBorder="1" applyAlignment="1">
      <alignment horizontal="center"/>
    </xf>
    <xf numFmtId="0" fontId="83" fillId="0" borderId="0" xfId="0" applyFont="1" applyAlignment="1">
      <alignment horizontal="center"/>
    </xf>
    <xf numFmtId="0" fontId="38" fillId="0" borderId="0" xfId="0" applyFont="1"/>
    <xf numFmtId="0" fontId="58" fillId="0" borderId="0" xfId="0" quotePrefix="1" applyFont="1" applyAlignment="1">
      <alignment horizontal="center" vertical="top"/>
    </xf>
    <xf numFmtId="166" fontId="5" fillId="11" borderId="0" xfId="0" applyNumberFormat="1" applyFont="1" applyFill="1" applyAlignment="1">
      <alignment horizontal="left" vertical="center" indent="19"/>
    </xf>
    <xf numFmtId="0" fontId="2" fillId="3" borderId="0" xfId="0" applyFont="1" applyFill="1"/>
    <xf numFmtId="0" fontId="58" fillId="53" borderId="0" xfId="0" quotePrefix="1" applyFont="1" applyFill="1" applyAlignment="1">
      <alignment horizontal="center" vertical="top" wrapText="1"/>
    </xf>
    <xf numFmtId="0" fontId="81" fillId="53" borderId="0" xfId="0" quotePrefix="1" applyFont="1" applyFill="1" applyAlignment="1">
      <alignment horizontal="center" vertical="center" wrapText="1"/>
    </xf>
    <xf numFmtId="0" fontId="81" fillId="0" borderId="0" xfId="0" quotePrefix="1" applyFont="1" applyAlignment="1">
      <alignment horizontal="center" vertical="center" wrapText="1"/>
    </xf>
    <xf numFmtId="166" fontId="5" fillId="0" borderId="0" xfId="0" applyNumberFormat="1" applyFont="1" applyAlignment="1">
      <alignment horizontal="left" vertical="center" indent="20"/>
    </xf>
    <xf numFmtId="166" fontId="5" fillId="11" borderId="0" xfId="0" applyNumberFormat="1" applyFont="1" applyFill="1" applyAlignment="1">
      <alignment horizontal="center" vertical="center"/>
    </xf>
    <xf numFmtId="0" fontId="85" fillId="53" borderId="0" xfId="0" quotePrefix="1" applyFont="1" applyFill="1" applyAlignment="1">
      <alignment horizontal="center" vertical="center" wrapText="1"/>
    </xf>
    <xf numFmtId="0" fontId="85" fillId="0" borderId="0" xfId="0" quotePrefix="1" applyFont="1" applyAlignment="1">
      <alignment horizontal="center" vertical="center" wrapText="1"/>
    </xf>
    <xf numFmtId="166" fontId="5" fillId="0" borderId="0" xfId="0" applyNumberFormat="1" applyFont="1" applyAlignment="1">
      <alignment horizontal="left" vertical="center" indent="19"/>
    </xf>
    <xf numFmtId="166" fontId="5" fillId="0" borderId="0" xfId="0" applyNumberFormat="1" applyFont="1" applyAlignment="1">
      <alignment horizontal="left" vertical="center" indent="15"/>
    </xf>
    <xf numFmtId="166" fontId="5" fillId="0" borderId="0" xfId="0" applyNumberFormat="1" applyFont="1" applyAlignment="1">
      <alignment horizontal="left" vertical="center" indent="4"/>
    </xf>
    <xf numFmtId="0" fontId="85" fillId="0" borderId="0" xfId="0" quotePrefix="1" applyFont="1" applyAlignment="1">
      <alignment vertical="center" wrapText="1"/>
    </xf>
    <xf numFmtId="166" fontId="5" fillId="0" borderId="0" xfId="0" applyNumberFormat="1" applyFont="1" applyAlignment="1">
      <alignment vertical="center"/>
    </xf>
    <xf numFmtId="166" fontId="5" fillId="0" borderId="0" xfId="0" applyNumberFormat="1" applyFont="1" applyAlignment="1">
      <alignment horizontal="left" vertical="center" indent="13"/>
    </xf>
    <xf numFmtId="166" fontId="5" fillId="0" borderId="0" xfId="0" applyNumberFormat="1" applyFont="1" applyAlignment="1">
      <alignment horizontal="left" vertical="center" indent="11"/>
    </xf>
    <xf numFmtId="0" fontId="42" fillId="0" borderId="0" xfId="0" applyFont="1" applyAlignment="1">
      <alignment horizontal="center" vertical="center" wrapText="1"/>
    </xf>
    <xf numFmtId="166" fontId="5" fillId="0" borderId="0" xfId="0" applyNumberFormat="1" applyFont="1" applyAlignment="1">
      <alignment horizontal="left" vertical="center" indent="17"/>
    </xf>
    <xf numFmtId="166" fontId="5" fillId="0" borderId="0" xfId="0" applyNumberFormat="1" applyFont="1" applyAlignment="1">
      <alignment horizontal="left" vertical="center" indent="16"/>
    </xf>
    <xf numFmtId="0" fontId="88" fillId="55" borderId="9" xfId="0" applyFont="1" applyFill="1" applyBorder="1" applyAlignment="1">
      <alignment horizontal="center" vertical="center" wrapText="1"/>
    </xf>
    <xf numFmtId="0" fontId="88" fillId="55" borderId="1" xfId="0" applyFont="1" applyFill="1" applyBorder="1" applyAlignment="1">
      <alignment horizontal="center" vertical="center" wrapText="1"/>
    </xf>
    <xf numFmtId="0" fontId="88" fillId="55" borderId="10" xfId="0" quotePrefix="1" applyFont="1" applyFill="1" applyBorder="1" applyAlignment="1">
      <alignment horizontal="center" vertical="center" wrapText="1"/>
    </xf>
    <xf numFmtId="0" fontId="88" fillId="54" borderId="9" xfId="0" applyFont="1" applyFill="1" applyBorder="1" applyAlignment="1">
      <alignment horizontal="center" vertical="center" wrapText="1"/>
    </xf>
    <xf numFmtId="0" fontId="88" fillId="54" borderId="1" xfId="0" applyFont="1" applyFill="1" applyBorder="1" applyAlignment="1">
      <alignment horizontal="center" vertical="center" wrapText="1"/>
    </xf>
    <xf numFmtId="0" fontId="88" fillId="54" borderId="10" xfId="0" quotePrefix="1" applyFont="1" applyFill="1" applyBorder="1" applyAlignment="1">
      <alignment horizontal="center" vertical="center" wrapText="1"/>
    </xf>
    <xf numFmtId="0" fontId="78" fillId="0" borderId="0" xfId="0" quotePrefix="1" applyFont="1" applyAlignment="1">
      <alignment horizontal="center" wrapText="1"/>
    </xf>
    <xf numFmtId="0" fontId="81" fillId="0" borderId="0" xfId="0" quotePrefix="1" applyFont="1" applyAlignment="1">
      <alignment horizontal="center" wrapText="1"/>
    </xf>
    <xf numFmtId="0" fontId="90" fillId="48" borderId="2" xfId="0" quotePrefix="1" applyFont="1" applyFill="1" applyBorder="1" applyAlignment="1">
      <alignment horizontal="left" vertical="center"/>
    </xf>
    <xf numFmtId="0" fontId="91" fillId="48" borderId="26" xfId="0" quotePrefix="1" applyFont="1" applyFill="1" applyBorder="1" applyAlignment="1">
      <alignment horizontal="center" vertical="center"/>
    </xf>
    <xf numFmtId="0" fontId="91" fillId="48" borderId="25" xfId="0" quotePrefix="1" applyFont="1" applyFill="1" applyBorder="1" applyAlignment="1">
      <alignment horizontal="center" vertical="center"/>
    </xf>
    <xf numFmtId="0" fontId="89" fillId="10" borderId="17" xfId="0" applyFont="1" applyFill="1" applyBorder="1" applyAlignment="1">
      <alignment horizontal="center"/>
    </xf>
    <xf numFmtId="0" fontId="90" fillId="48" borderId="2" xfId="0" quotePrefix="1" applyFont="1" applyFill="1" applyBorder="1" applyAlignment="1">
      <alignment vertical="center"/>
    </xf>
    <xf numFmtId="0" fontId="90" fillId="48" borderId="26" xfId="0" quotePrefix="1" applyFont="1" applyFill="1" applyBorder="1" applyAlignment="1">
      <alignment vertical="center"/>
    </xf>
    <xf numFmtId="0" fontId="95" fillId="48" borderId="1" xfId="0" quotePrefix="1" applyFont="1" applyFill="1" applyBorder="1" applyAlignment="1">
      <alignment horizontal="center" vertical="center" wrapText="1"/>
    </xf>
    <xf numFmtId="0" fontId="90" fillId="48" borderId="26" xfId="0" quotePrefix="1" applyFont="1" applyFill="1" applyBorder="1" applyAlignment="1">
      <alignment horizontal="left" vertical="center"/>
    </xf>
    <xf numFmtId="0" fontId="42" fillId="10" borderId="0" xfId="0" applyFont="1" applyFill="1" applyAlignment="1">
      <alignment horizontal="center"/>
    </xf>
    <xf numFmtId="0" fontId="57" fillId="48" borderId="1" xfId="0" applyFont="1" applyFill="1" applyBorder="1" applyAlignment="1">
      <alignment horizontal="center" vertical="center" wrapText="1"/>
    </xf>
    <xf numFmtId="0" fontId="42" fillId="10" borderId="17" xfId="0" applyFont="1" applyFill="1" applyBorder="1" applyAlignment="1">
      <alignment horizontal="center" wrapText="1"/>
    </xf>
    <xf numFmtId="1" fontId="53" fillId="0" borderId="0" xfId="0" applyNumberFormat="1" applyFont="1"/>
    <xf numFmtId="0" fontId="6" fillId="13" borderId="1" xfId="0" applyFont="1" applyFill="1" applyBorder="1" applyAlignment="1" applyProtection="1">
      <alignment horizontal="center" vertical="center" wrapText="1"/>
      <protection locked="0"/>
    </xf>
    <xf numFmtId="10" fontId="103" fillId="0" borderId="1" xfId="0" applyNumberFormat="1" applyFont="1" applyBorder="1" applyAlignment="1">
      <alignment horizontal="center" vertical="center"/>
    </xf>
    <xf numFmtId="0" fontId="95" fillId="48" borderId="2" xfId="0" quotePrefix="1" applyFont="1" applyFill="1" applyBorder="1" applyAlignment="1">
      <alignment horizontal="left" vertical="center"/>
    </xf>
    <xf numFmtId="0" fontId="95" fillId="48" borderId="26" xfId="0" quotePrefix="1" applyFont="1" applyFill="1" applyBorder="1" applyAlignment="1">
      <alignment horizontal="center" vertical="center"/>
    </xf>
    <xf numFmtId="2" fontId="53" fillId="0" borderId="0" xfId="0" applyNumberFormat="1" applyFont="1"/>
    <xf numFmtId="0" fontId="45" fillId="48" borderId="2" xfId="0" quotePrefix="1" applyFont="1" applyFill="1" applyBorder="1" applyAlignment="1">
      <alignment horizontal="left" vertical="center"/>
    </xf>
    <xf numFmtId="0" fontId="6" fillId="48"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6" fillId="8" borderId="1" xfId="0" applyFont="1" applyFill="1" applyBorder="1" applyAlignment="1" applyProtection="1">
      <alignment horizontal="center" vertical="center" wrapText="1"/>
      <protection locked="0"/>
    </xf>
    <xf numFmtId="0" fontId="7" fillId="8" borderId="1" xfId="0" applyFont="1" applyFill="1" applyBorder="1" applyAlignment="1">
      <alignment horizontal="center" wrapText="1"/>
    </xf>
    <xf numFmtId="0" fontId="57" fillId="0" borderId="1" xfId="0" applyFont="1" applyBorder="1" applyAlignment="1">
      <alignment wrapText="1"/>
    </xf>
    <xf numFmtId="10" fontId="103" fillId="0" borderId="1" xfId="0" applyNumberFormat="1" applyFont="1" applyBorder="1" applyAlignment="1">
      <alignment horizontal="center"/>
    </xf>
    <xf numFmtId="0" fontId="41" fillId="48" borderId="1" xfId="0" applyFont="1" applyFill="1" applyBorder="1" applyAlignment="1" applyProtection="1">
      <alignment horizontal="center" vertical="center" wrapText="1"/>
      <protection locked="0"/>
    </xf>
    <xf numFmtId="0" fontId="83" fillId="0" borderId="25" xfId="0" applyFont="1" applyBorder="1" applyAlignment="1">
      <alignment horizontal="center"/>
    </xf>
    <xf numFmtId="0" fontId="95" fillId="8" borderId="1" xfId="0" applyFont="1" applyFill="1" applyBorder="1"/>
    <xf numFmtId="0" fontId="62" fillId="8" borderId="1" xfId="0" applyFont="1" applyFill="1" applyBorder="1" applyAlignment="1">
      <alignment horizontal="left"/>
    </xf>
    <xf numFmtId="0" fontId="104" fillId="0" borderId="0" xfId="0" applyFont="1" applyAlignment="1">
      <alignment vertical="center" wrapText="1"/>
    </xf>
    <xf numFmtId="0" fontId="106" fillId="0" borderId="0" xfId="0" applyFont="1"/>
    <xf numFmtId="10" fontId="106" fillId="0" borderId="0" xfId="0" applyNumberFormat="1" applyFont="1"/>
    <xf numFmtId="2" fontId="103" fillId="0" borderId="1" xfId="0" applyNumberFormat="1" applyFont="1" applyBorder="1" applyAlignment="1">
      <alignment horizontal="center" vertical="center"/>
    </xf>
    <xf numFmtId="2" fontId="23" fillId="50" borderId="1" xfId="0" applyNumberFormat="1" applyFont="1" applyFill="1" applyBorder="1" applyAlignment="1">
      <alignment horizontal="center" vertical="center"/>
    </xf>
    <xf numFmtId="2" fontId="103" fillId="0" borderId="1" xfId="0" applyNumberFormat="1" applyFont="1" applyBorder="1" applyAlignment="1">
      <alignment horizontal="center"/>
    </xf>
    <xf numFmtId="0" fontId="23" fillId="2" borderId="1" xfId="0" applyFont="1" applyFill="1" applyBorder="1" applyAlignment="1">
      <alignment horizontal="center" vertical="center"/>
    </xf>
    <xf numFmtId="0" fontId="0" fillId="0" borderId="1" xfId="0" applyBorder="1" applyAlignment="1">
      <alignment horizontal="center"/>
    </xf>
    <xf numFmtId="0" fontId="107" fillId="0" borderId="0" xfId="0" applyFont="1"/>
    <xf numFmtId="0" fontId="0" fillId="0" borderId="0" xfId="0" applyFont="1"/>
    <xf numFmtId="0" fontId="0" fillId="0" borderId="1" xfId="0" applyBorder="1" applyAlignment="1">
      <alignment horizontal="center"/>
    </xf>
    <xf numFmtId="0" fontId="83" fillId="0" borderId="17" xfId="0" applyFont="1" applyBorder="1" applyAlignment="1">
      <alignment horizontal="center"/>
    </xf>
    <xf numFmtId="0" fontId="109" fillId="0" borderId="1" xfId="0" applyFont="1" applyBorder="1" applyAlignment="1">
      <alignment vertical="center" wrapText="1"/>
    </xf>
    <xf numFmtId="0" fontId="0" fillId="0" borderId="25" xfId="0" applyBorder="1" applyAlignment="1">
      <alignment horizontal="center"/>
    </xf>
    <xf numFmtId="0" fontId="108" fillId="0" borderId="1" xfId="0" applyFont="1" applyBorder="1" applyAlignment="1">
      <alignment horizontal="center" vertical="center" wrapText="1"/>
    </xf>
    <xf numFmtId="164" fontId="23" fillId="0" borderId="0" xfId="0" applyNumberFormat="1" applyFont="1" applyBorder="1" applyAlignment="1">
      <alignment horizontal="center"/>
    </xf>
    <xf numFmtId="0" fontId="23" fillId="0" borderId="0" xfId="0" applyFont="1" applyBorder="1" applyAlignment="1">
      <alignment horizontal="center" vertical="center"/>
    </xf>
    <xf numFmtId="0" fontId="23" fillId="2" borderId="0" xfId="0" applyFont="1" applyFill="1" applyBorder="1" applyAlignment="1">
      <alignment horizontal="center" vertical="center"/>
    </xf>
    <xf numFmtId="0" fontId="23" fillId="0" borderId="25" xfId="0" applyFont="1" applyBorder="1" applyAlignment="1">
      <alignment horizontal="center" vertical="center"/>
    </xf>
    <xf numFmtId="0" fontId="23" fillId="0" borderId="4" xfId="0" applyFont="1" applyBorder="1" applyAlignment="1">
      <alignment horizontal="center" vertical="center"/>
    </xf>
    <xf numFmtId="0" fontId="110" fillId="0" borderId="0" xfId="0" applyFont="1"/>
    <xf numFmtId="0" fontId="23" fillId="0" borderId="1" xfId="0" applyFont="1" applyBorder="1" applyAlignment="1">
      <alignment horizontal="center" vertical="center" wrapText="1"/>
    </xf>
    <xf numFmtId="0" fontId="23" fillId="2" borderId="1" xfId="0" applyFont="1" applyFill="1" applyBorder="1" applyAlignment="1">
      <alignment horizontal="center" vertical="center" wrapText="1"/>
    </xf>
    <xf numFmtId="0" fontId="83" fillId="0" borderId="0" xfId="0" applyFont="1" applyBorder="1" applyAlignment="1">
      <alignment horizontal="center"/>
    </xf>
    <xf numFmtId="0" fontId="83" fillId="0" borderId="26" xfId="0" applyFont="1" applyBorder="1" applyAlignment="1">
      <alignment horizontal="center"/>
    </xf>
    <xf numFmtId="9" fontId="83" fillId="0" borderId="0" xfId="1" applyFont="1" applyBorder="1" applyAlignment="1">
      <alignment horizontal="center"/>
    </xf>
    <xf numFmtId="0" fontId="23" fillId="8" borderId="1" xfId="0" applyFont="1" applyFill="1" applyBorder="1" applyAlignment="1">
      <alignment horizontal="center" wrapText="1"/>
    </xf>
    <xf numFmtId="0" fontId="23" fillId="0" borderId="1" xfId="0" applyFont="1" applyBorder="1" applyAlignment="1">
      <alignment horizontal="center" wrapText="1"/>
    </xf>
    <xf numFmtId="0" fontId="23" fillId="6" borderId="1" xfId="0" applyFont="1" applyFill="1" applyBorder="1" applyAlignment="1">
      <alignment horizontal="center" wrapText="1"/>
    </xf>
    <xf numFmtId="0" fontId="57" fillId="0" borderId="0" xfId="0" applyFont="1" applyAlignment="1">
      <alignment horizontal="center" wrapText="1"/>
    </xf>
    <xf numFmtId="0" fontId="2" fillId="56" borderId="0" xfId="0" applyFont="1" applyFill="1"/>
    <xf numFmtId="0" fontId="2" fillId="56" borderId="0" xfId="0" applyFont="1" applyFill="1" applyBorder="1"/>
    <xf numFmtId="0" fontId="0" fillId="56" borderId="0" xfId="0" applyFill="1"/>
    <xf numFmtId="9" fontId="2" fillId="56" borderId="0" xfId="1" applyFont="1" applyFill="1" applyBorder="1"/>
    <xf numFmtId="0" fontId="104" fillId="56" borderId="0" xfId="0" applyFont="1" applyFill="1" applyBorder="1"/>
    <xf numFmtId="0" fontId="0" fillId="56" borderId="0" xfId="0" applyFill="1" applyBorder="1"/>
    <xf numFmtId="0" fontId="105" fillId="56" borderId="0" xfId="0" applyFont="1" applyFill="1" applyBorder="1" applyAlignment="1">
      <alignment vertical="center"/>
    </xf>
    <xf numFmtId="0" fontId="0" fillId="0" borderId="0" xfId="0" quotePrefix="1" applyFill="1"/>
    <xf numFmtId="0" fontId="0" fillId="0" borderId="0" xfId="0" applyFill="1"/>
    <xf numFmtId="0" fontId="111" fillId="0" borderId="0" xfId="0" quotePrefix="1" applyFont="1" applyFill="1" applyAlignment="1">
      <alignment horizontal="center" vertical="center"/>
    </xf>
    <xf numFmtId="0" fontId="78" fillId="0" borderId="0" xfId="0" quotePrefix="1" applyFont="1" applyFill="1" applyAlignment="1">
      <alignment horizontal="center" vertical="center"/>
    </xf>
    <xf numFmtId="0" fontId="0" fillId="0" borderId="0" xfId="0" applyAlignment="1">
      <alignment wrapText="1"/>
    </xf>
    <xf numFmtId="0" fontId="78" fillId="0" borderId="0" xfId="0" quotePrefix="1" applyFont="1" applyFill="1" applyAlignment="1">
      <alignment horizontal="center" vertical="center" wrapText="1"/>
    </xf>
    <xf numFmtId="0" fontId="50" fillId="0" borderId="0" xfId="0" applyFont="1" applyAlignment="1">
      <alignment wrapText="1"/>
    </xf>
    <xf numFmtId="0" fontId="52" fillId="0" borderId="0" xfId="2" applyFont="1" applyAlignment="1">
      <alignment wrapText="1"/>
    </xf>
    <xf numFmtId="0" fontId="52" fillId="0" borderId="0" xfId="2" quotePrefix="1" applyFont="1" applyAlignment="1" applyProtection="1">
      <alignment wrapText="1"/>
      <protection locked="0"/>
    </xf>
    <xf numFmtId="0" fontId="0" fillId="0" borderId="0" xfId="0" applyFill="1" applyAlignment="1">
      <alignment wrapText="1"/>
    </xf>
    <xf numFmtId="0" fontId="51" fillId="0" borderId="0" xfId="0" applyFont="1" applyAlignment="1">
      <alignment wrapText="1"/>
    </xf>
    <xf numFmtId="0" fontId="0" fillId="0" borderId="0" xfId="0" quotePrefix="1" applyFill="1" applyAlignment="1">
      <alignment wrapText="1"/>
    </xf>
    <xf numFmtId="0" fontId="102" fillId="0" borderId="0" xfId="0" applyFont="1"/>
    <xf numFmtId="0" fontId="55" fillId="10" borderId="1" xfId="0" quotePrefix="1" applyFont="1" applyFill="1" applyBorder="1" applyAlignment="1">
      <alignment horizontal="center" vertical="center" wrapText="1"/>
    </xf>
    <xf numFmtId="0" fontId="112" fillId="10" borderId="1" xfId="0" quotePrefix="1" applyFont="1" applyFill="1" applyBorder="1" applyAlignment="1">
      <alignment horizontal="center" vertical="center"/>
    </xf>
    <xf numFmtId="0" fontId="12" fillId="0" borderId="0" xfId="0" quotePrefix="1" applyFont="1" applyFill="1" applyBorder="1" applyAlignment="1">
      <alignment horizontal="center" vertical="center"/>
    </xf>
    <xf numFmtId="0" fontId="12" fillId="58" borderId="1" xfId="0" quotePrefix="1" applyFont="1" applyFill="1" applyBorder="1" applyAlignment="1">
      <alignment horizontal="left" vertical="center" wrapText="1"/>
    </xf>
    <xf numFmtId="0" fontId="12" fillId="58" borderId="1" xfId="0" quotePrefix="1" applyFont="1" applyFill="1" applyBorder="1" applyAlignment="1">
      <alignment horizontal="left" vertical="center"/>
    </xf>
    <xf numFmtId="0" fontId="53" fillId="0" borderId="18" xfId="0" applyFont="1" applyBorder="1" applyAlignment="1">
      <alignment horizontal="center" vertical="center"/>
    </xf>
    <xf numFmtId="0" fontId="23" fillId="0" borderId="17" xfId="0" applyFont="1" applyBorder="1" applyAlignment="1">
      <alignment horizontal="center"/>
    </xf>
    <xf numFmtId="0" fontId="23" fillId="0" borderId="3" xfId="0" applyFont="1" applyBorder="1" applyAlignment="1">
      <alignment horizontal="center"/>
    </xf>
    <xf numFmtId="1" fontId="23" fillId="2" borderId="25" xfId="0" applyNumberFormat="1" applyFont="1" applyFill="1" applyBorder="1" applyAlignment="1">
      <alignment horizontal="center"/>
    </xf>
    <xf numFmtId="0" fontId="6" fillId="48" borderId="17" xfId="0" applyFont="1" applyFill="1" applyBorder="1" applyAlignment="1">
      <alignment horizontal="center" vertical="center"/>
    </xf>
    <xf numFmtId="0" fontId="42" fillId="10" borderId="3" xfId="0" applyFont="1" applyFill="1" applyBorder="1" applyAlignment="1">
      <alignment horizontal="center"/>
    </xf>
    <xf numFmtId="164" fontId="23" fillId="2" borderId="25" xfId="0" applyNumberFormat="1" applyFont="1" applyFill="1" applyBorder="1" applyAlignment="1">
      <alignment horizontal="center"/>
    </xf>
    <xf numFmtId="1" fontId="23" fillId="0" borderId="25" xfId="0" applyNumberFormat="1" applyFont="1" applyBorder="1" applyAlignment="1">
      <alignment horizontal="center"/>
    </xf>
    <xf numFmtId="0" fontId="42" fillId="10" borderId="61" xfId="0" applyFont="1" applyFill="1" applyBorder="1" applyAlignment="1">
      <alignment horizontal="center"/>
    </xf>
    <xf numFmtId="0" fontId="57" fillId="7" borderId="21" xfId="0" applyFont="1" applyFill="1" applyBorder="1" applyAlignment="1">
      <alignment horizontal="center"/>
    </xf>
    <xf numFmtId="165" fontId="23" fillId="0" borderId="17" xfId="0" applyNumberFormat="1" applyFont="1" applyBorder="1" applyAlignment="1">
      <alignment horizontal="center"/>
    </xf>
    <xf numFmtId="0" fontId="57" fillId="7" borderId="61" xfId="0" applyFont="1" applyFill="1" applyBorder="1" applyAlignment="1">
      <alignment horizontal="center"/>
    </xf>
    <xf numFmtId="0" fontId="57" fillId="7" borderId="12" xfId="0" applyFont="1" applyFill="1" applyBorder="1" applyAlignment="1">
      <alignment horizontal="center"/>
    </xf>
    <xf numFmtId="0" fontId="57" fillId="7" borderId="13" xfId="0" applyFont="1" applyFill="1" applyBorder="1" applyAlignment="1">
      <alignment horizontal="center"/>
    </xf>
    <xf numFmtId="1" fontId="23" fillId="0" borderId="17" xfId="0" applyNumberFormat="1" applyFont="1" applyBorder="1" applyAlignment="1">
      <alignment horizontal="center"/>
    </xf>
    <xf numFmtId="0" fontId="57" fillId="7" borderId="63" xfId="0" applyFont="1" applyFill="1" applyBorder="1" applyAlignment="1">
      <alignment horizontal="center"/>
    </xf>
    <xf numFmtId="1" fontId="57" fillId="7" borderId="62" xfId="0" applyNumberFormat="1" applyFont="1" applyFill="1" applyBorder="1" applyAlignment="1">
      <alignment horizontal="center"/>
    </xf>
    <xf numFmtId="0" fontId="57" fillId="7" borderId="8" xfId="0" applyFont="1" applyFill="1" applyBorder="1" applyAlignment="1">
      <alignment horizontal="center"/>
    </xf>
    <xf numFmtId="0" fontId="57" fillId="7" borderId="10" xfId="0" applyFont="1" applyFill="1" applyBorder="1" applyAlignment="1">
      <alignment horizontal="center"/>
    </xf>
    <xf numFmtId="0" fontId="57" fillId="50" borderId="16" xfId="0" applyFont="1" applyFill="1" applyBorder="1" applyAlignment="1">
      <alignment horizontal="center" vertical="center" wrapText="1"/>
    </xf>
    <xf numFmtId="1" fontId="57" fillId="50" borderId="16" xfId="0" applyNumberFormat="1" applyFont="1" applyFill="1" applyBorder="1" applyAlignment="1">
      <alignment horizontal="center" vertical="center"/>
    </xf>
    <xf numFmtId="0" fontId="57" fillId="50" borderId="14" xfId="0" applyFont="1" applyFill="1" applyBorder="1" applyAlignment="1">
      <alignment horizontal="center" vertical="center"/>
    </xf>
    <xf numFmtId="0" fontId="57" fillId="7" borderId="64" xfId="0" applyFont="1" applyFill="1" applyBorder="1" applyAlignment="1">
      <alignment horizontal="center"/>
    </xf>
    <xf numFmtId="0" fontId="57" fillId="7" borderId="65" xfId="0" applyFont="1" applyFill="1" applyBorder="1" applyAlignment="1">
      <alignment horizontal="center"/>
    </xf>
    <xf numFmtId="0" fontId="57" fillId="7" borderId="66" xfId="0" applyFont="1" applyFill="1" applyBorder="1" applyAlignment="1">
      <alignment horizontal="center"/>
    </xf>
    <xf numFmtId="165" fontId="57" fillId="7" borderId="62" xfId="0" applyNumberFormat="1" applyFont="1" applyFill="1" applyBorder="1" applyAlignment="1">
      <alignment horizontal="center"/>
    </xf>
    <xf numFmtId="165" fontId="57" fillId="7" borderId="16" xfId="0" applyNumberFormat="1" applyFont="1" applyFill="1" applyBorder="1" applyAlignment="1">
      <alignment horizontal="center"/>
    </xf>
    <xf numFmtId="165" fontId="57" fillId="7" borderId="8" xfId="0" applyNumberFormat="1" applyFont="1" applyFill="1" applyBorder="1" applyAlignment="1">
      <alignment horizontal="center"/>
    </xf>
    <xf numFmtId="165" fontId="57" fillId="7" borderId="10" xfId="0" applyNumberFormat="1" applyFont="1" applyFill="1" applyBorder="1" applyAlignment="1">
      <alignment horizontal="center"/>
    </xf>
    <xf numFmtId="165" fontId="57" fillId="7" borderId="14" xfId="0" applyNumberFormat="1" applyFont="1" applyFill="1" applyBorder="1" applyAlignment="1">
      <alignment horizontal="center"/>
    </xf>
    <xf numFmtId="0" fontId="0" fillId="0" borderId="0" xfId="0" applyAlignment="1">
      <alignment horizontal="left" indent="1"/>
    </xf>
    <xf numFmtId="0" fontId="23" fillId="2" borderId="1" xfId="0" applyFont="1" applyFill="1" applyBorder="1" applyAlignment="1">
      <alignment horizontal="center" vertical="center"/>
    </xf>
    <xf numFmtId="0" fontId="0" fillId="0" borderId="1" xfId="0" applyBorder="1" applyAlignment="1">
      <alignment horizontal="center"/>
    </xf>
    <xf numFmtId="49" fontId="114" fillId="57" borderId="0" xfId="0" applyNumberFormat="1" applyFont="1" applyFill="1" applyBorder="1" applyAlignment="1">
      <alignment horizontal="left"/>
    </xf>
    <xf numFmtId="0" fontId="2" fillId="56" borderId="0" xfId="0" applyFont="1" applyFill="1" applyBorder="1" applyAlignment="1">
      <alignment horizontal="left"/>
    </xf>
    <xf numFmtId="0" fontId="0" fillId="0" borderId="1" xfId="0" applyBorder="1"/>
    <xf numFmtId="0" fontId="1" fillId="56" borderId="0" xfId="0" applyFont="1" applyFill="1" applyBorder="1"/>
    <xf numFmtId="0" fontId="1" fillId="3" borderId="0" xfId="0" applyFont="1" applyFill="1"/>
    <xf numFmtId="0" fontId="104" fillId="56" borderId="0" xfId="0" applyFont="1" applyFill="1" applyAlignment="1">
      <alignment vertical="center"/>
    </xf>
    <xf numFmtId="49" fontId="82" fillId="3" borderId="0" xfId="0" applyNumberFormat="1" applyFont="1" applyFill="1" applyBorder="1" applyAlignment="1">
      <alignment vertical="center" wrapText="1"/>
    </xf>
    <xf numFmtId="0" fontId="1" fillId="3" borderId="0" xfId="0" applyFont="1" applyFill="1" applyBorder="1"/>
    <xf numFmtId="49" fontId="2" fillId="56" borderId="0" xfId="0" applyNumberFormat="1" applyFont="1" applyFill="1" applyBorder="1"/>
    <xf numFmtId="49" fontId="1" fillId="56" borderId="0" xfId="0" applyNumberFormat="1" applyFont="1" applyFill="1" applyBorder="1"/>
    <xf numFmtId="10" fontId="0" fillId="0" borderId="0" xfId="1" applyNumberFormat="1" applyFont="1"/>
    <xf numFmtId="0" fontId="113" fillId="53" borderId="0" xfId="0" quotePrefix="1" applyFont="1" applyFill="1" applyAlignment="1">
      <alignment horizontal="center" vertical="center" wrapText="1"/>
    </xf>
    <xf numFmtId="0" fontId="43" fillId="45" borderId="2" xfId="0" applyFont="1" applyFill="1" applyBorder="1" applyAlignment="1">
      <alignment horizontal="center"/>
    </xf>
    <xf numFmtId="0" fontId="43" fillId="45" borderId="26" xfId="0" applyFont="1" applyFill="1" applyBorder="1" applyAlignment="1">
      <alignment horizontal="center"/>
    </xf>
    <xf numFmtId="0" fontId="43" fillId="45" borderId="2" xfId="0" applyNumberFormat="1" applyFont="1" applyFill="1" applyBorder="1" applyAlignment="1">
      <alignment horizontal="center"/>
    </xf>
    <xf numFmtId="0" fontId="43" fillId="45" borderId="25" xfId="0" applyNumberFormat="1" applyFont="1" applyFill="1" applyBorder="1" applyAlignment="1">
      <alignment horizontal="center"/>
    </xf>
    <xf numFmtId="0" fontId="78" fillId="53" borderId="0" xfId="0" quotePrefix="1" applyFont="1" applyFill="1" applyAlignment="1">
      <alignment horizontal="center" vertical="top" wrapText="1"/>
    </xf>
    <xf numFmtId="0" fontId="90" fillId="48" borderId="20" xfId="0" applyFont="1" applyFill="1" applyBorder="1" applyAlignment="1">
      <alignment horizontal="left" vertical="center"/>
    </xf>
    <xf numFmtId="0" fontId="90" fillId="48" borderId="4" xfId="0" applyFont="1" applyFill="1" applyBorder="1" applyAlignment="1">
      <alignment horizontal="left" vertical="center"/>
    </xf>
    <xf numFmtId="0" fontId="92" fillId="48" borderId="4" xfId="0" applyFont="1" applyFill="1" applyBorder="1" applyAlignment="1">
      <alignment horizontal="left"/>
    </xf>
    <xf numFmtId="0" fontId="93" fillId="48" borderId="4" xfId="0" applyFont="1" applyFill="1" applyBorder="1" applyAlignment="1">
      <alignment horizontal="left"/>
    </xf>
    <xf numFmtId="0" fontId="90" fillId="48" borderId="2" xfId="0" quotePrefix="1" applyFont="1" applyFill="1" applyBorder="1" applyAlignment="1">
      <alignment horizontal="left" vertical="center"/>
    </xf>
    <xf numFmtId="0" fontId="90" fillId="48" borderId="26" xfId="0" quotePrefix="1" applyFont="1" applyFill="1" applyBorder="1" applyAlignment="1">
      <alignment horizontal="left" vertical="center"/>
    </xf>
    <xf numFmtId="0" fontId="78" fillId="53" borderId="0" xfId="0" quotePrefix="1" applyFont="1" applyFill="1" applyAlignment="1">
      <alignment horizontal="center" vertical="center"/>
    </xf>
    <xf numFmtId="0" fontId="12" fillId="8" borderId="56" xfId="0" applyFont="1" applyFill="1" applyBorder="1" applyAlignment="1">
      <alignment horizontal="center"/>
    </xf>
    <xf numFmtId="0" fontId="12" fillId="8" borderId="0" xfId="0" applyFont="1" applyFill="1" applyAlignment="1">
      <alignment horizontal="center"/>
    </xf>
    <xf numFmtId="0" fontId="23" fillId="0" borderId="1" xfId="0" applyFont="1" applyBorder="1" applyAlignment="1">
      <alignment horizontal="center" vertical="center" wrapText="1"/>
    </xf>
    <xf numFmtId="0" fontId="53" fillId="0" borderId="1" xfId="0" applyFont="1" applyBorder="1" applyAlignment="1">
      <alignment wrapText="1"/>
    </xf>
    <xf numFmtId="0" fontId="53" fillId="0" borderId="1" xfId="0" applyFont="1" applyBorder="1" applyAlignment="1"/>
    <xf numFmtId="10" fontId="23" fillId="0" borderId="1" xfId="0" applyNumberFormat="1" applyFont="1" applyBorder="1" applyAlignment="1">
      <alignment horizontal="center" vertical="center"/>
    </xf>
    <xf numFmtId="0" fontId="90" fillId="48" borderId="1" xfId="0" applyFont="1" applyFill="1" applyBorder="1" applyAlignment="1">
      <alignment horizontal="left"/>
    </xf>
    <xf numFmtId="0" fontId="11" fillId="48" borderId="20" xfId="0" applyFont="1" applyFill="1" applyBorder="1" applyAlignment="1">
      <alignment horizontal="center" vertical="center" wrapText="1"/>
    </xf>
    <xf numFmtId="0" fontId="94" fillId="48" borderId="4" xfId="0" applyFont="1" applyFill="1" applyBorder="1" applyAlignment="1">
      <alignment wrapText="1"/>
    </xf>
    <xf numFmtId="0" fontId="12" fillId="48" borderId="1" xfId="0" applyFont="1" applyFill="1" applyBorder="1" applyAlignment="1">
      <alignment horizontal="center" vertical="center"/>
    </xf>
    <xf numFmtId="166" fontId="5" fillId="11" borderId="0" xfId="0" applyNumberFormat="1" applyFont="1" applyFill="1" applyAlignment="1">
      <alignment horizontal="center" vertical="center"/>
    </xf>
    <xf numFmtId="1" fontId="11" fillId="48" borderId="56" xfId="0" applyNumberFormat="1" applyFont="1" applyFill="1" applyBorder="1" applyAlignment="1">
      <alignment horizontal="center" vertical="center"/>
    </xf>
    <xf numFmtId="1" fontId="11" fillId="48" borderId="0" xfId="0" applyNumberFormat="1" applyFont="1" applyFill="1" applyBorder="1" applyAlignment="1">
      <alignment horizontal="center" vertical="center"/>
    </xf>
    <xf numFmtId="0" fontId="11" fillId="48" borderId="56" xfId="0" applyFont="1" applyFill="1" applyBorder="1" applyAlignment="1">
      <alignment horizontal="center"/>
    </xf>
    <xf numFmtId="0" fontId="11" fillId="48" borderId="0" xfId="0" applyFont="1" applyFill="1" applyBorder="1" applyAlignment="1">
      <alignment horizontal="center"/>
    </xf>
    <xf numFmtId="0" fontId="81" fillId="53" borderId="0" xfId="0" quotePrefix="1" applyFont="1" applyFill="1" applyAlignment="1">
      <alignment horizontal="center" vertical="center"/>
    </xf>
    <xf numFmtId="0" fontId="90" fillId="48" borderId="0" xfId="0" applyFont="1" applyFill="1" applyBorder="1" applyAlignment="1">
      <alignment horizontal="center" vertical="center"/>
    </xf>
    <xf numFmtId="0" fontId="90" fillId="48" borderId="0" xfId="0" applyFont="1" applyFill="1" applyAlignment="1">
      <alignment horizontal="center" vertical="center"/>
    </xf>
    <xf numFmtId="0" fontId="45" fillId="48" borderId="20" xfId="0" quotePrefix="1" applyFont="1" applyFill="1" applyBorder="1" applyAlignment="1">
      <alignment horizontal="center" vertical="center"/>
    </xf>
    <xf numFmtId="0" fontId="45" fillId="48" borderId="4" xfId="0" quotePrefix="1" applyFont="1" applyFill="1" applyBorder="1" applyAlignment="1">
      <alignment horizontal="center" vertical="center"/>
    </xf>
    <xf numFmtId="0" fontId="58" fillId="53" borderId="0" xfId="0" quotePrefix="1" applyFont="1" applyFill="1" applyAlignment="1">
      <alignment horizontal="center" vertical="center"/>
    </xf>
    <xf numFmtId="0" fontId="90" fillId="48" borderId="56" xfId="0" applyFont="1" applyFill="1" applyBorder="1" applyAlignment="1">
      <alignment horizontal="center" vertical="center"/>
    </xf>
    <xf numFmtId="0" fontId="90" fillId="48" borderId="1" xfId="0" applyFont="1" applyFill="1" applyBorder="1" applyAlignment="1">
      <alignment horizontal="center" vertical="center"/>
    </xf>
    <xf numFmtId="0" fontId="90" fillId="48" borderId="20" xfId="0" quotePrefix="1" applyFont="1" applyFill="1" applyBorder="1" applyAlignment="1">
      <alignment horizontal="center" vertical="center"/>
    </xf>
    <xf numFmtId="0" fontId="90" fillId="48" borderId="4" xfId="0" quotePrefix="1" applyFont="1" applyFill="1" applyBorder="1" applyAlignment="1">
      <alignment horizontal="center" vertical="center"/>
    </xf>
    <xf numFmtId="0" fontId="10" fillId="10" borderId="2" xfId="0" applyFont="1" applyFill="1" applyBorder="1" applyAlignment="1">
      <alignment horizontal="center"/>
    </xf>
    <xf numFmtId="0" fontId="10" fillId="10" borderId="26" xfId="0" applyFont="1" applyFill="1" applyBorder="1" applyAlignment="1">
      <alignment horizontal="center"/>
    </xf>
    <xf numFmtId="0" fontId="10" fillId="10" borderId="25" xfId="0" applyFont="1" applyFill="1" applyBorder="1" applyAlignment="1">
      <alignment horizontal="center"/>
    </xf>
    <xf numFmtId="1" fontId="11" fillId="8" borderId="56" xfId="0" applyNumberFormat="1" applyFont="1" applyFill="1" applyBorder="1" applyAlignment="1">
      <alignment horizontal="center" vertical="center"/>
    </xf>
    <xf numFmtId="1" fontId="11" fillId="8" borderId="0" xfId="0" applyNumberFormat="1" applyFont="1" applyFill="1" applyBorder="1" applyAlignment="1">
      <alignment horizontal="center" vertical="center"/>
    </xf>
    <xf numFmtId="0" fontId="90" fillId="8" borderId="2" xfId="0" quotePrefix="1" applyFont="1" applyFill="1" applyBorder="1" applyAlignment="1">
      <alignment horizontal="left" vertical="center"/>
    </xf>
    <xf numFmtId="0" fontId="90" fillId="8" borderId="26" xfId="0" quotePrefix="1" applyFont="1" applyFill="1" applyBorder="1" applyAlignment="1">
      <alignment horizontal="left" vertical="center"/>
    </xf>
    <xf numFmtId="0" fontId="90" fillId="8" borderId="25" xfId="0" quotePrefix="1" applyFont="1" applyFill="1" applyBorder="1" applyAlignment="1">
      <alignment horizontal="left" vertical="center"/>
    </xf>
    <xf numFmtId="0" fontId="55" fillId="8" borderId="2" xfId="0" quotePrefix="1" applyFont="1" applyFill="1" applyBorder="1" applyAlignment="1">
      <alignment horizontal="left" vertical="center"/>
    </xf>
    <xf numFmtId="0" fontId="55" fillId="8" borderId="26" xfId="0" quotePrefix="1" applyFont="1" applyFill="1" applyBorder="1" applyAlignment="1">
      <alignment horizontal="left" vertical="center"/>
    </xf>
    <xf numFmtId="0" fontId="23" fillId="0" borderId="17" xfId="0" applyFont="1" applyBorder="1" applyAlignment="1">
      <alignment horizontal="center" vertical="center" wrapText="1"/>
    </xf>
    <xf numFmtId="0" fontId="53" fillId="0" borderId="3" xfId="0" applyFont="1" applyBorder="1" applyAlignment="1">
      <alignment horizontal="center" vertical="center" wrapText="1"/>
    </xf>
    <xf numFmtId="0" fontId="53" fillId="0" borderId="18" xfId="0" applyFont="1" applyBorder="1" applyAlignment="1">
      <alignment horizontal="center" vertical="center" wrapText="1"/>
    </xf>
    <xf numFmtId="10" fontId="23" fillId="0" borderId="17" xfId="0" applyNumberFormat="1" applyFont="1" applyBorder="1" applyAlignment="1">
      <alignment horizontal="center" vertical="center"/>
    </xf>
    <xf numFmtId="0" fontId="53" fillId="0" borderId="3" xfId="0" applyFont="1" applyBorder="1" applyAlignment="1">
      <alignment horizontal="center" vertical="center"/>
    </xf>
    <xf numFmtId="0" fontId="53" fillId="0" borderId="18" xfId="0" applyFont="1" applyBorder="1" applyAlignment="1">
      <alignment horizontal="center" vertical="center"/>
    </xf>
    <xf numFmtId="0" fontId="56"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90" fillId="8" borderId="2" xfId="0" quotePrefix="1" applyFont="1" applyFill="1" applyBorder="1" applyAlignment="1">
      <alignment horizontal="center" vertical="center"/>
    </xf>
    <xf numFmtId="0" fontId="90" fillId="8" borderId="26" xfId="0" quotePrefix="1" applyFont="1" applyFill="1" applyBorder="1" applyAlignment="1">
      <alignment horizontal="center" vertical="center"/>
    </xf>
    <xf numFmtId="0" fontId="45" fillId="8" borderId="2" xfId="0" quotePrefix="1" applyFont="1" applyFill="1" applyBorder="1" applyAlignment="1">
      <alignment horizontal="center" vertical="center"/>
    </xf>
    <xf numFmtId="0" fontId="45" fillId="8" borderId="26" xfId="0" quotePrefix="1"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17" xfId="0" applyFont="1" applyFill="1" applyBorder="1" applyAlignment="1">
      <alignment horizontal="center" vertical="center" wrapText="1"/>
    </xf>
    <xf numFmtId="0" fontId="23" fillId="2" borderId="3" xfId="0" applyFont="1" applyFill="1" applyBorder="1" applyAlignment="1">
      <alignment horizontal="center" vertical="center" wrapText="1"/>
    </xf>
    <xf numFmtId="10" fontId="23" fillId="2" borderId="17" xfId="0" applyNumberFormat="1" applyFont="1" applyFill="1" applyBorder="1" applyAlignment="1">
      <alignment horizontal="center" vertical="center"/>
    </xf>
    <xf numFmtId="10" fontId="23" fillId="2" borderId="3" xfId="0" applyNumberFormat="1" applyFont="1" applyFill="1" applyBorder="1" applyAlignment="1">
      <alignment horizontal="center" vertical="center"/>
    </xf>
    <xf numFmtId="0" fontId="11" fillId="8" borderId="2" xfId="0" quotePrefix="1" applyFont="1" applyFill="1" applyBorder="1" applyAlignment="1">
      <alignment horizontal="center" vertical="center"/>
    </xf>
    <xf numFmtId="0" fontId="11" fillId="8" borderId="26" xfId="0" quotePrefix="1" applyFont="1" applyFill="1" applyBorder="1" applyAlignment="1">
      <alignment horizontal="center" vertical="center"/>
    </xf>
    <xf numFmtId="0" fontId="45" fillId="8" borderId="1" xfId="0" applyFont="1" applyFill="1" applyBorder="1" applyAlignment="1">
      <alignment horizontal="center" vertical="center"/>
    </xf>
    <xf numFmtId="0" fontId="58" fillId="53" borderId="0" xfId="0" quotePrefix="1" applyFont="1" applyFill="1" applyAlignment="1">
      <alignment horizontal="center" vertical="top" wrapText="1"/>
    </xf>
    <xf numFmtId="0" fontId="58" fillId="0" borderId="0" xfId="0" quotePrefix="1" applyFont="1" applyAlignment="1">
      <alignment horizontal="center" vertical="center" wrapText="1"/>
    </xf>
    <xf numFmtId="0" fontId="23" fillId="2" borderId="11" xfId="0" applyFont="1" applyFill="1" applyBorder="1" applyAlignment="1">
      <alignment horizontal="center" vertical="center"/>
    </xf>
    <xf numFmtId="0" fontId="23" fillId="2" borderId="12" xfId="0" applyFont="1" applyFill="1" applyBorder="1" applyAlignment="1">
      <alignment horizontal="center" vertical="center"/>
    </xf>
    <xf numFmtId="0" fontId="23" fillId="2" borderId="49" xfId="0" applyFont="1" applyFill="1" applyBorder="1" applyAlignment="1">
      <alignment horizontal="center" vertical="center"/>
    </xf>
    <xf numFmtId="0" fontId="57" fillId="50" borderId="52" xfId="0" applyFont="1" applyFill="1" applyBorder="1" applyAlignment="1">
      <alignment horizontal="center" vertical="center"/>
    </xf>
    <xf numFmtId="0" fontId="57" fillId="50" borderId="24" xfId="0" applyFont="1" applyFill="1" applyBorder="1" applyAlignment="1">
      <alignment horizontal="center" vertical="center"/>
    </xf>
    <xf numFmtId="0" fontId="57" fillId="50" borderId="60" xfId="0" applyFont="1" applyFill="1" applyBorder="1" applyAlignment="1">
      <alignment horizontal="center" vertical="center"/>
    </xf>
    <xf numFmtId="0" fontId="23" fillId="2" borderId="58" xfId="0" applyFont="1" applyFill="1" applyBorder="1" applyAlignment="1">
      <alignment horizontal="center" vertical="center"/>
    </xf>
    <xf numFmtId="0" fontId="23" fillId="2" borderId="24" xfId="0" applyFont="1" applyFill="1" applyBorder="1" applyAlignment="1">
      <alignment horizontal="center" vertical="center"/>
    </xf>
    <xf numFmtId="0" fontId="23" fillId="2" borderId="59" xfId="0" applyFont="1" applyFill="1" applyBorder="1" applyAlignment="1">
      <alignment horizontal="center" vertical="center"/>
    </xf>
    <xf numFmtId="0" fontId="81" fillId="53" borderId="0" xfId="0" quotePrefix="1" applyFont="1" applyFill="1" applyAlignment="1">
      <alignment horizontal="center" vertical="center" wrapText="1"/>
    </xf>
    <xf numFmtId="0" fontId="58" fillId="53" borderId="0" xfId="0" quotePrefix="1" applyFont="1" applyFill="1" applyAlignment="1">
      <alignment horizontal="center" vertical="center" wrapText="1"/>
    </xf>
    <xf numFmtId="17" fontId="12" fillId="48" borderId="50" xfId="0" applyNumberFormat="1" applyFont="1" applyFill="1" applyBorder="1" applyAlignment="1">
      <alignment horizontal="center" vertical="center"/>
    </xf>
    <xf numFmtId="17" fontId="12" fillId="48" borderId="35" xfId="0" applyNumberFormat="1" applyFont="1" applyFill="1" applyBorder="1" applyAlignment="1">
      <alignment horizontal="center" vertical="center"/>
    </xf>
    <xf numFmtId="0" fontId="96" fillId="48" borderId="51" xfId="0" applyFont="1" applyFill="1" applyBorder="1" applyAlignment="1">
      <alignment vertical="center"/>
    </xf>
    <xf numFmtId="166" fontId="49" fillId="11" borderId="0" xfId="0" applyNumberFormat="1" applyFont="1" applyFill="1" applyAlignment="1">
      <alignment horizontal="left" vertical="center" indent="14"/>
    </xf>
    <xf numFmtId="17" fontId="12" fillId="48" borderId="24" xfId="0" applyNumberFormat="1" applyFont="1" applyFill="1" applyBorder="1" applyAlignment="1">
      <alignment horizontal="center" vertical="center"/>
    </xf>
    <xf numFmtId="17" fontId="12" fillId="48" borderId="0" xfId="0" applyNumberFormat="1" applyFont="1" applyFill="1" applyAlignment="1">
      <alignment horizontal="center" vertical="center"/>
    </xf>
    <xf numFmtId="0" fontId="23" fillId="2" borderId="17" xfId="0" applyFont="1" applyFill="1" applyBorder="1" applyAlignment="1">
      <alignment horizontal="center" vertical="center"/>
    </xf>
    <xf numFmtId="0" fontId="23" fillId="2" borderId="3" xfId="0" applyFont="1" applyFill="1" applyBorder="1" applyAlignment="1">
      <alignment horizontal="center" vertical="center"/>
    </xf>
    <xf numFmtId="17" fontId="12" fillId="48" borderId="24" xfId="0" applyNumberFormat="1" applyFont="1" applyFill="1" applyBorder="1" applyAlignment="1">
      <alignment horizontal="center"/>
    </xf>
    <xf numFmtId="17" fontId="12" fillId="48" borderId="0" xfId="0" applyNumberFormat="1" applyFont="1" applyFill="1" applyAlignment="1">
      <alignment horizontal="center"/>
    </xf>
    <xf numFmtId="17" fontId="12" fillId="48" borderId="50" xfId="0" applyNumberFormat="1" applyFont="1" applyFill="1" applyBorder="1" applyAlignment="1">
      <alignment horizontal="center"/>
    </xf>
    <xf numFmtId="17" fontId="12" fillId="48" borderId="35" xfId="0" applyNumberFormat="1" applyFont="1" applyFill="1" applyBorder="1" applyAlignment="1">
      <alignment horizontal="center"/>
    </xf>
    <xf numFmtId="0" fontId="96" fillId="48" borderId="51" xfId="0" applyFont="1" applyFill="1" applyBorder="1" applyAlignment="1"/>
    <xf numFmtId="0" fontId="57" fillId="50" borderId="61" xfId="0" applyFont="1" applyFill="1" applyBorder="1" applyAlignment="1">
      <alignment horizontal="center" vertical="center"/>
    </xf>
    <xf numFmtId="0" fontId="57" fillId="50" borderId="12" xfId="0" applyFont="1" applyFill="1" applyBorder="1" applyAlignment="1">
      <alignment horizontal="center" vertical="center"/>
    </xf>
    <xf numFmtId="0" fontId="57" fillId="50" borderId="13" xfId="0" applyFont="1" applyFill="1" applyBorder="1" applyAlignment="1">
      <alignment horizontal="center" vertical="center"/>
    </xf>
    <xf numFmtId="0" fontId="57" fillId="50" borderId="27" xfId="0" applyFont="1" applyFill="1" applyBorder="1" applyAlignment="1">
      <alignment horizontal="center" vertical="center"/>
    </xf>
    <xf numFmtId="0" fontId="57" fillId="50" borderId="53" xfId="0" applyFont="1" applyFill="1" applyBorder="1" applyAlignment="1">
      <alignment horizontal="center" vertical="center"/>
    </xf>
    <xf numFmtId="0" fontId="57" fillId="50" borderId="54" xfId="0" applyFont="1" applyFill="1" applyBorder="1" applyAlignment="1">
      <alignment horizontal="center" vertical="center"/>
    </xf>
    <xf numFmtId="0" fontId="45" fillId="48" borderId="56" xfId="0" applyFont="1" applyFill="1" applyBorder="1" applyAlignment="1">
      <alignment horizontal="center" vertical="center"/>
    </xf>
    <xf numFmtId="0" fontId="45" fillId="48" borderId="0" xfId="0" applyFont="1" applyFill="1" applyAlignment="1">
      <alignment horizontal="center" vertical="center"/>
    </xf>
    <xf numFmtId="0" fontId="45" fillId="48" borderId="56" xfId="0" applyFont="1" applyFill="1" applyBorder="1" applyAlignment="1">
      <alignment horizontal="center"/>
    </xf>
    <xf numFmtId="0" fontId="45" fillId="48" borderId="0" xfId="0" applyFont="1" applyFill="1" applyAlignment="1">
      <alignment horizontal="center"/>
    </xf>
    <xf numFmtId="0" fontId="97" fillId="48" borderId="0" xfId="0" applyFont="1" applyFill="1" applyAlignment="1">
      <alignment horizontal="center"/>
    </xf>
    <xf numFmtId="0" fontId="97" fillId="48" borderId="0" xfId="0" applyFont="1" applyFill="1" applyAlignment="1">
      <alignment horizontal="center" vertical="center"/>
    </xf>
    <xf numFmtId="0" fontId="12" fillId="48" borderId="2" xfId="0" applyFont="1" applyFill="1" applyBorder="1" applyAlignment="1">
      <alignment horizontal="center" vertical="center" wrapText="1"/>
    </xf>
    <xf numFmtId="0" fontId="12" fillId="48" borderId="26" xfId="0" applyFont="1" applyFill="1" applyBorder="1" applyAlignment="1">
      <alignment horizontal="center" vertical="center" wrapText="1"/>
    </xf>
    <xf numFmtId="0" fontId="12" fillId="48" borderId="25" xfId="0" applyFont="1" applyFill="1" applyBorder="1" applyAlignment="1">
      <alignment horizontal="center" vertical="center" wrapText="1"/>
    </xf>
    <xf numFmtId="0" fontId="59" fillId="47" borderId="2" xfId="0" applyFont="1" applyFill="1" applyBorder="1" applyAlignment="1">
      <alignment horizontal="center" vertical="center" wrapText="1"/>
    </xf>
    <xf numFmtId="0" fontId="56" fillId="47" borderId="26" xfId="0" applyFont="1" applyFill="1" applyBorder="1" applyAlignment="1">
      <alignment horizontal="center" vertical="center" wrapText="1"/>
    </xf>
    <xf numFmtId="0" fontId="56" fillId="47" borderId="25" xfId="0" applyFont="1" applyFill="1" applyBorder="1" applyAlignment="1">
      <alignment horizontal="center" vertical="center" wrapText="1"/>
    </xf>
    <xf numFmtId="0" fontId="59" fillId="47" borderId="26" xfId="0" applyFont="1" applyFill="1" applyBorder="1" applyAlignment="1">
      <alignment horizontal="center" vertical="center" wrapText="1"/>
    </xf>
    <xf numFmtId="0" fontId="59" fillId="47" borderId="25" xfId="0" applyFont="1" applyFill="1" applyBorder="1" applyAlignment="1">
      <alignment horizontal="center" vertical="center" wrapText="1"/>
    </xf>
    <xf numFmtId="0" fontId="62" fillId="48" borderId="2" xfId="0" applyFont="1" applyFill="1" applyBorder="1" applyAlignment="1">
      <alignment horizontal="center" vertical="center" wrapText="1"/>
    </xf>
    <xf numFmtId="0" fontId="62" fillId="48" borderId="26" xfId="0" applyFont="1" applyFill="1" applyBorder="1" applyAlignment="1">
      <alignment horizontal="center" vertical="center" wrapText="1"/>
    </xf>
    <xf numFmtId="0" fontId="62" fillId="48" borderId="25" xfId="0" applyFont="1" applyFill="1" applyBorder="1" applyAlignment="1">
      <alignment horizontal="center" vertical="center" wrapText="1"/>
    </xf>
    <xf numFmtId="0" fontId="84" fillId="48" borderId="26" xfId="0" applyFont="1" applyFill="1" applyBorder="1" applyAlignment="1">
      <alignment horizontal="center" vertical="center" wrapText="1"/>
    </xf>
    <xf numFmtId="0" fontId="84" fillId="48" borderId="25" xfId="0" applyFont="1" applyFill="1" applyBorder="1" applyAlignment="1">
      <alignment horizontal="center" vertical="center" wrapText="1"/>
    </xf>
    <xf numFmtId="0" fontId="98" fillId="48" borderId="26" xfId="0" applyFont="1" applyFill="1" applyBorder="1" applyAlignment="1">
      <alignment horizontal="center" vertical="center" wrapText="1"/>
    </xf>
    <xf numFmtId="0" fontId="98" fillId="48" borderId="25" xfId="0" applyFont="1" applyFill="1" applyBorder="1" applyAlignment="1">
      <alignment horizontal="center" vertical="center" wrapText="1"/>
    </xf>
    <xf numFmtId="166" fontId="5" fillId="11" borderId="0" xfId="0" applyNumberFormat="1" applyFont="1" applyFill="1" applyAlignment="1">
      <alignment horizontal="left" vertical="center" indent="14"/>
    </xf>
    <xf numFmtId="0" fontId="12" fillId="8" borderId="2" xfId="0" applyFont="1" applyFill="1" applyBorder="1" applyAlignment="1">
      <alignment horizontal="center" vertical="center" wrapText="1"/>
    </xf>
    <xf numFmtId="0" fontId="12" fillId="8" borderId="26" xfId="0" applyFont="1" applyFill="1" applyBorder="1" applyAlignment="1">
      <alignment horizontal="center" vertical="center" wrapText="1"/>
    </xf>
    <xf numFmtId="0" fontId="99" fillId="8" borderId="26" xfId="0" applyFont="1" applyFill="1" applyBorder="1" applyAlignment="1">
      <alignment horizontal="center" vertical="center" wrapText="1"/>
    </xf>
    <xf numFmtId="0" fontId="99" fillId="8"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 fillId="2" borderId="0" xfId="0" applyFont="1" applyFill="1" applyAlignment="1">
      <alignment horizontal="center"/>
    </xf>
    <xf numFmtId="0" fontId="18" fillId="2" borderId="0" xfId="0" applyFont="1" applyFill="1" applyAlignment="1">
      <alignment horizontal="center"/>
    </xf>
    <xf numFmtId="0" fontId="85" fillId="53" borderId="0" xfId="0" quotePrefix="1" applyFont="1" applyFill="1" applyAlignment="1">
      <alignment horizontal="center" vertical="center" wrapText="1"/>
    </xf>
    <xf numFmtId="166" fontId="5" fillId="11" borderId="24" xfId="0" applyNumberFormat="1" applyFont="1" applyFill="1" applyBorder="1" applyAlignment="1">
      <alignment horizontal="center" vertical="center"/>
    </xf>
    <xf numFmtId="0" fontId="87" fillId="8" borderId="26" xfId="0" applyFont="1" applyFill="1" applyBorder="1" applyAlignment="1">
      <alignment horizontal="center" vertical="center" wrapText="1"/>
    </xf>
    <xf numFmtId="0" fontId="87" fillId="8" borderId="25" xfId="0" applyFont="1" applyFill="1" applyBorder="1" applyAlignment="1">
      <alignment horizontal="center" vertical="center" wrapText="1"/>
    </xf>
    <xf numFmtId="0" fontId="100" fillId="48" borderId="26" xfId="0" applyFont="1" applyFill="1" applyBorder="1" applyAlignment="1">
      <alignment horizontal="center" vertical="center" wrapText="1"/>
    </xf>
    <xf numFmtId="0" fontId="100" fillId="48" borderId="25" xfId="0" applyFont="1" applyFill="1" applyBorder="1" applyAlignment="1">
      <alignment horizontal="center" vertical="center" wrapText="1"/>
    </xf>
    <xf numFmtId="0" fontId="87" fillId="48" borderId="26" xfId="0" applyFont="1" applyFill="1" applyBorder="1" applyAlignment="1">
      <alignment horizontal="center" vertical="center" wrapText="1"/>
    </xf>
    <xf numFmtId="0" fontId="87" fillId="48" borderId="25" xfId="0" applyFont="1" applyFill="1" applyBorder="1" applyAlignment="1">
      <alignment horizontal="center" vertical="center" wrapText="1"/>
    </xf>
    <xf numFmtId="166" fontId="5" fillId="49" borderId="0" xfId="0" applyNumberFormat="1" applyFont="1" applyFill="1" applyAlignment="1">
      <alignment horizontal="center" vertical="center"/>
    </xf>
    <xf numFmtId="166" fontId="5" fillId="11" borderId="0" xfId="0" applyNumberFormat="1" applyFont="1" applyFill="1" applyAlignment="1">
      <alignment horizontal="left" vertical="center" indent="20"/>
    </xf>
    <xf numFmtId="0" fontId="10" fillId="10" borderId="0" xfId="0" applyFont="1" applyFill="1" applyAlignment="1">
      <alignment horizontal="center" vertical="center" wrapText="1"/>
    </xf>
    <xf numFmtId="0" fontId="10" fillId="10" borderId="4" xfId="0" applyFont="1" applyFill="1" applyBorder="1" applyAlignment="1">
      <alignment horizontal="center" vertical="center" wrapText="1"/>
    </xf>
    <xf numFmtId="0" fontId="10" fillId="10" borderId="20" xfId="0" applyFont="1" applyFill="1" applyBorder="1" applyAlignment="1">
      <alignment horizontal="center"/>
    </xf>
    <xf numFmtId="0" fontId="10" fillId="10" borderId="4" xfId="0" applyFont="1" applyFill="1" applyBorder="1" applyAlignment="1">
      <alignment horizontal="center"/>
    </xf>
    <xf numFmtId="0" fontId="10" fillId="10" borderId="0" xfId="0" applyFont="1" applyFill="1" applyAlignment="1">
      <alignment horizontal="center"/>
    </xf>
    <xf numFmtId="0" fontId="10" fillId="10" borderId="21" xfId="0" applyFont="1" applyFill="1" applyBorder="1" applyAlignment="1">
      <alignment horizontal="center"/>
    </xf>
    <xf numFmtId="0" fontId="10" fillId="10" borderId="22" xfId="0" applyFont="1" applyFill="1" applyBorder="1" applyAlignment="1">
      <alignment horizontal="center" vertical="center" wrapText="1"/>
    </xf>
    <xf numFmtId="0" fontId="10" fillId="10" borderId="34" xfId="0" applyFont="1" applyFill="1" applyBorder="1" applyAlignment="1">
      <alignment horizontal="center" vertical="center" wrapText="1"/>
    </xf>
    <xf numFmtId="0" fontId="10"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5" fillId="10" borderId="22" xfId="0" applyFont="1" applyFill="1" applyBorder="1" applyAlignment="1">
      <alignment horizontal="center"/>
    </xf>
    <xf numFmtId="0" fontId="0" fillId="0" borderId="34" xfId="0" applyBorder="1" applyAlignment="1">
      <alignment horizontal="center"/>
    </xf>
    <xf numFmtId="0" fontId="15" fillId="10" borderId="2" xfId="0" applyFont="1" applyFill="1" applyBorder="1" applyAlignment="1">
      <alignment horizontal="center"/>
    </xf>
    <xf numFmtId="0" fontId="0" fillId="0" borderId="26" xfId="0" applyBorder="1" applyAlignment="1">
      <alignment horizontal="center"/>
    </xf>
    <xf numFmtId="0" fontId="15" fillId="10" borderId="1" xfId="0" applyFont="1" applyFill="1" applyBorder="1" applyAlignment="1">
      <alignment horizontal="center"/>
    </xf>
    <xf numFmtId="0" fontId="0" fillId="0" borderId="1" xfId="0" applyBorder="1" applyAlignment="1">
      <alignment horizontal="center"/>
    </xf>
    <xf numFmtId="0" fontId="85" fillId="0" borderId="0" xfId="0" quotePrefix="1" applyFont="1" applyAlignment="1">
      <alignment horizontal="center" vertical="center" wrapText="1"/>
    </xf>
    <xf numFmtId="0" fontId="15" fillId="10" borderId="50" xfId="0" quotePrefix="1" applyFont="1" applyFill="1" applyBorder="1" applyAlignment="1">
      <alignment horizontal="center" wrapText="1"/>
    </xf>
    <xf numFmtId="0" fontId="15" fillId="10" borderId="35" xfId="0" applyFont="1" applyFill="1" applyBorder="1" applyAlignment="1">
      <alignment horizontal="center" wrapText="1"/>
    </xf>
    <xf numFmtId="0" fontId="15" fillId="10" borderId="27" xfId="0" applyFont="1" applyFill="1" applyBorder="1" applyAlignment="1">
      <alignment horizontal="center" vertical="center" wrapText="1"/>
    </xf>
    <xf numFmtId="0" fontId="15" fillId="10" borderId="28" xfId="0" applyFont="1" applyFill="1" applyBorder="1" applyAlignment="1">
      <alignment horizontal="center" vertical="center" wrapText="1"/>
    </xf>
    <xf numFmtId="0" fontId="15" fillId="10" borderId="52" xfId="0" quotePrefix="1" applyFont="1" applyFill="1" applyBorder="1" applyAlignment="1">
      <alignment horizontal="center" vertical="center" wrapText="1"/>
    </xf>
    <xf numFmtId="0" fontId="15" fillId="10" borderId="28" xfId="0" quotePrefix="1" applyFont="1" applyFill="1" applyBorder="1" applyAlignment="1">
      <alignment horizontal="center" vertical="center" wrapText="1"/>
    </xf>
    <xf numFmtId="0" fontId="15" fillId="10" borderId="31" xfId="0" applyFont="1" applyFill="1" applyBorder="1" applyAlignment="1">
      <alignment horizontal="center" vertical="center" wrapText="1"/>
    </xf>
    <xf numFmtId="0" fontId="15" fillId="10" borderId="55" xfId="0" quotePrefix="1" applyFont="1" applyFill="1" applyBorder="1" applyAlignment="1">
      <alignment horizontal="center" vertical="center" wrapText="1"/>
    </xf>
    <xf numFmtId="0" fontId="15" fillId="10" borderId="29" xfId="0" quotePrefix="1" applyFont="1" applyFill="1" applyBorder="1" applyAlignment="1">
      <alignment horizontal="center" vertical="center" wrapText="1"/>
    </xf>
    <xf numFmtId="0" fontId="23" fillId="0" borderId="1" xfId="0" applyFont="1" applyBorder="1" applyAlignment="1"/>
    <xf numFmtId="0" fontId="0" fillId="0" borderId="1" xfId="0" applyBorder="1" applyAlignment="1"/>
    <xf numFmtId="166" fontId="5" fillId="11" borderId="0" xfId="0" applyNumberFormat="1" applyFont="1" applyFill="1" applyAlignment="1">
      <alignment horizontal="left" vertical="center" indent="13"/>
    </xf>
    <xf numFmtId="0" fontId="11" fillId="48" borderId="4" xfId="0" applyFont="1" applyFill="1" applyBorder="1" applyAlignment="1">
      <alignment horizontal="center"/>
    </xf>
    <xf numFmtId="0" fontId="101" fillId="48" borderId="4" xfId="0" applyFont="1" applyFill="1" applyBorder="1" applyAlignment="1">
      <alignment horizontal="center"/>
    </xf>
    <xf numFmtId="0" fontId="102" fillId="0" borderId="20" xfId="0" applyFont="1" applyBorder="1" applyAlignment="1">
      <alignment horizontal="center" vertical="center" wrapText="1"/>
    </xf>
    <xf numFmtId="0" fontId="102" fillId="0" borderId="32" xfId="0" applyFont="1" applyBorder="1" applyAlignment="1">
      <alignment horizontal="center" vertical="center" wrapText="1"/>
    </xf>
    <xf numFmtId="0" fontId="59" fillId="50" borderId="1" xfId="0" applyFont="1" applyFill="1" applyBorder="1" applyAlignment="1">
      <alignment vertical="center" wrapText="1"/>
    </xf>
    <xf numFmtId="0" fontId="0" fillId="0" borderId="1" xfId="0" applyBorder="1" applyAlignment="1">
      <alignment wrapText="1"/>
    </xf>
    <xf numFmtId="0" fontId="15" fillId="10" borderId="1" xfId="0" applyFont="1" applyFill="1" applyBorder="1" applyAlignment="1">
      <alignment horizontal="center" vertical="center" wrapText="1"/>
    </xf>
    <xf numFmtId="1" fontId="57"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7" fillId="50" borderId="1" xfId="0" applyFont="1" applyFill="1" applyBorder="1" applyAlignment="1">
      <alignment wrapText="1"/>
    </xf>
    <xf numFmtId="0" fontId="10" fillId="10" borderId="56" xfId="0" applyFont="1" applyFill="1" applyBorder="1" applyAlignment="1">
      <alignment horizontal="center" vertical="center" wrapText="1"/>
    </xf>
    <xf numFmtId="0" fontId="102" fillId="0" borderId="0" xfId="0" applyFont="1" applyAlignment="1">
      <alignment horizontal="center" vertical="center" wrapText="1"/>
    </xf>
    <xf numFmtId="0" fontId="102" fillId="0" borderId="4" xfId="0" applyFont="1" applyBorder="1" applyAlignment="1">
      <alignment horizontal="center" vertical="center" wrapText="1"/>
    </xf>
    <xf numFmtId="0" fontId="94" fillId="48" borderId="4" xfId="0" applyFont="1" applyFill="1" applyBorder="1" applyAlignment="1">
      <alignment horizontal="center" wrapText="1"/>
    </xf>
    <xf numFmtId="0" fontId="15" fillId="10" borderId="1" xfId="0" applyFont="1" applyFill="1" applyBorder="1" applyAlignment="1">
      <alignment horizontal="center" vertical="center"/>
    </xf>
    <xf numFmtId="0" fontId="15" fillId="10" borderId="5" xfId="0" applyFont="1" applyFill="1" applyBorder="1" applyAlignment="1">
      <alignment horizontal="center" vertical="center"/>
    </xf>
    <xf numFmtId="0" fontId="15" fillId="10" borderId="6" xfId="0" applyFont="1" applyFill="1" applyBorder="1" applyAlignment="1">
      <alignment horizontal="center" vertical="center"/>
    </xf>
    <xf numFmtId="0" fontId="15" fillId="10" borderId="19" xfId="0" applyFont="1" applyFill="1" applyBorder="1" applyAlignment="1">
      <alignment horizontal="center" vertical="center"/>
    </xf>
    <xf numFmtId="0" fontId="88" fillId="54" borderId="5" xfId="0" applyFont="1" applyFill="1" applyBorder="1" applyAlignment="1">
      <alignment horizontal="center" vertical="center"/>
    </xf>
    <xf numFmtId="0" fontId="88" fillId="54" borderId="6" xfId="0" applyFont="1" applyFill="1" applyBorder="1" applyAlignment="1">
      <alignment horizontal="center" vertical="center"/>
    </xf>
    <xf numFmtId="0" fontId="88" fillId="54" borderId="19" xfId="0" applyFont="1" applyFill="1" applyBorder="1" applyAlignment="1">
      <alignment horizontal="center" vertical="center"/>
    </xf>
    <xf numFmtId="0" fontId="88" fillId="55" borderId="5" xfId="0" applyFont="1" applyFill="1" applyBorder="1" applyAlignment="1">
      <alignment horizontal="center" vertical="center"/>
    </xf>
    <xf numFmtId="0" fontId="88" fillId="55" borderId="6" xfId="0" applyFont="1" applyFill="1" applyBorder="1" applyAlignment="1">
      <alignment horizontal="center" vertical="center"/>
    </xf>
    <xf numFmtId="0" fontId="88" fillId="55" borderId="19" xfId="0" applyFont="1" applyFill="1" applyBorder="1" applyAlignment="1">
      <alignment horizontal="center" vertical="center"/>
    </xf>
    <xf numFmtId="0" fontId="10" fillId="10" borderId="27" xfId="0" applyFont="1" applyFill="1" applyBorder="1" applyAlignment="1">
      <alignment horizontal="center" vertical="center"/>
    </xf>
    <xf numFmtId="0" fontId="10" fillId="10" borderId="59" xfId="0" applyFont="1" applyFill="1" applyBorder="1" applyAlignment="1">
      <alignment horizontal="center" vertical="center"/>
    </xf>
    <xf numFmtId="0" fontId="44" fillId="9" borderId="0" xfId="0" applyFont="1" applyFill="1" applyAlignment="1">
      <alignment horizontal="left" vertical="center" indent="14"/>
    </xf>
    <xf numFmtId="0" fontId="45" fillId="5" borderId="0" xfId="0" applyFont="1" applyFill="1" applyAlignment="1">
      <alignment horizontal="left" vertical="center" wrapText="1" indent="14"/>
    </xf>
    <xf numFmtId="14" fontId="13" fillId="11" borderId="0" xfId="0" applyNumberFormat="1" applyFont="1" applyFill="1" applyAlignment="1">
      <alignment horizontal="left" vertical="center" indent="3"/>
    </xf>
    <xf numFmtId="0" fontId="44" fillId="9" borderId="0" xfId="0" applyFont="1" applyFill="1" applyAlignment="1">
      <alignment horizontal="left" vertical="center" indent="13"/>
    </xf>
    <xf numFmtId="0" fontId="62" fillId="5" borderId="0" xfId="0" applyFont="1" applyFill="1" applyAlignment="1">
      <alignment horizontal="left" vertical="center" wrapText="1" indent="11"/>
    </xf>
    <xf numFmtId="14" fontId="5" fillId="11" borderId="0" xfId="0" applyNumberFormat="1" applyFont="1" applyFill="1" applyAlignment="1">
      <alignment horizontal="left" vertical="center" indent="3"/>
    </xf>
    <xf numFmtId="0" fontId="12"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400">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CC5ED"/>
      <color rgb="FFFF0000"/>
      <color rgb="FF9900FF"/>
      <color rgb="FF66FFFF"/>
      <color rgb="FF6600FF"/>
      <color rgb="FFB07BD7"/>
      <color rgb="FF0066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8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348477</xdr:colOff>
      <xdr:row>21</xdr:row>
      <xdr:rowOff>58080</xdr:rowOff>
    </xdr:from>
    <xdr:to>
      <xdr:col>10</xdr:col>
      <xdr:colOff>429789</xdr:colOff>
      <xdr:row>23</xdr:row>
      <xdr:rowOff>192858</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6609422" y="5366525"/>
          <a:ext cx="4506952" cy="564565"/>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171450</xdr:rowOff>
    </xdr:from>
    <xdr:to>
      <xdr:col>16</xdr:col>
      <xdr:colOff>581025</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800"/>
          <a:ext cx="9886950"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election activeCell="B21" sqref="B21"/>
    </sheetView>
  </sheetViews>
  <sheetFormatPr defaultColWidth="8.81640625" defaultRowHeight="14" x14ac:dyDescent="0.3"/>
  <cols>
    <col min="1" max="1" width="3.1796875" customWidth="1"/>
    <col min="2" max="2" width="77" customWidth="1"/>
    <col min="9" max="9" width="21.453125" customWidth="1"/>
    <col min="10" max="10" width="9.453125" bestFit="1" customWidth="1"/>
    <col min="15" max="15" width="66.26953125" customWidth="1"/>
    <col min="17" max="17" width="63.453125" style="349" bestFit="1" customWidth="1"/>
    <col min="27" max="27" width="6.453125" customWidth="1"/>
  </cols>
  <sheetData>
    <row r="1" spans="1:27" ht="45" customHeight="1" x14ac:dyDescent="0.3">
      <c r="B1" s="407" t="s">
        <v>0</v>
      </c>
      <c r="C1" s="407"/>
      <c r="D1" s="407"/>
      <c r="E1" s="407"/>
      <c r="F1" s="407"/>
      <c r="G1" s="407"/>
      <c r="H1" s="407"/>
      <c r="I1" s="407"/>
      <c r="J1" s="407"/>
      <c r="K1" s="407"/>
      <c r="L1" s="407"/>
      <c r="M1" s="407"/>
    </row>
    <row r="2" spans="1:27" x14ac:dyDescent="0.3">
      <c r="A2" s="9"/>
    </row>
    <row r="3" spans="1:27" ht="21.75" customHeight="1" x14ac:dyDescent="0.35">
      <c r="B3" s="357"/>
      <c r="C3" s="206"/>
      <c r="D3" s="206"/>
    </row>
    <row r="4" spans="1:27" ht="18" customHeight="1" x14ac:dyDescent="0.3">
      <c r="C4" s="205"/>
      <c r="D4" s="205"/>
      <c r="O4" s="347"/>
      <c r="P4" s="348"/>
      <c r="Q4" s="350"/>
      <c r="R4" s="348"/>
      <c r="S4" s="348"/>
      <c r="T4" s="348"/>
      <c r="U4" s="348"/>
      <c r="V4" s="348"/>
      <c r="W4" s="348"/>
      <c r="X4" s="348"/>
      <c r="Y4" s="348"/>
      <c r="Z4" s="348"/>
      <c r="AA4" s="348"/>
    </row>
    <row r="5" spans="1:27" ht="23.25" customHeight="1" x14ac:dyDescent="0.3">
      <c r="B5" s="358" t="s">
        <v>1301</v>
      </c>
      <c r="C5" s="205"/>
      <c r="D5" s="205"/>
      <c r="O5" s="359" t="s">
        <v>1300</v>
      </c>
      <c r="P5" s="348"/>
      <c r="Q5" s="350"/>
      <c r="R5" s="348"/>
      <c r="S5" s="348"/>
      <c r="T5" s="348"/>
      <c r="U5" s="348"/>
      <c r="V5" s="348"/>
      <c r="W5" s="348"/>
      <c r="X5" s="348"/>
      <c r="Y5" s="348"/>
      <c r="Z5" s="348"/>
      <c r="AA5" s="348"/>
    </row>
    <row r="6" spans="1:27" ht="18" customHeight="1" x14ac:dyDescent="0.4">
      <c r="B6" s="361" t="s">
        <v>3</v>
      </c>
      <c r="C6" s="205"/>
      <c r="D6" s="205"/>
      <c r="O6" s="362" t="s">
        <v>9</v>
      </c>
      <c r="P6" s="59"/>
      <c r="R6" s="59"/>
      <c r="S6" s="60"/>
    </row>
    <row r="7" spans="1:27" ht="18" customHeight="1" x14ac:dyDescent="0.3">
      <c r="B7" s="361" t="s">
        <v>1299</v>
      </c>
      <c r="C7" s="205"/>
      <c r="D7" s="205"/>
      <c r="O7" s="362" t="s">
        <v>10</v>
      </c>
      <c r="P7" s="348"/>
      <c r="R7" s="348"/>
      <c r="S7" s="348"/>
      <c r="T7" s="348"/>
      <c r="U7" s="348"/>
      <c r="V7" s="348"/>
      <c r="W7" s="348"/>
      <c r="X7" s="348"/>
      <c r="Y7" s="348"/>
      <c r="Z7" s="348"/>
      <c r="AA7" s="348"/>
    </row>
    <row r="8" spans="1:27" ht="18" customHeight="1" x14ac:dyDescent="0.4">
      <c r="B8" s="362" t="s">
        <v>1322</v>
      </c>
      <c r="C8" s="205"/>
      <c r="D8" s="205"/>
      <c r="O8" s="360"/>
      <c r="P8" s="59"/>
      <c r="R8" s="60"/>
    </row>
    <row r="9" spans="1:27" ht="18" customHeight="1" x14ac:dyDescent="0.3">
      <c r="B9" s="362" t="s">
        <v>5</v>
      </c>
      <c r="C9" s="205"/>
      <c r="D9" s="205"/>
      <c r="O9" s="359" t="s">
        <v>1302</v>
      </c>
      <c r="P9" s="348"/>
      <c r="R9" s="348"/>
      <c r="S9" s="348"/>
      <c r="T9" s="348"/>
      <c r="U9" s="348"/>
      <c r="V9" s="348"/>
      <c r="W9" s="348"/>
      <c r="X9" s="348"/>
      <c r="Y9" s="348"/>
      <c r="Z9" s="348"/>
      <c r="AA9" s="348"/>
    </row>
    <row r="10" spans="1:27" ht="17.25" customHeight="1" x14ac:dyDescent="0.4">
      <c r="B10" s="362" t="s">
        <v>6</v>
      </c>
      <c r="C10" s="205"/>
      <c r="D10" s="205"/>
      <c r="O10" s="362" t="s">
        <v>1305</v>
      </c>
      <c r="P10" s="59"/>
      <c r="Q10" s="351"/>
      <c r="R10" s="59"/>
      <c r="S10" s="60"/>
    </row>
    <row r="11" spans="1:27" ht="18" customHeight="1" x14ac:dyDescent="0.35">
      <c r="B11" s="362" t="s">
        <v>8</v>
      </c>
      <c r="O11" s="362" t="s">
        <v>4</v>
      </c>
      <c r="P11" s="210"/>
      <c r="Q11" s="352"/>
      <c r="R11" s="210"/>
      <c r="S11" s="210"/>
    </row>
    <row r="12" spans="1:27" ht="19.5" customHeight="1" x14ac:dyDescent="0.35">
      <c r="B12" s="362" t="s">
        <v>11</v>
      </c>
      <c r="O12" s="362" t="s">
        <v>7</v>
      </c>
      <c r="P12" s="209"/>
      <c r="Q12" s="353"/>
      <c r="R12" s="209"/>
      <c r="S12" s="209"/>
    </row>
    <row r="13" spans="1:27" ht="17.5" x14ac:dyDescent="0.35">
      <c r="B13" s="362" t="s">
        <v>12</v>
      </c>
      <c r="O13" s="362" t="s">
        <v>1304</v>
      </c>
      <c r="P13" s="210"/>
      <c r="Q13" s="352"/>
      <c r="R13" s="210"/>
      <c r="S13" s="210"/>
    </row>
    <row r="14" spans="1:27" ht="17.5" x14ac:dyDescent="0.35">
      <c r="B14" s="362" t="s">
        <v>13</v>
      </c>
      <c r="O14" s="360"/>
      <c r="P14" s="210"/>
      <c r="Q14" s="210"/>
      <c r="R14" s="210"/>
      <c r="S14" s="210"/>
      <c r="T14" s="210"/>
    </row>
    <row r="15" spans="1:27" ht="20" x14ac:dyDescent="0.35">
      <c r="B15" s="362" t="s">
        <v>14</v>
      </c>
      <c r="O15" s="359" t="s">
        <v>1303</v>
      </c>
      <c r="P15" s="210"/>
      <c r="Q15" s="210"/>
      <c r="R15" s="210"/>
      <c r="S15" s="210"/>
    </row>
    <row r="16" spans="1:27" ht="17.5" x14ac:dyDescent="0.35">
      <c r="B16" s="362" t="s">
        <v>15</v>
      </c>
      <c r="O16" s="362" t="s">
        <v>1</v>
      </c>
      <c r="P16" s="210"/>
      <c r="Q16" s="352"/>
      <c r="R16" s="210"/>
      <c r="S16" s="210"/>
    </row>
    <row r="17" spans="2:19" ht="17.5" x14ac:dyDescent="0.35">
      <c r="B17" s="362" t="s">
        <v>16</v>
      </c>
      <c r="O17" s="362" t="s">
        <v>2</v>
      </c>
      <c r="P17" s="210"/>
      <c r="Q17" s="352"/>
      <c r="R17" s="210"/>
      <c r="S17" s="210"/>
    </row>
    <row r="18" spans="2:19" ht="17.5" x14ac:dyDescent="0.35">
      <c r="B18" s="362" t="s">
        <v>1292</v>
      </c>
      <c r="P18" s="210"/>
      <c r="Q18" s="352"/>
      <c r="R18" s="210"/>
      <c r="S18" s="210"/>
    </row>
    <row r="19" spans="2:19" ht="17.5" x14ac:dyDescent="0.35">
      <c r="O19" s="346"/>
      <c r="P19" s="210"/>
      <c r="Q19" s="352"/>
      <c r="R19" s="210"/>
      <c r="S19" s="210"/>
    </row>
    <row r="20" spans="2:19" ht="18" x14ac:dyDescent="0.4">
      <c r="O20" s="60"/>
      <c r="P20" s="210"/>
      <c r="Q20" s="352"/>
      <c r="R20" s="210"/>
      <c r="S20" s="210"/>
    </row>
    <row r="21" spans="2:19" x14ac:dyDescent="0.3">
      <c r="O21" s="345"/>
    </row>
    <row r="22" spans="2:19" ht="18" x14ac:dyDescent="0.4">
      <c r="B22" s="393"/>
      <c r="O22" s="60"/>
      <c r="P22" s="346"/>
      <c r="Q22" s="354"/>
      <c r="R22" s="346"/>
      <c r="S22" s="346"/>
    </row>
    <row r="23" spans="2:19" ht="18" x14ac:dyDescent="0.4">
      <c r="O23" s="209"/>
      <c r="P23" s="60"/>
      <c r="Q23" s="355"/>
      <c r="R23" s="60"/>
      <c r="S23" s="60"/>
    </row>
    <row r="24" spans="2:19" ht="18" x14ac:dyDescent="0.4">
      <c r="O24" s="60"/>
      <c r="P24" s="345"/>
      <c r="Q24" s="356"/>
      <c r="R24" s="345"/>
      <c r="S24" s="345"/>
    </row>
    <row r="25" spans="2:19" ht="18" x14ac:dyDescent="0.4">
      <c r="P25" s="60"/>
      <c r="Q25" s="355"/>
      <c r="R25" s="60"/>
      <c r="S25" s="60"/>
    </row>
    <row r="26" spans="2:19" ht="17.5" x14ac:dyDescent="0.35">
      <c r="P26" s="209"/>
      <c r="Q26" s="353"/>
      <c r="R26" s="209"/>
      <c r="S26" s="209"/>
    </row>
    <row r="27" spans="2:19" ht="18" x14ac:dyDescent="0.4">
      <c r="P27" s="60"/>
      <c r="Q27" s="355"/>
      <c r="R27" s="60"/>
      <c r="S27" s="60"/>
    </row>
    <row r="33" spans="2:10" x14ac:dyDescent="0.3">
      <c r="J33" s="7"/>
    </row>
    <row r="41" spans="2:10" x14ac:dyDescent="0.3">
      <c r="C41" s="53"/>
    </row>
    <row r="46" spans="2:10" x14ac:dyDescent="0.3">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6"/>
  <sheetViews>
    <sheetView topLeftCell="T1" zoomScaleNormal="100" workbookViewId="0">
      <selection activeCell="Y1" sqref="Y1"/>
    </sheetView>
  </sheetViews>
  <sheetFormatPr defaultColWidth="8.81640625" defaultRowHeight="14.5" x14ac:dyDescent="0.35"/>
  <cols>
    <col min="1" max="1" width="31.453125" style="245" bestFit="1" customWidth="1"/>
    <col min="2" max="2" width="29.453125" style="245" bestFit="1" customWidth="1"/>
    <col min="3" max="3" width="26.453125" style="245" bestFit="1" customWidth="1"/>
    <col min="4" max="4" width="31.81640625" style="245" customWidth="1"/>
    <col min="5" max="5" width="51.1796875" style="245" bestFit="1" customWidth="1"/>
    <col min="6" max="6" width="45.453125" style="245" bestFit="1" customWidth="1"/>
    <col min="7" max="7" width="26.453125" style="245" bestFit="1" customWidth="1"/>
    <col min="8" max="8" width="34.453125" style="245" bestFit="1" customWidth="1"/>
    <col min="9" max="9" width="50.81640625" style="245" bestFit="1" customWidth="1"/>
    <col min="10" max="10" width="23.1796875" style="245" bestFit="1" customWidth="1"/>
    <col min="11" max="11" width="31.453125" style="245" bestFit="1" customWidth="1"/>
    <col min="12" max="12" width="53.453125" style="245" customWidth="1"/>
    <col min="13" max="13" width="26.453125" style="245" bestFit="1" customWidth="1"/>
    <col min="14" max="14" width="44.453125" style="245" bestFit="1" customWidth="1"/>
    <col min="15" max="15" width="31.81640625" style="245" bestFit="1" customWidth="1"/>
    <col min="16" max="16" width="39.453125" style="245" customWidth="1"/>
    <col min="17" max="17" width="33.453125" style="245" bestFit="1" customWidth="1"/>
    <col min="18" max="18" width="55.1796875" style="245" bestFit="1" customWidth="1"/>
    <col min="19" max="19" width="46" style="247" customWidth="1"/>
    <col min="20" max="20" width="41.453125" style="245" bestFit="1" customWidth="1"/>
    <col min="21" max="22" width="45.1796875" style="245" customWidth="1"/>
    <col min="23" max="23" width="46.81640625" style="245" bestFit="1" customWidth="1"/>
    <col min="24" max="24" width="35.453125" style="245" bestFit="1" customWidth="1"/>
    <col min="25" max="25" width="45.1796875" style="245" bestFit="1" customWidth="1"/>
    <col min="26" max="16384" width="8.81640625" style="245"/>
  </cols>
  <sheetData>
    <row r="1" spans="1:25" s="251" customFormat="1" x14ac:dyDescent="0.35">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1" t="s">
        <v>18</v>
      </c>
      <c r="P1" s="332" t="s">
        <v>19</v>
      </c>
      <c r="Q1" s="319" t="s">
        <v>20</v>
      </c>
      <c r="R1" s="332" t="s">
        <v>21</v>
      </c>
      <c r="S1" s="333" t="s">
        <v>22</v>
      </c>
      <c r="T1" s="332" t="s">
        <v>23</v>
      </c>
      <c r="U1" s="319" t="s">
        <v>24</v>
      </c>
      <c r="V1" s="319" t="s">
        <v>25</v>
      </c>
      <c r="W1" s="305" t="s">
        <v>26</v>
      </c>
      <c r="X1" s="249" t="s">
        <v>27</v>
      </c>
      <c r="Y1" s="331" t="s">
        <v>28</v>
      </c>
    </row>
    <row r="2" spans="1:25" x14ac:dyDescent="0.35">
      <c r="A2" s="245" t="s">
        <v>29</v>
      </c>
      <c r="B2" s="245" t="s">
        <v>30</v>
      </c>
      <c r="C2" s="245" t="s">
        <v>31</v>
      </c>
      <c r="D2" s="245" t="s">
        <v>32</v>
      </c>
      <c r="E2" s="254" t="s">
        <v>1327</v>
      </c>
      <c r="F2" s="245" t="s">
        <v>34</v>
      </c>
      <c r="G2" s="245" t="s">
        <v>35</v>
      </c>
      <c r="H2" s="245" t="s">
        <v>36</v>
      </c>
      <c r="I2" s="245" t="s">
        <v>37</v>
      </c>
      <c r="J2" s="245" t="s">
        <v>38</v>
      </c>
      <c r="K2" s="245" t="s">
        <v>39</v>
      </c>
      <c r="L2" s="245" t="s">
        <v>62</v>
      </c>
      <c r="N2" s="338" t="s">
        <v>41</v>
      </c>
      <c r="O2" s="339" t="s">
        <v>42</v>
      </c>
      <c r="P2" s="338" t="s">
        <v>43</v>
      </c>
      <c r="Q2" s="339" t="s">
        <v>66</v>
      </c>
      <c r="R2" s="338" t="s">
        <v>45</v>
      </c>
      <c r="S2" s="341" t="s">
        <v>46</v>
      </c>
      <c r="T2" s="338" t="s">
        <v>47</v>
      </c>
      <c r="U2" s="344" t="s">
        <v>1182</v>
      </c>
      <c r="V2" s="342" t="s">
        <v>1264</v>
      </c>
      <c r="W2" s="338" t="s">
        <v>48</v>
      </c>
      <c r="X2" s="338" t="s">
        <v>49</v>
      </c>
      <c r="Y2" s="339" t="s">
        <v>50</v>
      </c>
    </row>
    <row r="3" spans="1:25" x14ac:dyDescent="0.35">
      <c r="A3" s="245" t="s">
        <v>51</v>
      </c>
      <c r="B3" s="245" t="s">
        <v>52</v>
      </c>
      <c r="C3" s="245" t="s">
        <v>53</v>
      </c>
      <c r="D3" s="245" t="s">
        <v>54</v>
      </c>
      <c r="E3" s="245" t="s">
        <v>33</v>
      </c>
      <c r="F3" s="245" t="s">
        <v>56</v>
      </c>
      <c r="G3" s="245" t="s">
        <v>57</v>
      </c>
      <c r="H3" s="245" t="s">
        <v>58</v>
      </c>
      <c r="I3" s="245" t="s">
        <v>59</v>
      </c>
      <c r="J3" s="245" t="s">
        <v>60</v>
      </c>
      <c r="K3" s="245" t="s">
        <v>61</v>
      </c>
      <c r="L3" s="245" t="s">
        <v>83</v>
      </c>
      <c r="N3" s="338" t="s">
        <v>63</v>
      </c>
      <c r="O3" s="339" t="s">
        <v>64</v>
      </c>
      <c r="P3" s="338" t="s">
        <v>65</v>
      </c>
      <c r="Q3" s="339" t="s">
        <v>87</v>
      </c>
      <c r="R3" s="338" t="s">
        <v>67</v>
      </c>
      <c r="S3" s="341" t="s">
        <v>68</v>
      </c>
      <c r="T3" s="338" t="s">
        <v>69</v>
      </c>
      <c r="U3" s="344" t="s">
        <v>1183</v>
      </c>
      <c r="V3" s="342" t="s">
        <v>1265</v>
      </c>
      <c r="W3" s="338" t="s">
        <v>91</v>
      </c>
      <c r="X3" s="338" t="s">
        <v>271</v>
      </c>
      <c r="Y3" s="339" t="s">
        <v>71</v>
      </c>
    </row>
    <row r="4" spans="1:25" x14ac:dyDescent="0.35">
      <c r="A4" s="245" t="s">
        <v>72</v>
      </c>
      <c r="B4" s="245" t="s">
        <v>73</v>
      </c>
      <c r="C4" s="245" t="s">
        <v>74</v>
      </c>
      <c r="D4" s="245" t="s">
        <v>75</v>
      </c>
      <c r="E4" s="245" t="s">
        <v>55</v>
      </c>
      <c r="F4" s="245" t="s">
        <v>77</v>
      </c>
      <c r="G4" s="245" t="s">
        <v>78</v>
      </c>
      <c r="H4" s="245" t="s">
        <v>79</v>
      </c>
      <c r="I4" s="245" t="s">
        <v>80</v>
      </c>
      <c r="J4" s="245" t="s">
        <v>81</v>
      </c>
      <c r="K4" s="245" t="s">
        <v>82</v>
      </c>
      <c r="L4" s="245" t="s">
        <v>105</v>
      </c>
      <c r="N4" s="338" t="s">
        <v>84</v>
      </c>
      <c r="O4" s="339" t="s">
        <v>85</v>
      </c>
      <c r="P4" s="338" t="s">
        <v>86</v>
      </c>
      <c r="Q4" s="339" t="s">
        <v>109</v>
      </c>
      <c r="R4" s="338" t="s">
        <v>88</v>
      </c>
      <c r="S4" s="339" t="s">
        <v>89</v>
      </c>
      <c r="T4" s="338" t="s">
        <v>90</v>
      </c>
      <c r="U4" s="344" t="s">
        <v>1184</v>
      </c>
      <c r="V4" s="342" t="s">
        <v>1266</v>
      </c>
      <c r="W4" s="338" t="s">
        <v>113</v>
      </c>
      <c r="X4" s="338" t="s">
        <v>285</v>
      </c>
      <c r="Y4" s="339" t="s">
        <v>93</v>
      </c>
    </row>
    <row r="5" spans="1:25" x14ac:dyDescent="0.35">
      <c r="A5" s="245" t="s">
        <v>94</v>
      </c>
      <c r="B5" s="245" t="s">
        <v>95</v>
      </c>
      <c r="C5" s="245" t="s">
        <v>96</v>
      </c>
      <c r="D5" s="245" t="s">
        <v>97</v>
      </c>
      <c r="E5" s="245" t="s">
        <v>76</v>
      </c>
      <c r="F5" s="245" t="s">
        <v>99</v>
      </c>
      <c r="G5" s="245" t="s">
        <v>100</v>
      </c>
      <c r="H5" s="245" t="s">
        <v>101</v>
      </c>
      <c r="I5" s="245" t="s">
        <v>102</v>
      </c>
      <c r="J5" s="245" t="s">
        <v>103</v>
      </c>
      <c r="K5" s="245" t="s">
        <v>104</v>
      </c>
      <c r="L5" s="245" t="s">
        <v>127</v>
      </c>
      <c r="N5" s="338" t="s">
        <v>106</v>
      </c>
      <c r="O5" s="339" t="s">
        <v>107</v>
      </c>
      <c r="P5" s="338" t="s">
        <v>108</v>
      </c>
      <c r="Q5" s="339" t="s">
        <v>131</v>
      </c>
      <c r="R5" s="338" t="s">
        <v>110</v>
      </c>
      <c r="S5" s="339" t="s">
        <v>111</v>
      </c>
      <c r="T5" s="338" t="s">
        <v>112</v>
      </c>
      <c r="U5" s="344" t="s">
        <v>1185</v>
      </c>
      <c r="V5" s="342" t="s">
        <v>1267</v>
      </c>
      <c r="W5" s="338" t="s">
        <v>134</v>
      </c>
      <c r="X5" s="338" t="s">
        <v>70</v>
      </c>
      <c r="Y5" s="339" t="s">
        <v>1325</v>
      </c>
    </row>
    <row r="6" spans="1:25" x14ac:dyDescent="0.35">
      <c r="A6" s="245" t="s">
        <v>116</v>
      </c>
      <c r="B6" s="245" t="s">
        <v>117</v>
      </c>
      <c r="C6" s="245" t="s">
        <v>118</v>
      </c>
      <c r="D6" s="245" t="s">
        <v>119</v>
      </c>
      <c r="E6" s="245" t="s">
        <v>98</v>
      </c>
      <c r="F6" s="245" t="s">
        <v>121</v>
      </c>
      <c r="G6" s="245" t="s">
        <v>122</v>
      </c>
      <c r="H6" s="245" t="s">
        <v>123</v>
      </c>
      <c r="I6" s="245" t="s">
        <v>124</v>
      </c>
      <c r="J6" s="245" t="s">
        <v>125</v>
      </c>
      <c r="K6" s="245" t="s">
        <v>126</v>
      </c>
      <c r="L6" s="245" t="s">
        <v>148</v>
      </c>
      <c r="N6" s="338" t="s">
        <v>128</v>
      </c>
      <c r="O6" s="339" t="s">
        <v>129</v>
      </c>
      <c r="P6" s="338" t="s">
        <v>130</v>
      </c>
      <c r="Q6" s="339" t="s">
        <v>152</v>
      </c>
      <c r="R6" s="338" t="s">
        <v>132</v>
      </c>
      <c r="S6" s="402" t="s">
        <v>1370</v>
      </c>
      <c r="T6" s="338" t="s">
        <v>133</v>
      </c>
      <c r="U6" s="344" t="s">
        <v>1186</v>
      </c>
      <c r="V6" s="342" t="s">
        <v>1268</v>
      </c>
      <c r="W6" s="338" t="s">
        <v>155</v>
      </c>
      <c r="X6" s="338" t="s">
        <v>92</v>
      </c>
      <c r="Y6" s="339" t="s">
        <v>115</v>
      </c>
    </row>
    <row r="7" spans="1:25" x14ac:dyDescent="0.35">
      <c r="A7" s="245" t="s">
        <v>137</v>
      </c>
      <c r="B7" s="245" t="s">
        <v>138</v>
      </c>
      <c r="C7" s="245" t="s">
        <v>139</v>
      </c>
      <c r="D7" s="245" t="s">
        <v>140</v>
      </c>
      <c r="E7" s="245" t="s">
        <v>120</v>
      </c>
      <c r="F7" s="245" t="s">
        <v>142</v>
      </c>
      <c r="G7" s="245" t="s">
        <v>143</v>
      </c>
      <c r="H7" s="245" t="s">
        <v>144</v>
      </c>
      <c r="I7" s="245" t="s">
        <v>145</v>
      </c>
      <c r="J7" s="245" t="s">
        <v>146</v>
      </c>
      <c r="K7" s="245" t="s">
        <v>147</v>
      </c>
      <c r="L7" s="245" t="s">
        <v>169</v>
      </c>
      <c r="N7" s="338" t="s">
        <v>149</v>
      </c>
      <c r="O7" s="339" t="s">
        <v>150</v>
      </c>
      <c r="P7" s="338" t="s">
        <v>151</v>
      </c>
      <c r="Q7" s="339" t="s">
        <v>173</v>
      </c>
      <c r="R7" s="338" t="s">
        <v>153</v>
      </c>
      <c r="S7" s="339" t="s">
        <v>1252</v>
      </c>
      <c r="T7" s="338" t="s">
        <v>154</v>
      </c>
      <c r="U7" s="344" t="s">
        <v>1187</v>
      </c>
      <c r="V7" s="342" t="s">
        <v>1269</v>
      </c>
      <c r="W7" s="338" t="s">
        <v>176</v>
      </c>
      <c r="X7" s="338" t="s">
        <v>114</v>
      </c>
      <c r="Y7" s="339" t="s">
        <v>136</v>
      </c>
    </row>
    <row r="8" spans="1:25" x14ac:dyDescent="0.35">
      <c r="A8" s="245" t="s">
        <v>158</v>
      </c>
      <c r="B8" s="245" t="s">
        <v>159</v>
      </c>
      <c r="C8" s="245" t="s">
        <v>160</v>
      </c>
      <c r="D8" s="245" t="s">
        <v>161</v>
      </c>
      <c r="E8" s="245" t="s">
        <v>141</v>
      </c>
      <c r="F8" s="245" t="s">
        <v>163</v>
      </c>
      <c r="G8" s="245" t="s">
        <v>164</v>
      </c>
      <c r="H8" s="245" t="s">
        <v>165</v>
      </c>
      <c r="I8" s="245" t="s">
        <v>166</v>
      </c>
      <c r="J8" s="245" t="s">
        <v>167</v>
      </c>
      <c r="K8" s="245" t="s">
        <v>168</v>
      </c>
      <c r="L8" s="245" t="s">
        <v>189</v>
      </c>
      <c r="N8" s="338" t="s">
        <v>170</v>
      </c>
      <c r="O8" s="339" t="s">
        <v>171</v>
      </c>
      <c r="P8" s="338" t="s">
        <v>172</v>
      </c>
      <c r="Q8" s="339" t="s">
        <v>193</v>
      </c>
      <c r="R8" s="338" t="s">
        <v>174</v>
      </c>
      <c r="S8" s="339" t="s">
        <v>1253</v>
      </c>
      <c r="T8" s="338" t="s">
        <v>175</v>
      </c>
      <c r="U8" s="344" t="s">
        <v>1188</v>
      </c>
      <c r="V8" s="339" t="s">
        <v>1262</v>
      </c>
      <c r="W8" s="338" t="s">
        <v>197</v>
      </c>
      <c r="X8" s="338" t="s">
        <v>135</v>
      </c>
      <c r="Y8" s="339" t="s">
        <v>157</v>
      </c>
    </row>
    <row r="9" spans="1:25" x14ac:dyDescent="0.35">
      <c r="A9" s="245" t="s">
        <v>179</v>
      </c>
      <c r="B9" s="245" t="s">
        <v>180</v>
      </c>
      <c r="C9" s="245" t="s">
        <v>181</v>
      </c>
      <c r="E9" s="245" t="s">
        <v>162</v>
      </c>
      <c r="F9" s="245" t="s">
        <v>183</v>
      </c>
      <c r="G9" s="245" t="s">
        <v>184</v>
      </c>
      <c r="H9" s="245" t="s">
        <v>185</v>
      </c>
      <c r="I9" s="245" t="s">
        <v>186</v>
      </c>
      <c r="J9" s="245" t="s">
        <v>187</v>
      </c>
      <c r="K9" s="245" t="s">
        <v>188</v>
      </c>
      <c r="L9" s="245" t="s">
        <v>208</v>
      </c>
      <c r="N9" s="338" t="s">
        <v>190</v>
      </c>
      <c r="O9" s="339" t="s">
        <v>191</v>
      </c>
      <c r="P9" s="338" t="s">
        <v>192</v>
      </c>
      <c r="Q9" s="339" t="s">
        <v>211</v>
      </c>
      <c r="R9" s="338" t="s">
        <v>194</v>
      </c>
      <c r="S9" s="339" t="s">
        <v>231</v>
      </c>
      <c r="T9" s="338" t="s">
        <v>195</v>
      </c>
      <c r="U9" s="344" t="s">
        <v>1248</v>
      </c>
      <c r="V9" s="339" t="s">
        <v>1263</v>
      </c>
      <c r="W9" s="338" t="s">
        <v>215</v>
      </c>
      <c r="X9" s="338" t="s">
        <v>156</v>
      </c>
      <c r="Y9" s="339" t="s">
        <v>178</v>
      </c>
    </row>
    <row r="10" spans="1:25" x14ac:dyDescent="0.35">
      <c r="B10" s="245" t="s">
        <v>200</v>
      </c>
      <c r="C10" s="245" t="s">
        <v>201</v>
      </c>
      <c r="E10" s="245" t="s">
        <v>182</v>
      </c>
      <c r="F10" s="245" t="s">
        <v>203</v>
      </c>
      <c r="G10" s="245" t="s">
        <v>204</v>
      </c>
      <c r="H10" s="245" t="s">
        <v>205</v>
      </c>
      <c r="I10" s="245" t="s">
        <v>206</v>
      </c>
      <c r="K10" s="245" t="s">
        <v>224</v>
      </c>
      <c r="L10" s="245" t="s">
        <v>225</v>
      </c>
      <c r="N10" s="338" t="s">
        <v>226</v>
      </c>
      <c r="O10" s="339" t="s">
        <v>209</v>
      </c>
      <c r="P10" s="338" t="s">
        <v>210</v>
      </c>
      <c r="Q10" s="339" t="s">
        <v>229</v>
      </c>
      <c r="R10" s="338" t="s">
        <v>212</v>
      </c>
      <c r="S10" s="339" t="s">
        <v>1254</v>
      </c>
      <c r="T10" s="338" t="s">
        <v>213</v>
      </c>
      <c r="U10" s="344" t="s">
        <v>1249</v>
      </c>
      <c r="V10" s="339" t="s">
        <v>1270</v>
      </c>
      <c r="W10" s="338" t="s">
        <v>234</v>
      </c>
      <c r="X10" s="338" t="s">
        <v>177</v>
      </c>
      <c r="Y10" s="339" t="s">
        <v>199</v>
      </c>
    </row>
    <row r="11" spans="1:25" x14ac:dyDescent="0.35">
      <c r="B11" s="245" t="s">
        <v>218</v>
      </c>
      <c r="C11" s="245" t="s">
        <v>219</v>
      </c>
      <c r="E11" s="245" t="s">
        <v>202</v>
      </c>
      <c r="F11" s="245" t="s">
        <v>221</v>
      </c>
      <c r="G11" s="245" t="s">
        <v>222</v>
      </c>
      <c r="I11" s="245" t="s">
        <v>223</v>
      </c>
      <c r="K11" s="245" t="s">
        <v>242</v>
      </c>
      <c r="L11" s="245" t="s">
        <v>243</v>
      </c>
      <c r="N11" s="338" t="s">
        <v>244</v>
      </c>
      <c r="O11" s="339" t="s">
        <v>227</v>
      </c>
      <c r="P11" s="338" t="s">
        <v>228</v>
      </c>
      <c r="Q11" s="339" t="s">
        <v>246</v>
      </c>
      <c r="R11" s="338" t="s">
        <v>230</v>
      </c>
      <c r="S11" s="339" t="s">
        <v>1344</v>
      </c>
      <c r="T11" s="338" t="s">
        <v>232</v>
      </c>
      <c r="U11" s="339" t="s">
        <v>196</v>
      </c>
      <c r="V11" s="339" t="s">
        <v>1271</v>
      </c>
      <c r="W11" s="338" t="s">
        <v>250</v>
      </c>
      <c r="X11" s="338" t="s">
        <v>198</v>
      </c>
      <c r="Y11" s="399" t="s">
        <v>1367</v>
      </c>
    </row>
    <row r="12" spans="1:25" x14ac:dyDescent="0.35">
      <c r="B12" s="245" t="s">
        <v>236</v>
      </c>
      <c r="C12" s="245" t="s">
        <v>237</v>
      </c>
      <c r="E12" s="245" t="s">
        <v>220</v>
      </c>
      <c r="F12" s="245" t="s">
        <v>239</v>
      </c>
      <c r="G12" s="245" t="s">
        <v>240</v>
      </c>
      <c r="I12" s="245" t="s">
        <v>241</v>
      </c>
      <c r="K12" s="245" t="s">
        <v>258</v>
      </c>
      <c r="L12" s="245" t="s">
        <v>259</v>
      </c>
      <c r="N12" s="338" t="s">
        <v>260</v>
      </c>
      <c r="O12" s="339" t="s">
        <v>261</v>
      </c>
      <c r="P12" s="338" t="s">
        <v>245</v>
      </c>
      <c r="Q12" s="339" t="s">
        <v>263</v>
      </c>
      <c r="R12" s="338" t="s">
        <v>247</v>
      </c>
      <c r="S12" s="339" t="s">
        <v>292</v>
      </c>
      <c r="T12" s="338" t="s">
        <v>248</v>
      </c>
      <c r="U12" s="339" t="s">
        <v>214</v>
      </c>
      <c r="V12" s="339" t="s">
        <v>1272</v>
      </c>
      <c r="W12" s="338" t="s">
        <v>267</v>
      </c>
      <c r="X12" s="338" t="s">
        <v>216</v>
      </c>
      <c r="Y12" s="339" t="s">
        <v>217</v>
      </c>
    </row>
    <row r="13" spans="1:25" x14ac:dyDescent="0.35">
      <c r="B13" s="245" t="s">
        <v>253</v>
      </c>
      <c r="C13" s="245" t="s">
        <v>254</v>
      </c>
      <c r="E13" s="245" t="s">
        <v>238</v>
      </c>
      <c r="G13" s="245" t="s">
        <v>256</v>
      </c>
      <c r="I13" s="245" t="s">
        <v>257</v>
      </c>
      <c r="K13" s="245" t="s">
        <v>271</v>
      </c>
      <c r="L13" s="245" t="s">
        <v>272</v>
      </c>
      <c r="N13" s="338" t="s">
        <v>273</v>
      </c>
      <c r="O13" s="339" t="s">
        <v>274</v>
      </c>
      <c r="P13" s="338" t="s">
        <v>262</v>
      </c>
      <c r="Q13" s="339" t="s">
        <v>276</v>
      </c>
      <c r="R13" s="338" t="s">
        <v>264</v>
      </c>
      <c r="S13" s="339" t="s">
        <v>1345</v>
      </c>
      <c r="T13" s="338" t="s">
        <v>265</v>
      </c>
      <c r="U13" s="339" t="s">
        <v>233</v>
      </c>
      <c r="V13" s="339" t="s">
        <v>1273</v>
      </c>
      <c r="W13" s="338" t="s">
        <v>280</v>
      </c>
      <c r="X13" s="338" t="s">
        <v>251</v>
      </c>
      <c r="Y13" s="339" t="s">
        <v>235</v>
      </c>
    </row>
    <row r="14" spans="1:25" x14ac:dyDescent="0.35">
      <c r="E14" s="245" t="s">
        <v>255</v>
      </c>
      <c r="G14" s="245" t="s">
        <v>270</v>
      </c>
      <c r="K14" s="245" t="s">
        <v>285</v>
      </c>
      <c r="L14" s="245" t="s">
        <v>286</v>
      </c>
      <c r="N14" s="338" t="s">
        <v>287</v>
      </c>
      <c r="O14" s="339" t="s">
        <v>288</v>
      </c>
      <c r="P14" s="338" t="s">
        <v>275</v>
      </c>
      <c r="Q14" s="339" t="s">
        <v>290</v>
      </c>
      <c r="R14" s="338" t="s">
        <v>277</v>
      </c>
      <c r="S14" s="402" t="s">
        <v>1371</v>
      </c>
      <c r="T14" s="338" t="s">
        <v>278</v>
      </c>
      <c r="U14" s="339" t="s">
        <v>249</v>
      </c>
      <c r="V14" s="339" t="s">
        <v>1274</v>
      </c>
      <c r="W14" s="338" t="s">
        <v>296</v>
      </c>
      <c r="X14" s="338" t="s">
        <v>104</v>
      </c>
      <c r="Y14" s="339" t="s">
        <v>1336</v>
      </c>
    </row>
    <row r="15" spans="1:25" x14ac:dyDescent="0.35">
      <c r="E15" s="245" t="s">
        <v>269</v>
      </c>
      <c r="G15" s="245" t="s">
        <v>284</v>
      </c>
      <c r="K15" s="254" t="s">
        <v>1296</v>
      </c>
      <c r="L15" s="245" t="s">
        <v>301</v>
      </c>
      <c r="N15" s="338" t="s">
        <v>302</v>
      </c>
      <c r="O15" s="339" t="s">
        <v>316</v>
      </c>
      <c r="P15" s="338" t="s">
        <v>289</v>
      </c>
      <c r="Q15" s="339" t="s">
        <v>304</v>
      </c>
      <c r="R15" s="338" t="s">
        <v>291</v>
      </c>
      <c r="S15" s="339" t="s">
        <v>306</v>
      </c>
      <c r="T15" s="338" t="s">
        <v>293</v>
      </c>
      <c r="U15" s="339" t="s">
        <v>266</v>
      </c>
      <c r="V15" s="339" t="s">
        <v>1275</v>
      </c>
      <c r="W15" s="338" t="s">
        <v>309</v>
      </c>
      <c r="X15" s="338" t="s">
        <v>281</v>
      </c>
      <c r="Y15" s="339" t="s">
        <v>252</v>
      </c>
    </row>
    <row r="16" spans="1:25" x14ac:dyDescent="0.35">
      <c r="E16" s="245" t="s">
        <v>283</v>
      </c>
      <c r="G16" s="245" t="s">
        <v>300</v>
      </c>
      <c r="L16" s="245" t="s">
        <v>314</v>
      </c>
      <c r="N16" s="338" t="s">
        <v>315</v>
      </c>
      <c r="O16" s="339" t="s">
        <v>330</v>
      </c>
      <c r="P16" s="338" t="s">
        <v>303</v>
      </c>
      <c r="Q16" s="339" t="s">
        <v>318</v>
      </c>
      <c r="R16" s="338" t="s">
        <v>305</v>
      </c>
      <c r="S16" s="339" t="s">
        <v>320</v>
      </c>
      <c r="T16" s="338" t="s">
        <v>307</v>
      </c>
      <c r="U16" s="339" t="s">
        <v>279</v>
      </c>
      <c r="V16" s="339" t="s">
        <v>1276</v>
      </c>
      <c r="W16" s="338" t="s">
        <v>323</v>
      </c>
      <c r="X16" s="338" t="s">
        <v>297</v>
      </c>
      <c r="Y16" s="339" t="s">
        <v>268</v>
      </c>
    </row>
    <row r="17" spans="5:25" x14ac:dyDescent="0.35">
      <c r="E17" s="245" t="s">
        <v>299</v>
      </c>
      <c r="G17" s="245" t="s">
        <v>313</v>
      </c>
      <c r="L17" s="245" t="s">
        <v>328</v>
      </c>
      <c r="N17" s="338" t="s">
        <v>329</v>
      </c>
      <c r="O17" s="339" t="s">
        <v>343</v>
      </c>
      <c r="P17" s="338" t="s">
        <v>317</v>
      </c>
      <c r="Q17" s="339" t="s">
        <v>332</v>
      </c>
      <c r="R17" s="338" t="s">
        <v>319</v>
      </c>
      <c r="S17" s="339" t="s">
        <v>334</v>
      </c>
      <c r="T17" s="338" t="s">
        <v>321</v>
      </c>
      <c r="U17" s="339" t="s">
        <v>294</v>
      </c>
      <c r="V17" s="339" t="s">
        <v>1277</v>
      </c>
      <c r="W17" s="338" t="s">
        <v>337</v>
      </c>
      <c r="X17" s="338" t="s">
        <v>310</v>
      </c>
      <c r="Y17" s="339" t="s">
        <v>282</v>
      </c>
    </row>
    <row r="18" spans="5:25" x14ac:dyDescent="0.35">
      <c r="E18" s="245" t="s">
        <v>312</v>
      </c>
      <c r="G18" s="245" t="s">
        <v>327</v>
      </c>
      <c r="N18" s="338" t="s">
        <v>342</v>
      </c>
      <c r="O18" s="339" t="s">
        <v>355</v>
      </c>
      <c r="P18" s="338" t="s">
        <v>331</v>
      </c>
      <c r="Q18" s="339" t="s">
        <v>345</v>
      </c>
      <c r="R18" s="338" t="s">
        <v>333</v>
      </c>
      <c r="S18" s="339" t="s">
        <v>347</v>
      </c>
      <c r="T18" s="338" t="s">
        <v>335</v>
      </c>
      <c r="U18" s="339" t="s">
        <v>308</v>
      </c>
      <c r="V18" s="339" t="s">
        <v>1278</v>
      </c>
      <c r="W18" s="338" t="s">
        <v>350</v>
      </c>
      <c r="X18" s="338" t="s">
        <v>324</v>
      </c>
      <c r="Y18" s="339" t="s">
        <v>298</v>
      </c>
    </row>
    <row r="19" spans="5:25" x14ac:dyDescent="0.35">
      <c r="E19" s="245" t="s">
        <v>326</v>
      </c>
      <c r="G19" s="245" t="s">
        <v>341</v>
      </c>
      <c r="N19" s="338" t="s">
        <v>354</v>
      </c>
      <c r="O19" s="339" t="s">
        <v>365</v>
      </c>
      <c r="P19" s="338" t="s">
        <v>344</v>
      </c>
      <c r="Q19" s="339" t="s">
        <v>357</v>
      </c>
      <c r="R19" s="338" t="s">
        <v>346</v>
      </c>
      <c r="S19" s="339" t="s">
        <v>359</v>
      </c>
      <c r="T19" s="338" t="s">
        <v>348</v>
      </c>
      <c r="U19" s="339" t="s">
        <v>322</v>
      </c>
      <c r="V19" s="339" t="s">
        <v>1279</v>
      </c>
      <c r="W19" s="338" t="s">
        <v>361</v>
      </c>
      <c r="X19" s="338" t="s">
        <v>1246</v>
      </c>
      <c r="Y19" s="339" t="s">
        <v>311</v>
      </c>
    </row>
    <row r="20" spans="5:25" x14ac:dyDescent="0.35">
      <c r="E20" s="254" t="s">
        <v>1328</v>
      </c>
      <c r="G20" s="245" t="s">
        <v>353</v>
      </c>
      <c r="N20" s="338" t="s">
        <v>364</v>
      </c>
      <c r="O20" s="339" t="s">
        <v>389</v>
      </c>
      <c r="P20" s="338" t="s">
        <v>356</v>
      </c>
      <c r="Q20" s="339" t="s">
        <v>367</v>
      </c>
      <c r="R20" s="338" t="s">
        <v>358</v>
      </c>
      <c r="S20" s="339" t="s">
        <v>369</v>
      </c>
      <c r="T20" s="338" t="s">
        <v>360</v>
      </c>
      <c r="U20" s="339" t="s">
        <v>336</v>
      </c>
      <c r="V20" s="339" t="s">
        <v>1280</v>
      </c>
      <c r="W20" s="338" t="s">
        <v>371</v>
      </c>
      <c r="X20" s="338" t="s">
        <v>338</v>
      </c>
      <c r="Y20" s="339" t="s">
        <v>1337</v>
      </c>
    </row>
    <row r="21" spans="5:25" x14ac:dyDescent="0.35">
      <c r="E21" s="245" t="s">
        <v>340</v>
      </c>
      <c r="N21" s="338" t="s">
        <v>374</v>
      </c>
      <c r="O21" s="339" t="s">
        <v>398</v>
      </c>
      <c r="P21" s="338" t="s">
        <v>366</v>
      </c>
      <c r="Q21" s="339" t="s">
        <v>44</v>
      </c>
      <c r="R21" s="338" t="s">
        <v>368</v>
      </c>
      <c r="S21" s="339" t="s">
        <v>402</v>
      </c>
      <c r="T21" s="338" t="s">
        <v>370</v>
      </c>
      <c r="U21" s="339" t="s">
        <v>349</v>
      </c>
      <c r="V21" s="339" t="s">
        <v>1281</v>
      </c>
      <c r="W21" s="338" t="s">
        <v>378</v>
      </c>
      <c r="X21" s="338" t="s">
        <v>351</v>
      </c>
      <c r="Y21" s="339" t="s">
        <v>325</v>
      </c>
    </row>
    <row r="22" spans="5:25" x14ac:dyDescent="0.35">
      <c r="E22" s="245" t="s">
        <v>352</v>
      </c>
      <c r="N22" s="338" t="s">
        <v>381</v>
      </c>
      <c r="O22" s="339" t="s">
        <v>407</v>
      </c>
      <c r="P22" s="338" t="s">
        <v>375</v>
      </c>
      <c r="Q22" s="339" t="s">
        <v>391</v>
      </c>
      <c r="R22" s="338" t="s">
        <v>376</v>
      </c>
      <c r="S22" s="339" t="s">
        <v>420</v>
      </c>
      <c r="T22" s="338" t="s">
        <v>377</v>
      </c>
      <c r="U22" s="344" t="s">
        <v>1189</v>
      </c>
      <c r="V22" s="339" t="s">
        <v>1282</v>
      </c>
      <c r="W22" s="338" t="s">
        <v>385</v>
      </c>
      <c r="X22" s="338" t="s">
        <v>362</v>
      </c>
      <c r="Y22" s="339" t="s">
        <v>339</v>
      </c>
    </row>
    <row r="23" spans="5:25" x14ac:dyDescent="0.35">
      <c r="E23" s="245" t="s">
        <v>363</v>
      </c>
      <c r="N23" s="338" t="s">
        <v>388</v>
      </c>
      <c r="O23" s="339" t="s">
        <v>416</v>
      </c>
      <c r="P23" s="338" t="s">
        <v>382</v>
      </c>
      <c r="Q23" s="339" t="s">
        <v>400</v>
      </c>
      <c r="R23" s="338" t="s">
        <v>383</v>
      </c>
      <c r="S23" s="339" t="s">
        <v>429</v>
      </c>
      <c r="T23" s="338" t="s">
        <v>384</v>
      </c>
      <c r="U23" s="344" t="s">
        <v>1190</v>
      </c>
      <c r="V23" s="339" t="s">
        <v>1283</v>
      </c>
      <c r="W23" s="338" t="s">
        <v>394</v>
      </c>
      <c r="X23" s="338" t="s">
        <v>372</v>
      </c>
      <c r="Y23" s="404" t="s">
        <v>1353</v>
      </c>
    </row>
    <row r="24" spans="5:25" x14ac:dyDescent="0.35">
      <c r="E24" s="245" t="s">
        <v>373</v>
      </c>
      <c r="N24" s="338" t="s">
        <v>397</v>
      </c>
      <c r="O24" s="339" t="s">
        <v>425</v>
      </c>
      <c r="P24" s="338" t="s">
        <v>1297</v>
      </c>
      <c r="Q24" s="339" t="s">
        <v>409</v>
      </c>
      <c r="R24" s="338" t="s">
        <v>392</v>
      </c>
      <c r="S24" s="339" t="s">
        <v>438</v>
      </c>
      <c r="T24" s="338" t="s">
        <v>393</v>
      </c>
      <c r="U24" s="344" t="s">
        <v>1191</v>
      </c>
      <c r="V24" s="339" t="s">
        <v>1284</v>
      </c>
      <c r="W24" s="338" t="s">
        <v>404</v>
      </c>
      <c r="X24" s="338" t="s">
        <v>379</v>
      </c>
      <c r="Y24" s="405" t="s">
        <v>1348</v>
      </c>
    </row>
    <row r="25" spans="5:25" x14ac:dyDescent="0.35">
      <c r="E25" s="245" t="s">
        <v>380</v>
      </c>
      <c r="N25" s="338" t="s">
        <v>406</v>
      </c>
      <c r="O25" s="339" t="s">
        <v>434</v>
      </c>
      <c r="P25" s="338" t="s">
        <v>390</v>
      </c>
      <c r="Q25" s="339" t="s">
        <v>418</v>
      </c>
      <c r="R25" s="338" t="s">
        <v>401</v>
      </c>
      <c r="S25" s="339" t="s">
        <v>447</v>
      </c>
      <c r="T25" s="338" t="s">
        <v>403</v>
      </c>
      <c r="U25" s="344" t="s">
        <v>1192</v>
      </c>
      <c r="V25" s="339" t="s">
        <v>1285</v>
      </c>
      <c r="W25" s="338" t="s">
        <v>413</v>
      </c>
      <c r="X25" s="338" t="s">
        <v>386</v>
      </c>
      <c r="Y25" s="404" t="s">
        <v>1349</v>
      </c>
    </row>
    <row r="26" spans="5:25" x14ac:dyDescent="0.35">
      <c r="E26" s="245" t="s">
        <v>387</v>
      </c>
      <c r="N26" s="338" t="s">
        <v>415</v>
      </c>
      <c r="O26" s="339" t="s">
        <v>443</v>
      </c>
      <c r="P26" s="338" t="s">
        <v>399</v>
      </c>
      <c r="Q26" s="339" t="s">
        <v>427</v>
      </c>
      <c r="R26" s="338" t="s">
        <v>410</v>
      </c>
      <c r="S26" s="339" t="s">
        <v>455</v>
      </c>
      <c r="T26" s="338" t="s">
        <v>411</v>
      </c>
      <c r="U26" s="344" t="s">
        <v>1193</v>
      </c>
      <c r="V26" s="339" t="s">
        <v>1286</v>
      </c>
      <c r="W26" s="338" t="s">
        <v>422</v>
      </c>
      <c r="X26" s="338" t="s">
        <v>395</v>
      </c>
      <c r="Y26" s="404" t="s">
        <v>1350</v>
      </c>
    </row>
    <row r="27" spans="5:25" x14ac:dyDescent="0.35">
      <c r="E27" s="245" t="s">
        <v>396</v>
      </c>
      <c r="N27" s="338" t="s">
        <v>424</v>
      </c>
      <c r="O27" s="339" t="s">
        <v>461</v>
      </c>
      <c r="P27" s="338" t="s">
        <v>408</v>
      </c>
      <c r="Q27" s="339" t="s">
        <v>436</v>
      </c>
      <c r="R27" s="338" t="s">
        <v>419</v>
      </c>
      <c r="S27" s="339" t="s">
        <v>465</v>
      </c>
      <c r="T27" s="338" t="s">
        <v>421</v>
      </c>
      <c r="U27" s="344" t="s">
        <v>1194</v>
      </c>
      <c r="V27" s="339" t="s">
        <v>1287</v>
      </c>
      <c r="W27" s="338" t="s">
        <v>431</v>
      </c>
      <c r="X27" s="338" t="s">
        <v>405</v>
      </c>
      <c r="Y27" s="404" t="s">
        <v>1351</v>
      </c>
    </row>
    <row r="28" spans="5:25" x14ac:dyDescent="0.35">
      <c r="N28" s="338" t="s">
        <v>433</v>
      </c>
      <c r="O28" s="339" t="s">
        <v>478</v>
      </c>
      <c r="P28" s="338" t="s">
        <v>417</v>
      </c>
      <c r="Q28" s="339" t="s">
        <v>445</v>
      </c>
      <c r="R28" s="338" t="s">
        <v>428</v>
      </c>
      <c r="S28" s="402" t="s">
        <v>1372</v>
      </c>
      <c r="T28" s="338" t="s">
        <v>430</v>
      </c>
      <c r="U28" s="344" t="s">
        <v>1195</v>
      </c>
      <c r="V28" s="339" t="s">
        <v>1288</v>
      </c>
      <c r="W28" s="338" t="s">
        <v>440</v>
      </c>
      <c r="X28" s="338" t="s">
        <v>414</v>
      </c>
      <c r="Y28" s="404" t="s">
        <v>1352</v>
      </c>
    </row>
    <row r="29" spans="5:25" x14ac:dyDescent="0.35">
      <c r="N29" s="338" t="s">
        <v>442</v>
      </c>
      <c r="O29" s="339" t="s">
        <v>487</v>
      </c>
      <c r="P29" s="338" t="s">
        <v>426</v>
      </c>
      <c r="Q29" s="339" t="s">
        <v>453</v>
      </c>
      <c r="R29" s="338" t="s">
        <v>437</v>
      </c>
      <c r="S29" s="339" t="s">
        <v>1255</v>
      </c>
      <c r="T29" s="338" t="s">
        <v>439</v>
      </c>
      <c r="U29" s="344" t="s">
        <v>1196</v>
      </c>
      <c r="V29" s="339" t="s">
        <v>1289</v>
      </c>
      <c r="W29" s="338" t="s">
        <v>449</v>
      </c>
      <c r="X29" s="338" t="s">
        <v>423</v>
      </c>
      <c r="Y29" s="339" t="s">
        <v>1339</v>
      </c>
    </row>
    <row r="30" spans="5:25" x14ac:dyDescent="0.35">
      <c r="N30" s="338" t="s">
        <v>451</v>
      </c>
      <c r="O30" s="339" t="s">
        <v>497</v>
      </c>
      <c r="P30" s="338" t="s">
        <v>435</v>
      </c>
      <c r="Q30" s="339" t="s">
        <v>463</v>
      </c>
      <c r="R30" s="338" t="s">
        <v>446</v>
      </c>
      <c r="S30" s="339" t="s">
        <v>1256</v>
      </c>
      <c r="T30" s="338" t="s">
        <v>448</v>
      </c>
      <c r="U30" s="339" t="s">
        <v>412</v>
      </c>
      <c r="V30" s="339" t="s">
        <v>1290</v>
      </c>
      <c r="W30" s="338" t="s">
        <v>458</v>
      </c>
      <c r="X30" s="338" t="s">
        <v>432</v>
      </c>
      <c r="Y30" s="339" t="s">
        <v>1338</v>
      </c>
    </row>
    <row r="31" spans="5:25" x14ac:dyDescent="0.35">
      <c r="N31" s="338" t="s">
        <v>460</v>
      </c>
      <c r="O31" s="339" t="s">
        <v>504</v>
      </c>
      <c r="P31" s="338" t="s">
        <v>444</v>
      </c>
      <c r="Q31" s="339" t="s">
        <v>471</v>
      </c>
      <c r="R31" s="338" t="s">
        <v>454</v>
      </c>
      <c r="S31" s="339" t="s">
        <v>482</v>
      </c>
      <c r="T31" s="338" t="s">
        <v>456</v>
      </c>
      <c r="U31" s="339" t="s">
        <v>493</v>
      </c>
      <c r="V31" s="339" t="s">
        <v>295</v>
      </c>
      <c r="W31" s="338" t="s">
        <v>467</v>
      </c>
      <c r="X31" s="338" t="s">
        <v>441</v>
      </c>
      <c r="Y31" s="403" t="s">
        <v>1358</v>
      </c>
    </row>
    <row r="32" spans="5:25" x14ac:dyDescent="0.35">
      <c r="N32" s="338" t="s">
        <v>469</v>
      </c>
      <c r="O32" s="339" t="s">
        <v>514</v>
      </c>
      <c r="P32" s="338" t="s">
        <v>452</v>
      </c>
      <c r="Q32" s="339" t="s">
        <v>480</v>
      </c>
      <c r="R32" s="338" t="s">
        <v>464</v>
      </c>
      <c r="S32" s="402" t="s">
        <v>1373</v>
      </c>
      <c r="T32" s="338" t="s">
        <v>466</v>
      </c>
      <c r="U32" s="344" t="s">
        <v>1197</v>
      </c>
      <c r="V32" s="339" t="s">
        <v>457</v>
      </c>
      <c r="W32" s="338" t="s">
        <v>474</v>
      </c>
      <c r="X32" s="338" t="s">
        <v>450</v>
      </c>
      <c r="Y32" s="403" t="s">
        <v>1359</v>
      </c>
    </row>
    <row r="33" spans="14:25" x14ac:dyDescent="0.35">
      <c r="N33" s="338" t="s">
        <v>477</v>
      </c>
      <c r="O33" s="339" t="s">
        <v>521</v>
      </c>
      <c r="P33" s="338" t="s">
        <v>462</v>
      </c>
      <c r="Q33" s="339" t="s">
        <v>489</v>
      </c>
      <c r="R33" s="338" t="s">
        <v>472</v>
      </c>
      <c r="S33" s="339" t="s">
        <v>491</v>
      </c>
      <c r="T33" s="338" t="s">
        <v>473</v>
      </c>
      <c r="U33" s="344" t="s">
        <v>1198</v>
      </c>
      <c r="V33" s="339" t="s">
        <v>1261</v>
      </c>
      <c r="W33" s="338" t="s">
        <v>484</v>
      </c>
      <c r="X33" s="338" t="s">
        <v>459</v>
      </c>
      <c r="Y33" s="403" t="s">
        <v>1360</v>
      </c>
    </row>
    <row r="34" spans="14:25" x14ac:dyDescent="0.35">
      <c r="N34" s="338" t="s">
        <v>486</v>
      </c>
      <c r="O34" s="339" t="s">
        <v>528</v>
      </c>
      <c r="P34" s="338" t="s">
        <v>470</v>
      </c>
      <c r="Q34" s="339" t="s">
        <v>1228</v>
      </c>
      <c r="R34" s="338" t="s">
        <v>481</v>
      </c>
      <c r="S34" s="403" t="s">
        <v>1368</v>
      </c>
      <c r="T34" s="338" t="s">
        <v>483</v>
      </c>
      <c r="U34" s="344" t="s">
        <v>1199</v>
      </c>
      <c r="W34" s="338" t="s">
        <v>494</v>
      </c>
      <c r="X34" s="338" t="s">
        <v>468</v>
      </c>
      <c r="Y34" s="403" t="s">
        <v>1361</v>
      </c>
    </row>
    <row r="35" spans="14:25" x14ac:dyDescent="0.35">
      <c r="N35" s="338" t="s">
        <v>496</v>
      </c>
      <c r="O35" s="339" t="s">
        <v>536</v>
      </c>
      <c r="P35" s="338" t="s">
        <v>479</v>
      </c>
      <c r="R35" s="338" t="s">
        <v>490</v>
      </c>
      <c r="S35" s="403" t="s">
        <v>1369</v>
      </c>
      <c r="T35" s="338" t="s">
        <v>492</v>
      </c>
      <c r="U35" s="344" t="s">
        <v>1200</v>
      </c>
      <c r="W35" s="338" t="s">
        <v>501</v>
      </c>
      <c r="X35" s="338" t="s">
        <v>475</v>
      </c>
      <c r="Y35" s="403" t="s">
        <v>1362</v>
      </c>
    </row>
    <row r="36" spans="14:25" x14ac:dyDescent="0.35">
      <c r="N36" s="338" t="s">
        <v>503</v>
      </c>
      <c r="O36" s="339" t="s">
        <v>545</v>
      </c>
      <c r="P36" s="338" t="s">
        <v>488</v>
      </c>
      <c r="R36" s="340" t="s">
        <v>1250</v>
      </c>
      <c r="S36" s="339" t="s">
        <v>1257</v>
      </c>
      <c r="T36" s="338" t="s">
        <v>500</v>
      </c>
      <c r="U36" s="344" t="s">
        <v>1201</v>
      </c>
      <c r="W36" s="338" t="s">
        <v>510</v>
      </c>
      <c r="X36" s="338" t="s">
        <v>485</v>
      </c>
      <c r="Y36" s="403" t="s">
        <v>1378</v>
      </c>
    </row>
    <row r="37" spans="14:25" x14ac:dyDescent="0.35">
      <c r="N37" s="338" t="s">
        <v>513</v>
      </c>
      <c r="P37" s="338" t="s">
        <v>498</v>
      </c>
      <c r="R37" s="338" t="s">
        <v>499</v>
      </c>
      <c r="S37" s="339" t="s">
        <v>1258</v>
      </c>
      <c r="T37" s="338" t="s">
        <v>508</v>
      </c>
      <c r="U37" s="344" t="s">
        <v>1202</v>
      </c>
      <c r="W37" s="338" t="s">
        <v>526</v>
      </c>
      <c r="X37" s="338" t="s">
        <v>495</v>
      </c>
      <c r="Y37" s="403" t="s">
        <v>1356</v>
      </c>
    </row>
    <row r="38" spans="14:25" x14ac:dyDescent="0.35">
      <c r="N38" s="338" t="s">
        <v>520</v>
      </c>
      <c r="P38" s="338" t="s">
        <v>505</v>
      </c>
      <c r="R38" s="338" t="s">
        <v>506</v>
      </c>
      <c r="S38" s="339" t="s">
        <v>507</v>
      </c>
      <c r="T38" s="338" t="s">
        <v>518</v>
      </c>
      <c r="U38" s="344" t="s">
        <v>1203</v>
      </c>
      <c r="W38" s="338" t="s">
        <v>533</v>
      </c>
      <c r="X38" s="338" t="s">
        <v>502</v>
      </c>
      <c r="Y38" s="403" t="s">
        <v>1357</v>
      </c>
    </row>
    <row r="39" spans="14:25" x14ac:dyDescent="0.35">
      <c r="N39" s="338" t="s">
        <v>527</v>
      </c>
      <c r="P39" s="338" t="s">
        <v>515</v>
      </c>
      <c r="R39" s="338" t="s">
        <v>516</v>
      </c>
      <c r="S39" s="339" t="s">
        <v>517</v>
      </c>
      <c r="T39" s="338" t="s">
        <v>525</v>
      </c>
      <c r="U39" s="339" t="s">
        <v>509</v>
      </c>
      <c r="W39" s="338" t="s">
        <v>541</v>
      </c>
      <c r="X39" s="338" t="s">
        <v>511</v>
      </c>
      <c r="Y39" s="403" t="s">
        <v>1382</v>
      </c>
    </row>
    <row r="40" spans="14:25" x14ac:dyDescent="0.35">
      <c r="N40" s="338" t="s">
        <v>535</v>
      </c>
      <c r="P40" s="338" t="s">
        <v>522</v>
      </c>
      <c r="R40" s="338" t="s">
        <v>523</v>
      </c>
      <c r="S40" s="339" t="s">
        <v>524</v>
      </c>
      <c r="T40" s="338" t="s">
        <v>532</v>
      </c>
      <c r="U40" s="344" t="s">
        <v>1204</v>
      </c>
      <c r="W40" s="338" t="s">
        <v>550</v>
      </c>
      <c r="X40" s="338" t="s">
        <v>519</v>
      </c>
      <c r="Y40" s="339" t="s">
        <v>1329</v>
      </c>
    </row>
    <row r="41" spans="14:25" x14ac:dyDescent="0.35">
      <c r="N41" s="338" t="s">
        <v>544</v>
      </c>
      <c r="P41" s="338" t="s">
        <v>529</v>
      </c>
      <c r="R41" s="338" t="s">
        <v>530</v>
      </c>
      <c r="S41" s="402" t="s">
        <v>1374</v>
      </c>
      <c r="T41" s="338" t="s">
        <v>540</v>
      </c>
      <c r="U41" s="344" t="s">
        <v>1205</v>
      </c>
      <c r="W41" s="338" t="s">
        <v>558</v>
      </c>
      <c r="X41" s="338" t="s">
        <v>534</v>
      </c>
      <c r="Y41" s="339" t="s">
        <v>1330</v>
      </c>
    </row>
    <row r="42" spans="14:25" x14ac:dyDescent="0.35">
      <c r="N42" s="338" t="s">
        <v>553</v>
      </c>
      <c r="P42" s="338" t="s">
        <v>537</v>
      </c>
      <c r="R42" s="338" t="s">
        <v>538</v>
      </c>
      <c r="S42" s="339" t="s">
        <v>1259</v>
      </c>
      <c r="T42" s="338" t="s">
        <v>549</v>
      </c>
      <c r="U42" s="344" t="s">
        <v>1206</v>
      </c>
      <c r="W42" s="338" t="s">
        <v>565</v>
      </c>
      <c r="X42" s="338" t="s">
        <v>542</v>
      </c>
      <c r="Y42" s="339" t="s">
        <v>1331</v>
      </c>
    </row>
    <row r="43" spans="14:25" x14ac:dyDescent="0.35">
      <c r="N43" s="338" t="s">
        <v>561</v>
      </c>
      <c r="P43" s="338" t="s">
        <v>546</v>
      </c>
      <c r="R43" s="338" t="s">
        <v>547</v>
      </c>
      <c r="S43" s="339" t="s">
        <v>1260</v>
      </c>
      <c r="T43" s="338" t="s">
        <v>557</v>
      </c>
      <c r="U43" s="344" t="s">
        <v>1207</v>
      </c>
      <c r="W43" s="338" t="s">
        <v>573</v>
      </c>
      <c r="X43" s="338" t="s">
        <v>551</v>
      </c>
      <c r="Y43" s="339" t="s">
        <v>1332</v>
      </c>
    </row>
    <row r="44" spans="14:25" x14ac:dyDescent="0.35">
      <c r="N44" s="338" t="s">
        <v>568</v>
      </c>
      <c r="P44" s="338" t="s">
        <v>554</v>
      </c>
      <c r="R44" s="338" t="s">
        <v>555</v>
      </c>
      <c r="S44" s="339" t="s">
        <v>531</v>
      </c>
      <c r="T44" s="338" t="s">
        <v>564</v>
      </c>
      <c r="U44" s="344" t="s">
        <v>1208</v>
      </c>
      <c r="W44" s="338" t="s">
        <v>580</v>
      </c>
      <c r="X44" s="338" t="s">
        <v>559</v>
      </c>
      <c r="Y44" s="339" t="s">
        <v>1333</v>
      </c>
    </row>
    <row r="45" spans="14:25" x14ac:dyDescent="0.35">
      <c r="N45" s="338" t="s">
        <v>576</v>
      </c>
      <c r="P45" s="338" t="s">
        <v>569</v>
      </c>
      <c r="R45" s="338" t="s">
        <v>562</v>
      </c>
      <c r="S45" s="339" t="s">
        <v>1346</v>
      </c>
      <c r="T45" s="338" t="s">
        <v>572</v>
      </c>
      <c r="U45" s="344" t="s">
        <v>1209</v>
      </c>
      <c r="W45" s="338" t="s">
        <v>585</v>
      </c>
      <c r="X45" s="338" t="s">
        <v>566</v>
      </c>
      <c r="Y45" s="339" t="s">
        <v>1334</v>
      </c>
    </row>
    <row r="46" spans="14:25" x14ac:dyDescent="0.35">
      <c r="N46" s="400" t="s">
        <v>1354</v>
      </c>
      <c r="P46" s="338" t="s">
        <v>577</v>
      </c>
      <c r="R46" s="338" t="s">
        <v>570</v>
      </c>
      <c r="S46" s="339" t="s">
        <v>1347</v>
      </c>
      <c r="T46" s="338" t="s">
        <v>579</v>
      </c>
      <c r="U46" s="343" t="s">
        <v>1247</v>
      </c>
      <c r="W46" s="338" t="s">
        <v>590</v>
      </c>
      <c r="X46" s="338" t="s">
        <v>574</v>
      </c>
      <c r="Y46" s="339" t="s">
        <v>476</v>
      </c>
    </row>
    <row r="47" spans="14:25" x14ac:dyDescent="0.35">
      <c r="N47" s="338" t="s">
        <v>602</v>
      </c>
      <c r="R47" s="338" t="s">
        <v>578</v>
      </c>
      <c r="S47" s="339" t="s">
        <v>539</v>
      </c>
      <c r="T47" s="338" t="s">
        <v>584</v>
      </c>
      <c r="U47" s="344" t="s">
        <v>1210</v>
      </c>
      <c r="W47" s="338" t="s">
        <v>595</v>
      </c>
      <c r="X47" s="338" t="s">
        <v>581</v>
      </c>
      <c r="Y47" s="396" t="s">
        <v>1319</v>
      </c>
    </row>
    <row r="48" spans="14:25" x14ac:dyDescent="0.35">
      <c r="N48" s="338" t="s">
        <v>607</v>
      </c>
      <c r="R48" s="338" t="s">
        <v>583</v>
      </c>
      <c r="S48" s="339" t="s">
        <v>548</v>
      </c>
      <c r="T48" s="338" t="s">
        <v>589</v>
      </c>
      <c r="U48" s="344" t="s">
        <v>1211</v>
      </c>
      <c r="W48" s="338" t="s">
        <v>599</v>
      </c>
      <c r="X48" s="338" t="s">
        <v>586</v>
      </c>
      <c r="Y48" s="396" t="s">
        <v>1315</v>
      </c>
    </row>
    <row r="49" spans="14:25" x14ac:dyDescent="0.35">
      <c r="N49" s="400" t="s">
        <v>1355</v>
      </c>
      <c r="R49" s="338" t="s">
        <v>588</v>
      </c>
      <c r="S49" s="402" t="s">
        <v>1375</v>
      </c>
      <c r="T49" s="338" t="s">
        <v>594</v>
      </c>
      <c r="U49" s="344" t="s">
        <v>1212</v>
      </c>
      <c r="W49" s="338" t="s">
        <v>604</v>
      </c>
      <c r="X49" s="338" t="s">
        <v>591</v>
      </c>
      <c r="Y49" s="396" t="s">
        <v>1316</v>
      </c>
    </row>
    <row r="50" spans="14:25" x14ac:dyDescent="0.35">
      <c r="R50" s="338" t="s">
        <v>593</v>
      </c>
      <c r="S50" s="341" t="s">
        <v>556</v>
      </c>
      <c r="T50" s="338" t="s">
        <v>598</v>
      </c>
      <c r="U50" s="344" t="s">
        <v>1213</v>
      </c>
      <c r="W50" s="338" t="s">
        <v>610</v>
      </c>
      <c r="X50" s="338" t="s">
        <v>596</v>
      </c>
      <c r="Y50" s="396" t="s">
        <v>1317</v>
      </c>
    </row>
    <row r="51" spans="14:25" x14ac:dyDescent="0.35">
      <c r="R51" s="338" t="s">
        <v>597</v>
      </c>
      <c r="S51" s="402" t="s">
        <v>1376</v>
      </c>
      <c r="T51" s="338" t="s">
        <v>609</v>
      </c>
      <c r="U51" s="344" t="s">
        <v>1214</v>
      </c>
      <c r="W51" s="338" t="s">
        <v>614</v>
      </c>
      <c r="X51" s="338" t="s">
        <v>600</v>
      </c>
      <c r="Y51" s="396" t="s">
        <v>1318</v>
      </c>
    </row>
    <row r="52" spans="14:25" x14ac:dyDescent="0.35">
      <c r="R52" s="338" t="s">
        <v>603</v>
      </c>
      <c r="S52" s="341" t="s">
        <v>563</v>
      </c>
      <c r="T52" s="338" t="s">
        <v>617</v>
      </c>
      <c r="U52" s="344" t="s">
        <v>1215</v>
      </c>
      <c r="W52" s="338" t="s">
        <v>618</v>
      </c>
      <c r="X52" s="338" t="s">
        <v>605</v>
      </c>
      <c r="Y52" s="339" t="s">
        <v>1313</v>
      </c>
    </row>
    <row r="53" spans="14:25" x14ac:dyDescent="0.35">
      <c r="R53" s="338" t="s">
        <v>608</v>
      </c>
      <c r="S53" s="341" t="s">
        <v>571</v>
      </c>
      <c r="T53" s="338" t="s">
        <v>621</v>
      </c>
      <c r="U53" s="339" t="s">
        <v>626</v>
      </c>
      <c r="W53" s="338" t="s">
        <v>622</v>
      </c>
      <c r="X53" s="338" t="s">
        <v>611</v>
      </c>
      <c r="Y53" s="339" t="s">
        <v>1314</v>
      </c>
    </row>
    <row r="54" spans="14:25" x14ac:dyDescent="0.35">
      <c r="R54" s="338" t="s">
        <v>613</v>
      </c>
      <c r="S54" s="245"/>
      <c r="T54" s="338" t="s">
        <v>625</v>
      </c>
      <c r="U54" s="339" t="s">
        <v>632</v>
      </c>
      <c r="W54" s="338" t="s">
        <v>627</v>
      </c>
      <c r="X54" s="338" t="s">
        <v>615</v>
      </c>
      <c r="Y54" s="339" t="s">
        <v>512</v>
      </c>
    </row>
    <row r="55" spans="14:25" x14ac:dyDescent="0.35">
      <c r="R55" s="338" t="s">
        <v>616</v>
      </c>
      <c r="S55" s="245"/>
      <c r="T55" s="338" t="s">
        <v>631</v>
      </c>
      <c r="U55" s="339" t="s">
        <v>638</v>
      </c>
      <c r="W55" s="338" t="s">
        <v>633</v>
      </c>
      <c r="X55" s="338" t="s">
        <v>619</v>
      </c>
      <c r="Y55" s="339" t="s">
        <v>733</v>
      </c>
    </row>
    <row r="56" spans="14:25" x14ac:dyDescent="0.35">
      <c r="R56" s="338" t="s">
        <v>620</v>
      </c>
      <c r="S56" s="245"/>
      <c r="T56" s="338" t="s">
        <v>637</v>
      </c>
      <c r="U56" s="339" t="s">
        <v>642</v>
      </c>
      <c r="X56" s="338" t="s">
        <v>623</v>
      </c>
      <c r="Y56" s="339" t="s">
        <v>737</v>
      </c>
    </row>
    <row r="57" spans="14:25" x14ac:dyDescent="0.35">
      <c r="R57" s="338" t="s">
        <v>630</v>
      </c>
      <c r="S57" s="245"/>
      <c r="T57" s="338" t="s">
        <v>641</v>
      </c>
      <c r="U57" s="344" t="s">
        <v>1216</v>
      </c>
      <c r="X57" s="338" t="s">
        <v>628</v>
      </c>
      <c r="Y57" s="339" t="s">
        <v>740</v>
      </c>
    </row>
    <row r="58" spans="14:25" x14ac:dyDescent="0.35">
      <c r="R58" s="338" t="s">
        <v>636</v>
      </c>
      <c r="S58" s="245"/>
      <c r="T58" s="338" t="s">
        <v>645</v>
      </c>
      <c r="U58" s="344" t="s">
        <v>1217</v>
      </c>
      <c r="X58" s="338" t="s">
        <v>634</v>
      </c>
      <c r="Y58" s="339" t="s">
        <v>743</v>
      </c>
    </row>
    <row r="59" spans="14:25" x14ac:dyDescent="0.35">
      <c r="R59" s="338" t="s">
        <v>644</v>
      </c>
      <c r="S59" s="245"/>
      <c r="T59" s="338" t="s">
        <v>648</v>
      </c>
      <c r="U59" s="344" t="s">
        <v>1218</v>
      </c>
      <c r="X59" s="338" t="s">
        <v>639</v>
      </c>
      <c r="Y59" s="339" t="s">
        <v>746</v>
      </c>
    </row>
    <row r="60" spans="14:25" x14ac:dyDescent="0.35">
      <c r="R60" s="338" t="s">
        <v>647</v>
      </c>
      <c r="S60" s="245"/>
      <c r="T60" s="338" t="s">
        <v>651</v>
      </c>
      <c r="U60" s="344" t="s">
        <v>1219</v>
      </c>
      <c r="X60" s="338" t="s">
        <v>643</v>
      </c>
      <c r="Y60" s="339" t="s">
        <v>749</v>
      </c>
    </row>
    <row r="61" spans="14:25" x14ac:dyDescent="0.35">
      <c r="R61" s="338" t="s">
        <v>650</v>
      </c>
      <c r="S61" s="245"/>
      <c r="T61" s="338" t="s">
        <v>655</v>
      </c>
      <c r="U61" s="344" t="s">
        <v>1220</v>
      </c>
      <c r="X61" s="338" t="s">
        <v>646</v>
      </c>
      <c r="Y61" s="339" t="s">
        <v>709</v>
      </c>
    </row>
    <row r="62" spans="14:25" x14ac:dyDescent="0.35">
      <c r="R62" s="338" t="s">
        <v>654</v>
      </c>
      <c r="S62" s="245"/>
      <c r="T62" s="338" t="s">
        <v>658</v>
      </c>
      <c r="U62" s="344" t="s">
        <v>1221</v>
      </c>
      <c r="X62" s="338" t="s">
        <v>649</v>
      </c>
      <c r="Y62" s="339" t="s">
        <v>713</v>
      </c>
    </row>
    <row r="63" spans="14:25" x14ac:dyDescent="0.35">
      <c r="R63" s="338" t="s">
        <v>657</v>
      </c>
      <c r="S63" s="245"/>
      <c r="T63" s="338" t="s">
        <v>662</v>
      </c>
      <c r="U63" s="344" t="s">
        <v>652</v>
      </c>
      <c r="X63" s="338" t="s">
        <v>653</v>
      </c>
      <c r="Y63" s="339" t="s">
        <v>717</v>
      </c>
    </row>
    <row r="64" spans="14:25" x14ac:dyDescent="0.35">
      <c r="R64" s="338" t="s">
        <v>661</v>
      </c>
      <c r="S64" s="245"/>
      <c r="T64" s="338" t="s">
        <v>665</v>
      </c>
      <c r="U64" s="339" t="s">
        <v>681</v>
      </c>
      <c r="X64" s="338" t="s">
        <v>656</v>
      </c>
      <c r="Y64" s="339" t="s">
        <v>721</v>
      </c>
    </row>
    <row r="65" spans="18:25" x14ac:dyDescent="0.35">
      <c r="R65" s="338" t="s">
        <v>664</v>
      </c>
      <c r="S65" s="245"/>
      <c r="T65" s="338" t="s">
        <v>668</v>
      </c>
      <c r="X65" s="338" t="s">
        <v>659</v>
      </c>
      <c r="Y65" s="339" t="s">
        <v>725</v>
      </c>
    </row>
    <row r="66" spans="18:25" x14ac:dyDescent="0.35">
      <c r="R66" s="338" t="s">
        <v>667</v>
      </c>
      <c r="S66" s="245"/>
      <c r="T66" s="338" t="s">
        <v>671</v>
      </c>
      <c r="X66" s="338" t="s">
        <v>1294</v>
      </c>
      <c r="Y66" s="339" t="s">
        <v>729</v>
      </c>
    </row>
    <row r="67" spans="18:25" x14ac:dyDescent="0.35">
      <c r="R67" s="338" t="s">
        <v>670</v>
      </c>
      <c r="S67" s="245"/>
      <c r="T67" s="338" t="s">
        <v>674</v>
      </c>
      <c r="X67" s="338" t="s">
        <v>1295</v>
      </c>
      <c r="Y67" s="403" t="s">
        <v>1379</v>
      </c>
    </row>
    <row r="68" spans="18:25" x14ac:dyDescent="0.35">
      <c r="R68" s="338" t="s">
        <v>1251</v>
      </c>
      <c r="S68" s="245"/>
      <c r="T68" s="338" t="s">
        <v>676</v>
      </c>
      <c r="X68" s="338" t="s">
        <v>684</v>
      </c>
      <c r="Y68" s="403" t="s">
        <v>1384</v>
      </c>
    </row>
    <row r="69" spans="18:25" x14ac:dyDescent="0.35">
      <c r="R69" s="338" t="s">
        <v>672</v>
      </c>
      <c r="S69" s="245"/>
      <c r="T69" s="338" t="s">
        <v>678</v>
      </c>
      <c r="X69" s="338" t="s">
        <v>688</v>
      </c>
      <c r="Y69" s="403" t="s">
        <v>1383</v>
      </c>
    </row>
    <row r="70" spans="18:25" x14ac:dyDescent="0.35">
      <c r="R70" s="338" t="s">
        <v>673</v>
      </c>
      <c r="S70" s="245"/>
      <c r="T70" s="338" t="s">
        <v>680</v>
      </c>
      <c r="X70" s="338" t="s">
        <v>692</v>
      </c>
      <c r="Y70" s="403" t="s">
        <v>1377</v>
      </c>
    </row>
    <row r="71" spans="18:25" x14ac:dyDescent="0.35">
      <c r="R71" s="338" t="s">
        <v>675</v>
      </c>
      <c r="S71" s="245"/>
      <c r="T71" s="338" t="s">
        <v>683</v>
      </c>
      <c r="X71" s="338" t="s">
        <v>695</v>
      </c>
      <c r="Y71" s="403" t="s">
        <v>1363</v>
      </c>
    </row>
    <row r="72" spans="18:25" x14ac:dyDescent="0.35">
      <c r="R72" s="338" t="s">
        <v>677</v>
      </c>
      <c r="S72" s="245"/>
      <c r="T72" s="338" t="s">
        <v>687</v>
      </c>
      <c r="X72" s="338" t="s">
        <v>699</v>
      </c>
      <c r="Y72" s="403" t="s">
        <v>1364</v>
      </c>
    </row>
    <row r="73" spans="18:25" x14ac:dyDescent="0.35">
      <c r="R73" s="338" t="s">
        <v>679</v>
      </c>
      <c r="S73" s="245"/>
      <c r="T73" s="338" t="s">
        <v>691</v>
      </c>
      <c r="X73" s="338" t="s">
        <v>702</v>
      </c>
      <c r="Y73" s="403" t="s">
        <v>1365</v>
      </c>
    </row>
    <row r="74" spans="18:25" x14ac:dyDescent="0.35">
      <c r="R74" s="338" t="s">
        <v>682</v>
      </c>
      <c r="S74" s="245"/>
      <c r="T74" s="338" t="s">
        <v>694</v>
      </c>
      <c r="X74" s="338" t="s">
        <v>1293</v>
      </c>
      <c r="Y74" s="403" t="s">
        <v>1381</v>
      </c>
    </row>
    <row r="75" spans="18:25" x14ac:dyDescent="0.35">
      <c r="R75" s="338" t="s">
        <v>686</v>
      </c>
      <c r="S75" s="245"/>
      <c r="T75" s="338" t="s">
        <v>698</v>
      </c>
      <c r="X75" s="338" t="s">
        <v>705</v>
      </c>
      <c r="Y75" s="397" t="s">
        <v>1306</v>
      </c>
    </row>
    <row r="76" spans="18:25" x14ac:dyDescent="0.35">
      <c r="R76" s="338" t="s">
        <v>690</v>
      </c>
      <c r="S76" s="245"/>
      <c r="T76" s="338" t="s">
        <v>701</v>
      </c>
      <c r="X76" s="338" t="s">
        <v>708</v>
      </c>
      <c r="Y76" s="397" t="s">
        <v>1307</v>
      </c>
    </row>
    <row r="77" spans="18:25" x14ac:dyDescent="0.35">
      <c r="R77" s="338" t="s">
        <v>697</v>
      </c>
      <c r="S77" s="245"/>
      <c r="T77" s="338" t="s">
        <v>704</v>
      </c>
      <c r="X77" s="338" t="s">
        <v>712</v>
      </c>
      <c r="Y77" s="397" t="s">
        <v>1308</v>
      </c>
    </row>
    <row r="78" spans="18:25" x14ac:dyDescent="0.35">
      <c r="R78" s="338" t="s">
        <v>700</v>
      </c>
      <c r="S78" s="245"/>
      <c r="T78" s="338" t="s">
        <v>707</v>
      </c>
      <c r="X78" s="338" t="s">
        <v>716</v>
      </c>
      <c r="Y78" s="397" t="s">
        <v>1309</v>
      </c>
    </row>
    <row r="79" spans="18:25" x14ac:dyDescent="0.35">
      <c r="R79" s="338" t="s">
        <v>703</v>
      </c>
      <c r="S79" s="245"/>
      <c r="T79" s="338" t="s">
        <v>711</v>
      </c>
      <c r="V79" s="308"/>
      <c r="X79" s="338" t="s">
        <v>720</v>
      </c>
      <c r="Y79" s="397" t="s">
        <v>1310</v>
      </c>
    </row>
    <row r="80" spans="18:25" x14ac:dyDescent="0.35">
      <c r="R80" s="338" t="s">
        <v>706</v>
      </c>
      <c r="S80" s="245"/>
      <c r="T80" s="338" t="s">
        <v>715</v>
      </c>
      <c r="V80" s="308"/>
      <c r="X80" s="338" t="s">
        <v>724</v>
      </c>
      <c r="Y80" s="397" t="s">
        <v>1311</v>
      </c>
    </row>
    <row r="81" spans="18:25" x14ac:dyDescent="0.35">
      <c r="R81" s="338" t="s">
        <v>710</v>
      </c>
      <c r="S81" s="245"/>
      <c r="T81" s="338" t="s">
        <v>719</v>
      </c>
      <c r="V81" s="308"/>
      <c r="X81" s="338" t="s">
        <v>728</v>
      </c>
      <c r="Y81" s="397" t="s">
        <v>1312</v>
      </c>
    </row>
    <row r="82" spans="18:25" x14ac:dyDescent="0.35">
      <c r="R82" s="338" t="s">
        <v>714</v>
      </c>
      <c r="S82" s="245"/>
      <c r="T82" s="338" t="s">
        <v>723</v>
      </c>
      <c r="V82" s="308"/>
      <c r="X82" s="338" t="s">
        <v>732</v>
      </c>
      <c r="Y82" s="403" t="s">
        <v>1380</v>
      </c>
    </row>
    <row r="83" spans="18:25" x14ac:dyDescent="0.35">
      <c r="R83" s="338" t="s">
        <v>718</v>
      </c>
      <c r="S83" s="245"/>
      <c r="T83" s="338" t="s">
        <v>727</v>
      </c>
      <c r="V83" s="308"/>
      <c r="X83" s="338" t="s">
        <v>736</v>
      </c>
      <c r="Y83" s="397" t="s">
        <v>1326</v>
      </c>
    </row>
    <row r="84" spans="18:25" x14ac:dyDescent="0.35">
      <c r="R84" s="338" t="s">
        <v>722</v>
      </c>
      <c r="S84" s="245"/>
      <c r="T84" s="338" t="s">
        <v>731</v>
      </c>
      <c r="V84" s="308"/>
      <c r="X84" s="401" t="s">
        <v>1323</v>
      </c>
      <c r="Y84" s="339" t="s">
        <v>543</v>
      </c>
    </row>
    <row r="85" spans="18:25" x14ac:dyDescent="0.35">
      <c r="R85" s="338" t="s">
        <v>726</v>
      </c>
      <c r="S85" s="245"/>
      <c r="T85" s="338" t="s">
        <v>735</v>
      </c>
      <c r="V85" s="308"/>
      <c r="X85" s="401" t="s">
        <v>1324</v>
      </c>
      <c r="Y85" s="339" t="s">
        <v>552</v>
      </c>
    </row>
    <row r="86" spans="18:25" x14ac:dyDescent="0.35">
      <c r="R86" s="338" t="s">
        <v>730</v>
      </c>
      <c r="S86" s="245"/>
      <c r="T86" s="338" t="s">
        <v>739</v>
      </c>
      <c r="V86" s="308"/>
      <c r="Y86" s="339" t="s">
        <v>560</v>
      </c>
    </row>
    <row r="87" spans="18:25" x14ac:dyDescent="0.35">
      <c r="R87" s="338" t="s">
        <v>734</v>
      </c>
      <c r="S87" s="245"/>
      <c r="T87" s="338" t="s">
        <v>742</v>
      </c>
      <c r="V87" s="308"/>
      <c r="Y87" s="339" t="s">
        <v>567</v>
      </c>
    </row>
    <row r="88" spans="18:25" x14ac:dyDescent="0.35">
      <c r="R88" s="338" t="s">
        <v>738</v>
      </c>
      <c r="S88" s="245"/>
      <c r="T88" s="338" t="s">
        <v>745</v>
      </c>
      <c r="V88" s="308"/>
      <c r="Y88" s="339" t="s">
        <v>575</v>
      </c>
    </row>
    <row r="89" spans="18:25" x14ac:dyDescent="0.35">
      <c r="R89" s="338" t="s">
        <v>741</v>
      </c>
      <c r="S89" s="245"/>
      <c r="T89" s="338" t="s">
        <v>748</v>
      </c>
      <c r="V89" s="308"/>
      <c r="Y89" s="339" t="s">
        <v>582</v>
      </c>
    </row>
    <row r="90" spans="18:25" x14ac:dyDescent="0.35">
      <c r="R90" s="338" t="s">
        <v>744</v>
      </c>
      <c r="S90" s="245"/>
      <c r="T90" s="338" t="s">
        <v>751</v>
      </c>
      <c r="V90" s="308"/>
      <c r="Y90" s="396" t="s">
        <v>1245</v>
      </c>
    </row>
    <row r="91" spans="18:25" x14ac:dyDescent="0.35">
      <c r="R91" s="338" t="s">
        <v>747</v>
      </c>
      <c r="S91" s="245"/>
      <c r="T91" s="338" t="s">
        <v>753</v>
      </c>
      <c r="V91" s="308"/>
      <c r="Y91" s="396" t="s">
        <v>1241</v>
      </c>
    </row>
    <row r="92" spans="18:25" x14ac:dyDescent="0.35">
      <c r="R92" s="338" t="s">
        <v>750</v>
      </c>
      <c r="S92" s="245"/>
      <c r="T92" s="338" t="s">
        <v>755</v>
      </c>
      <c r="V92" s="308"/>
      <c r="Y92" s="396" t="s">
        <v>1242</v>
      </c>
    </row>
    <row r="93" spans="18:25" x14ac:dyDescent="0.35">
      <c r="R93" s="338" t="s">
        <v>752</v>
      </c>
      <c r="S93" s="245"/>
      <c r="T93" s="338" t="s">
        <v>756</v>
      </c>
      <c r="V93" s="308"/>
      <c r="Y93" s="396" t="s">
        <v>1243</v>
      </c>
    </row>
    <row r="94" spans="18:25" x14ac:dyDescent="0.35">
      <c r="R94" s="338" t="s">
        <v>754</v>
      </c>
      <c r="S94" s="245"/>
      <c r="T94" s="338" t="s">
        <v>758</v>
      </c>
      <c r="V94" s="308"/>
      <c r="Y94" s="396" t="s">
        <v>1244</v>
      </c>
    </row>
    <row r="95" spans="18:25" x14ac:dyDescent="0.35">
      <c r="R95" s="338" t="s">
        <v>757</v>
      </c>
      <c r="S95" s="245"/>
      <c r="T95" s="338" t="s">
        <v>760</v>
      </c>
      <c r="V95" s="308"/>
      <c r="Y95" s="339" t="s">
        <v>587</v>
      </c>
    </row>
    <row r="96" spans="18:25" x14ac:dyDescent="0.35">
      <c r="R96" s="338" t="s">
        <v>759</v>
      </c>
      <c r="S96" s="245"/>
      <c r="T96" s="338" t="s">
        <v>762</v>
      </c>
      <c r="V96" s="308"/>
      <c r="Y96" s="339" t="s">
        <v>592</v>
      </c>
    </row>
    <row r="97" spans="15:25" x14ac:dyDescent="0.35">
      <c r="O97" s="246"/>
      <c r="R97" s="338" t="s">
        <v>761</v>
      </c>
      <c r="S97" s="245"/>
      <c r="T97" s="338" t="s">
        <v>764</v>
      </c>
      <c r="V97" s="308"/>
      <c r="Y97" s="339" t="s">
        <v>601</v>
      </c>
    </row>
    <row r="98" spans="15:25" x14ac:dyDescent="0.35">
      <c r="O98" s="246"/>
      <c r="R98" s="338" t="s">
        <v>763</v>
      </c>
      <c r="S98" s="245"/>
      <c r="T98" s="338" t="s">
        <v>766</v>
      </c>
      <c r="V98" s="308"/>
      <c r="Y98" s="339" t="s">
        <v>606</v>
      </c>
    </row>
    <row r="99" spans="15:25" x14ac:dyDescent="0.35">
      <c r="O99" s="246"/>
      <c r="R99" s="338" t="s">
        <v>765</v>
      </c>
      <c r="S99" s="245"/>
      <c r="T99" s="338" t="s">
        <v>768</v>
      </c>
      <c r="V99" s="308"/>
      <c r="Y99" s="339" t="s">
        <v>612</v>
      </c>
    </row>
    <row r="100" spans="15:25" x14ac:dyDescent="0.35">
      <c r="O100" s="246"/>
      <c r="R100" s="338" t="s">
        <v>767</v>
      </c>
      <c r="S100" s="245"/>
      <c r="T100" s="338" t="s">
        <v>770</v>
      </c>
      <c r="V100" s="308"/>
      <c r="Y100" s="339" t="s">
        <v>624</v>
      </c>
    </row>
    <row r="101" spans="15:25" x14ac:dyDescent="0.35">
      <c r="O101" s="246"/>
      <c r="R101" s="338" t="s">
        <v>769</v>
      </c>
      <c r="S101" s="245"/>
      <c r="T101" s="338" t="s">
        <v>772</v>
      </c>
      <c r="V101" s="308"/>
      <c r="Y101" s="339" t="s">
        <v>629</v>
      </c>
    </row>
    <row r="102" spans="15:25" x14ac:dyDescent="0.35">
      <c r="O102" s="246"/>
      <c r="R102" s="338" t="s">
        <v>771</v>
      </c>
      <c r="S102" s="245"/>
      <c r="V102" s="308"/>
      <c r="Y102" s="339" t="s">
        <v>635</v>
      </c>
    </row>
    <row r="103" spans="15:25" x14ac:dyDescent="0.35">
      <c r="O103" s="246"/>
      <c r="R103" s="338" t="s">
        <v>773</v>
      </c>
      <c r="S103" s="245"/>
      <c r="V103" s="308"/>
      <c r="Y103" s="339" t="s">
        <v>640</v>
      </c>
    </row>
    <row r="104" spans="15:25" x14ac:dyDescent="0.35">
      <c r="O104" s="246"/>
      <c r="R104" s="338" t="s">
        <v>774</v>
      </c>
      <c r="S104" s="245"/>
      <c r="V104" s="308"/>
      <c r="Y104" s="339" t="s">
        <v>660</v>
      </c>
    </row>
    <row r="105" spans="15:25" x14ac:dyDescent="0.35">
      <c r="O105" s="246"/>
      <c r="R105" s="338" t="s">
        <v>775</v>
      </c>
      <c r="S105" s="245"/>
      <c r="V105" s="308"/>
      <c r="Y105" s="339" t="s">
        <v>663</v>
      </c>
    </row>
    <row r="106" spans="15:25" x14ac:dyDescent="0.35">
      <c r="O106" s="246"/>
      <c r="R106" s="338" t="s">
        <v>776</v>
      </c>
      <c r="S106" s="245"/>
      <c r="V106" s="308"/>
      <c r="Y106" s="339" t="s">
        <v>666</v>
      </c>
    </row>
    <row r="107" spans="15:25" x14ac:dyDescent="0.35">
      <c r="O107" s="246"/>
      <c r="R107" s="338" t="s">
        <v>777</v>
      </c>
      <c r="S107" s="245"/>
      <c r="V107" s="308"/>
      <c r="Y107" s="339" t="s">
        <v>669</v>
      </c>
    </row>
    <row r="108" spans="15:25" x14ac:dyDescent="0.35">
      <c r="O108" s="246"/>
      <c r="R108" s="338" t="s">
        <v>778</v>
      </c>
      <c r="S108" s="245"/>
      <c r="V108" s="308"/>
      <c r="Y108" s="339" t="s">
        <v>685</v>
      </c>
    </row>
    <row r="109" spans="15:25" x14ac:dyDescent="0.35">
      <c r="O109" s="246"/>
      <c r="R109" s="338" t="s">
        <v>779</v>
      </c>
      <c r="S109" s="245"/>
      <c r="V109" s="308"/>
      <c r="Y109" s="339" t="s">
        <v>689</v>
      </c>
    </row>
    <row r="110" spans="15:25" x14ac:dyDescent="0.35">
      <c r="O110" s="246"/>
      <c r="R110" s="338" t="s">
        <v>780</v>
      </c>
      <c r="S110" s="245"/>
      <c r="V110" s="308"/>
      <c r="Y110" s="339" t="s">
        <v>693</v>
      </c>
    </row>
    <row r="111" spans="15:25" x14ac:dyDescent="0.35">
      <c r="O111" s="246"/>
      <c r="R111" s="338" t="s">
        <v>781</v>
      </c>
      <c r="S111" s="245"/>
      <c r="V111" s="308"/>
      <c r="Y111" s="339" t="s">
        <v>696</v>
      </c>
    </row>
    <row r="112" spans="15:25" x14ac:dyDescent="0.35">
      <c r="O112" s="246"/>
      <c r="R112" s="338" t="s">
        <v>782</v>
      </c>
      <c r="S112" s="245"/>
      <c r="V112" s="308"/>
    </row>
    <row r="113" spans="15:22" x14ac:dyDescent="0.35">
      <c r="O113" s="246"/>
      <c r="R113" s="338" t="s">
        <v>783</v>
      </c>
      <c r="S113" s="245"/>
      <c r="V113" s="308"/>
    </row>
    <row r="114" spans="15:22" x14ac:dyDescent="0.35">
      <c r="O114" s="246"/>
      <c r="R114" s="338" t="s">
        <v>784</v>
      </c>
      <c r="S114" s="245"/>
      <c r="V114" s="308"/>
    </row>
    <row r="115" spans="15:22" x14ac:dyDescent="0.35">
      <c r="O115" s="246"/>
      <c r="R115" s="338" t="s">
        <v>785</v>
      </c>
      <c r="S115" s="245"/>
      <c r="V115" s="308"/>
    </row>
    <row r="116" spans="15:22" x14ac:dyDescent="0.35">
      <c r="O116" s="246"/>
      <c r="R116" s="338" t="s">
        <v>786</v>
      </c>
      <c r="S116" s="245"/>
      <c r="V116" s="308"/>
    </row>
    <row r="117" spans="15:22" x14ac:dyDescent="0.35">
      <c r="O117" s="246"/>
      <c r="R117" s="338" t="s">
        <v>787</v>
      </c>
      <c r="S117" s="245"/>
      <c r="V117" s="308"/>
    </row>
    <row r="118" spans="15:22" x14ac:dyDescent="0.35">
      <c r="O118" s="246"/>
      <c r="R118" s="338" t="s">
        <v>788</v>
      </c>
      <c r="S118" s="245"/>
    </row>
    <row r="119" spans="15:22" x14ac:dyDescent="0.35">
      <c r="O119" s="246"/>
      <c r="R119" s="338" t="s">
        <v>789</v>
      </c>
      <c r="S119" s="245"/>
    </row>
    <row r="120" spans="15:22" x14ac:dyDescent="0.35">
      <c r="O120" s="246"/>
      <c r="R120" s="338" t="s">
        <v>790</v>
      </c>
      <c r="S120" s="245"/>
    </row>
    <row r="121" spans="15:22" x14ac:dyDescent="0.35">
      <c r="O121" s="246"/>
      <c r="R121" s="338" t="s">
        <v>791</v>
      </c>
      <c r="S121" s="245"/>
    </row>
    <row r="122" spans="15:22" x14ac:dyDescent="0.35">
      <c r="O122" s="246"/>
      <c r="R122" s="338" t="s">
        <v>792</v>
      </c>
      <c r="S122" s="245"/>
    </row>
    <row r="123" spans="15:22" x14ac:dyDescent="0.35">
      <c r="O123" s="246"/>
      <c r="R123" s="338" t="s">
        <v>793</v>
      </c>
      <c r="S123" s="245"/>
    </row>
    <row r="124" spans="15:22" x14ac:dyDescent="0.35">
      <c r="O124" s="246"/>
      <c r="R124" s="338" t="s">
        <v>794</v>
      </c>
      <c r="S124" s="245"/>
    </row>
    <row r="125" spans="15:22" x14ac:dyDescent="0.35">
      <c r="O125" s="246"/>
      <c r="R125" s="338" t="s">
        <v>795</v>
      </c>
      <c r="S125" s="245"/>
    </row>
    <row r="126" spans="15:22" x14ac:dyDescent="0.35">
      <c r="O126" s="246"/>
      <c r="R126" s="338" t="s">
        <v>796</v>
      </c>
      <c r="S126" s="245"/>
    </row>
    <row r="127" spans="15:22" x14ac:dyDescent="0.35">
      <c r="O127" s="246"/>
      <c r="R127" s="338" t="s">
        <v>797</v>
      </c>
      <c r="S127" s="245"/>
    </row>
    <row r="128" spans="15:22" x14ac:dyDescent="0.35">
      <c r="O128" s="246"/>
      <c r="R128" s="338" t="s">
        <v>798</v>
      </c>
      <c r="S128" s="245"/>
    </row>
    <row r="129" spans="15:19" x14ac:dyDescent="0.35">
      <c r="O129" s="246"/>
      <c r="R129" s="338" t="s">
        <v>799</v>
      </c>
      <c r="S129" s="245"/>
    </row>
    <row r="130" spans="15:19" x14ac:dyDescent="0.35">
      <c r="O130" s="246"/>
      <c r="R130" s="338" t="s">
        <v>800</v>
      </c>
      <c r="S130" s="245"/>
    </row>
    <row r="131" spans="15:19" x14ac:dyDescent="0.35">
      <c r="O131" s="246"/>
      <c r="R131" s="338" t="s">
        <v>801</v>
      </c>
      <c r="S131" s="245"/>
    </row>
    <row r="132" spans="15:19" x14ac:dyDescent="0.35">
      <c r="O132" s="246"/>
      <c r="R132" s="338" t="s">
        <v>802</v>
      </c>
      <c r="S132" s="245"/>
    </row>
    <row r="133" spans="15:19" x14ac:dyDescent="0.35">
      <c r="O133" s="246"/>
      <c r="R133" s="338" t="s">
        <v>803</v>
      </c>
      <c r="S133" s="245"/>
    </row>
    <row r="134" spans="15:19" x14ac:dyDescent="0.35">
      <c r="O134" s="246"/>
      <c r="R134" s="338" t="s">
        <v>804</v>
      </c>
      <c r="S134" s="245"/>
    </row>
    <row r="135" spans="15:19" x14ac:dyDescent="0.35">
      <c r="O135" s="246"/>
      <c r="R135" s="338" t="s">
        <v>805</v>
      </c>
      <c r="S135" s="245"/>
    </row>
    <row r="136" spans="15:19" x14ac:dyDescent="0.35">
      <c r="O136" s="246"/>
      <c r="R136" s="338" t="s">
        <v>806</v>
      </c>
      <c r="S136" s="245"/>
    </row>
    <row r="137" spans="15:19" x14ac:dyDescent="0.35">
      <c r="O137" s="246"/>
      <c r="R137" s="338" t="s">
        <v>807</v>
      </c>
      <c r="S137" s="245"/>
    </row>
    <row r="138" spans="15:19" x14ac:dyDescent="0.35">
      <c r="O138" s="246"/>
      <c r="R138" s="338" t="s">
        <v>808</v>
      </c>
      <c r="S138" s="245"/>
    </row>
    <row r="139" spans="15:19" x14ac:dyDescent="0.35">
      <c r="O139" s="246"/>
      <c r="R139" s="338" t="s">
        <v>809</v>
      </c>
      <c r="S139" s="245"/>
    </row>
    <row r="140" spans="15:19" x14ac:dyDescent="0.35">
      <c r="O140" s="246"/>
      <c r="R140" s="338" t="s">
        <v>810</v>
      </c>
      <c r="S140" s="245"/>
    </row>
    <row r="141" spans="15:19" x14ac:dyDescent="0.35">
      <c r="O141" s="246"/>
      <c r="R141" s="338" t="s">
        <v>811</v>
      </c>
      <c r="S141" s="245"/>
    </row>
    <row r="142" spans="15:19" x14ac:dyDescent="0.35">
      <c r="O142" s="246"/>
      <c r="R142" s="338" t="s">
        <v>812</v>
      </c>
      <c r="S142" s="245"/>
    </row>
    <row r="143" spans="15:19" x14ac:dyDescent="0.35">
      <c r="R143" s="338" t="s">
        <v>813</v>
      </c>
      <c r="S143" s="245"/>
    </row>
    <row r="144" spans="15:19" x14ac:dyDescent="0.35">
      <c r="R144" s="338" t="s">
        <v>814</v>
      </c>
      <c r="S144" s="245"/>
    </row>
    <row r="145" spans="18:19" x14ac:dyDescent="0.35">
      <c r="R145" s="338" t="s">
        <v>815</v>
      </c>
      <c r="S145" s="245"/>
    </row>
    <row r="146" spans="18:19" x14ac:dyDescent="0.35">
      <c r="R146" s="338" t="s">
        <v>816</v>
      </c>
      <c r="S146" s="245"/>
    </row>
    <row r="147" spans="18:19" x14ac:dyDescent="0.35">
      <c r="R147" s="338" t="s">
        <v>817</v>
      </c>
      <c r="S147" s="245"/>
    </row>
    <row r="148" spans="18:19" x14ac:dyDescent="0.35">
      <c r="R148" s="338" t="s">
        <v>818</v>
      </c>
      <c r="S148" s="245"/>
    </row>
    <row r="149" spans="18:19" x14ac:dyDescent="0.35">
      <c r="R149" s="338" t="s">
        <v>819</v>
      </c>
      <c r="S149" s="245"/>
    </row>
    <row r="150" spans="18:19" x14ac:dyDescent="0.35">
      <c r="S150" s="245"/>
    </row>
    <row r="151" spans="18:19" x14ac:dyDescent="0.35">
      <c r="S151" s="245"/>
    </row>
    <row r="152" spans="18:19" x14ac:dyDescent="0.35">
      <c r="S152" s="245"/>
    </row>
    <row r="153" spans="18:19" x14ac:dyDescent="0.35">
      <c r="S153" s="245"/>
    </row>
    <row r="154" spans="18:19" x14ac:dyDescent="0.35">
      <c r="S154" s="245"/>
    </row>
    <row r="155" spans="18:19" x14ac:dyDescent="0.35">
      <c r="S155" s="245"/>
    </row>
    <row r="156" spans="18:19" x14ac:dyDescent="0.35">
      <c r="S156" s="245"/>
    </row>
    <row r="157" spans="18:19" x14ac:dyDescent="0.35">
      <c r="S157" s="245"/>
    </row>
    <row r="158" spans="18:19" x14ac:dyDescent="0.35">
      <c r="S158" s="245"/>
    </row>
    <row r="159" spans="18:19" x14ac:dyDescent="0.35">
      <c r="S159" s="245"/>
    </row>
    <row r="160" spans="18:19" x14ac:dyDescent="0.35">
      <c r="S160" s="245"/>
    </row>
    <row r="161" spans="19:19" x14ac:dyDescent="0.35">
      <c r="S161" s="245"/>
    </row>
    <row r="162" spans="19:19" x14ac:dyDescent="0.35">
      <c r="S162" s="245"/>
    </row>
    <row r="163" spans="19:19" x14ac:dyDescent="0.35">
      <c r="S163" s="245"/>
    </row>
    <row r="164" spans="19:19" x14ac:dyDescent="0.35">
      <c r="S164" s="245"/>
    </row>
    <row r="165" spans="19:19" x14ac:dyDescent="0.35">
      <c r="S165" s="245"/>
    </row>
    <row r="166" spans="19:19" x14ac:dyDescent="0.35">
      <c r="S166" s="245"/>
    </row>
    <row r="167" spans="19:19" x14ac:dyDescent="0.35">
      <c r="S167" s="245"/>
    </row>
    <row r="168" spans="19:19" x14ac:dyDescent="0.35">
      <c r="S168" s="245"/>
    </row>
    <row r="169" spans="19:19" x14ac:dyDescent="0.35">
      <c r="S169" s="245"/>
    </row>
    <row r="170" spans="19:19" x14ac:dyDescent="0.35">
      <c r="S170" s="245"/>
    </row>
    <row r="171" spans="19:19" x14ac:dyDescent="0.35">
      <c r="S171" s="245"/>
    </row>
    <row r="172" spans="19:19" x14ac:dyDescent="0.35">
      <c r="S172" s="245"/>
    </row>
    <row r="173" spans="19:19" x14ac:dyDescent="0.35">
      <c r="S173" s="245"/>
    </row>
    <row r="174" spans="19:19" x14ac:dyDescent="0.35">
      <c r="S174" s="245"/>
    </row>
    <row r="175" spans="19:19" x14ac:dyDescent="0.35">
      <c r="S175" s="245"/>
    </row>
    <row r="176" spans="19:19" x14ac:dyDescent="0.35">
      <c r="S176" s="245"/>
    </row>
    <row r="177" spans="19:19" x14ac:dyDescent="0.35">
      <c r="S177" s="245"/>
    </row>
    <row r="178" spans="19:19" x14ac:dyDescent="0.35">
      <c r="S178" s="245"/>
    </row>
    <row r="179" spans="19:19" x14ac:dyDescent="0.35">
      <c r="S179" s="245"/>
    </row>
    <row r="180" spans="19:19" x14ac:dyDescent="0.35">
      <c r="S180" s="245"/>
    </row>
    <row r="181" spans="19:19" x14ac:dyDescent="0.35">
      <c r="S181" s="245"/>
    </row>
    <row r="182" spans="19:19" x14ac:dyDescent="0.35">
      <c r="S182" s="245"/>
    </row>
    <row r="183" spans="19:19" x14ac:dyDescent="0.35">
      <c r="S183" s="245"/>
    </row>
    <row r="184" spans="19:19" x14ac:dyDescent="0.35">
      <c r="S184" s="245"/>
    </row>
    <row r="185" spans="19:19" x14ac:dyDescent="0.35">
      <c r="S185" s="245"/>
    </row>
    <row r="186" spans="19:19" x14ac:dyDescent="0.35">
      <c r="S186" s="245"/>
    </row>
    <row r="187" spans="19:19" x14ac:dyDescent="0.35">
      <c r="S187" s="245"/>
    </row>
    <row r="188" spans="19:19" x14ac:dyDescent="0.35">
      <c r="S188" s="245"/>
    </row>
    <row r="189" spans="19:19" x14ac:dyDescent="0.35">
      <c r="S189" s="245"/>
    </row>
    <row r="190" spans="19:19" x14ac:dyDescent="0.35">
      <c r="S190" s="245"/>
    </row>
    <row r="191" spans="19:19" x14ac:dyDescent="0.35">
      <c r="S191" s="245"/>
    </row>
    <row r="192" spans="19:19" x14ac:dyDescent="0.35">
      <c r="S192" s="245"/>
    </row>
    <row r="193" spans="19:19" x14ac:dyDescent="0.35">
      <c r="S193" s="245"/>
    </row>
    <row r="194" spans="19:19" x14ac:dyDescent="0.35">
      <c r="S194" s="245"/>
    </row>
    <row r="195" spans="19:19" x14ac:dyDescent="0.35">
      <c r="S195" s="245"/>
    </row>
    <row r="196" spans="19:19" x14ac:dyDescent="0.35">
      <c r="S196" s="245"/>
    </row>
    <row r="197" spans="19:19" x14ac:dyDescent="0.35">
      <c r="S197" s="245"/>
    </row>
    <row r="198" spans="19:19" x14ac:dyDescent="0.35">
      <c r="S198" s="245"/>
    </row>
    <row r="199" spans="19:19" x14ac:dyDescent="0.35">
      <c r="S199" s="245"/>
    </row>
    <row r="200" spans="19:19" x14ac:dyDescent="0.35">
      <c r="S200" s="245"/>
    </row>
    <row r="201" spans="19:19" x14ac:dyDescent="0.35">
      <c r="S201" s="245"/>
    </row>
    <row r="202" spans="19:19" x14ac:dyDescent="0.35">
      <c r="S202" s="245"/>
    </row>
    <row r="203" spans="19:19" x14ac:dyDescent="0.35">
      <c r="S203" s="245"/>
    </row>
    <row r="204" spans="19:19" x14ac:dyDescent="0.35">
      <c r="S204" s="245"/>
    </row>
    <row r="205" spans="19:19" x14ac:dyDescent="0.35">
      <c r="S205" s="245"/>
    </row>
    <row r="206" spans="19:19" x14ac:dyDescent="0.35">
      <c r="S206" s="245"/>
    </row>
    <row r="207" spans="19:19" x14ac:dyDescent="0.35">
      <c r="S207" s="245"/>
    </row>
    <row r="208" spans="19:19" x14ac:dyDescent="0.35">
      <c r="S208" s="245"/>
    </row>
    <row r="209" spans="19:19" x14ac:dyDescent="0.35">
      <c r="S209" s="245"/>
    </row>
    <row r="210" spans="19:19" x14ac:dyDescent="0.35">
      <c r="S210" s="245"/>
    </row>
    <row r="211" spans="19:19" x14ac:dyDescent="0.35">
      <c r="S211" s="245"/>
    </row>
    <row r="212" spans="19:19" x14ac:dyDescent="0.35">
      <c r="S212" s="245"/>
    </row>
    <row r="213" spans="19:19" x14ac:dyDescent="0.35">
      <c r="S213" s="245"/>
    </row>
    <row r="214" spans="19:19" x14ac:dyDescent="0.35">
      <c r="S214" s="245"/>
    </row>
    <row r="215" spans="19:19" x14ac:dyDescent="0.35">
      <c r="S215" s="245"/>
    </row>
    <row r="216" spans="19:19" x14ac:dyDescent="0.35">
      <c r="S216" s="245"/>
    </row>
    <row r="217" spans="19:19" x14ac:dyDescent="0.35">
      <c r="S217" s="245"/>
    </row>
    <row r="218" spans="19:19" x14ac:dyDescent="0.35">
      <c r="S218" s="245"/>
    </row>
    <row r="219" spans="19:19" x14ac:dyDescent="0.35">
      <c r="S219" s="245"/>
    </row>
    <row r="220" spans="19:19" x14ac:dyDescent="0.35">
      <c r="S220" s="245"/>
    </row>
    <row r="221" spans="19:19" x14ac:dyDescent="0.35">
      <c r="S221" s="245"/>
    </row>
    <row r="222" spans="19:19" x14ac:dyDescent="0.35">
      <c r="S222" s="245"/>
    </row>
    <row r="223" spans="19:19" x14ac:dyDescent="0.35">
      <c r="S223" s="245"/>
    </row>
    <row r="224" spans="19:19" x14ac:dyDescent="0.35">
      <c r="S224" s="245"/>
    </row>
    <row r="225" spans="19:19" x14ac:dyDescent="0.35">
      <c r="S225" s="245"/>
    </row>
    <row r="226" spans="19:19" x14ac:dyDescent="0.35">
      <c r="S226" s="245"/>
    </row>
    <row r="227" spans="19:19" x14ac:dyDescent="0.35">
      <c r="S227" s="245"/>
    </row>
    <row r="228" spans="19:19" x14ac:dyDescent="0.35">
      <c r="S228" s="245"/>
    </row>
    <row r="229" spans="19:19" x14ac:dyDescent="0.35">
      <c r="S229" s="245"/>
    </row>
    <row r="230" spans="19:19" x14ac:dyDescent="0.35">
      <c r="S230" s="245"/>
    </row>
    <row r="231" spans="19:19" x14ac:dyDescent="0.35">
      <c r="S231" s="245"/>
    </row>
    <row r="232" spans="19:19" x14ac:dyDescent="0.35">
      <c r="S232" s="245"/>
    </row>
    <row r="233" spans="19:19" x14ac:dyDescent="0.35">
      <c r="S233" s="245"/>
    </row>
    <row r="234" spans="19:19" x14ac:dyDescent="0.35">
      <c r="S234" s="245"/>
    </row>
    <row r="235" spans="19:19" x14ac:dyDescent="0.35">
      <c r="S235" s="245"/>
    </row>
    <row r="236" spans="19:19" x14ac:dyDescent="0.35">
      <c r="S236" s="245"/>
    </row>
    <row r="237" spans="19:19" x14ac:dyDescent="0.35">
      <c r="S237" s="245"/>
    </row>
    <row r="238" spans="19:19" x14ac:dyDescent="0.35">
      <c r="S238" s="245"/>
    </row>
    <row r="239" spans="19:19" x14ac:dyDescent="0.35">
      <c r="S239" s="245"/>
    </row>
    <row r="240" spans="19:19" x14ac:dyDescent="0.35">
      <c r="S240" s="245"/>
    </row>
    <row r="241" spans="19:19" x14ac:dyDescent="0.35">
      <c r="S241" s="245"/>
    </row>
    <row r="242" spans="19:19" x14ac:dyDescent="0.35">
      <c r="S242" s="245"/>
    </row>
    <row r="243" spans="19:19" x14ac:dyDescent="0.35">
      <c r="S243" s="245"/>
    </row>
    <row r="244" spans="19:19" x14ac:dyDescent="0.35">
      <c r="S244" s="245"/>
    </row>
    <row r="245" spans="19:19" x14ac:dyDescent="0.35">
      <c r="S245" s="245"/>
    </row>
    <row r="246" spans="19:19" x14ac:dyDescent="0.35">
      <c r="S246" s="245"/>
    </row>
    <row r="247" spans="19:19" x14ac:dyDescent="0.35">
      <c r="S247" s="245"/>
    </row>
    <row r="248" spans="19:19" x14ac:dyDescent="0.35">
      <c r="S248" s="245"/>
    </row>
    <row r="249" spans="19:19" x14ac:dyDescent="0.35">
      <c r="S249" s="245"/>
    </row>
    <row r="250" spans="19:19" x14ac:dyDescent="0.35">
      <c r="S250" s="245"/>
    </row>
    <row r="251" spans="19:19" x14ac:dyDescent="0.35">
      <c r="S251" s="245"/>
    </row>
    <row r="252" spans="19:19" x14ac:dyDescent="0.35">
      <c r="S252" s="245"/>
    </row>
    <row r="253" spans="19:19" x14ac:dyDescent="0.35">
      <c r="S253" s="245"/>
    </row>
    <row r="254" spans="19:19" x14ac:dyDescent="0.35">
      <c r="S254" s="245"/>
    </row>
    <row r="255" spans="19:19" x14ac:dyDescent="0.35">
      <c r="S255" s="245"/>
    </row>
    <row r="256" spans="19:19" x14ac:dyDescent="0.35">
      <c r="S256" s="245"/>
    </row>
    <row r="257" spans="19:19" x14ac:dyDescent="0.35">
      <c r="S257" s="245"/>
    </row>
    <row r="258" spans="19:19" x14ac:dyDescent="0.35">
      <c r="S258" s="245"/>
    </row>
    <row r="259" spans="19:19" x14ac:dyDescent="0.35">
      <c r="S259" s="245"/>
    </row>
    <row r="260" spans="19:19" x14ac:dyDescent="0.35">
      <c r="S260" s="245"/>
    </row>
    <row r="261" spans="19:19" x14ac:dyDescent="0.35">
      <c r="S261" s="245"/>
    </row>
    <row r="262" spans="19:19" x14ac:dyDescent="0.35">
      <c r="S262" s="245"/>
    </row>
    <row r="263" spans="19:19" x14ac:dyDescent="0.35">
      <c r="S263" s="245"/>
    </row>
    <row r="264" spans="19:19" x14ac:dyDescent="0.35">
      <c r="S264" s="245"/>
    </row>
    <row r="265" spans="19:19" x14ac:dyDescent="0.35">
      <c r="S265" s="245"/>
    </row>
    <row r="266" spans="19:19" x14ac:dyDescent="0.35">
      <c r="S266" s="245"/>
    </row>
    <row r="267" spans="19:19" x14ac:dyDescent="0.35">
      <c r="S267" s="245"/>
    </row>
    <row r="268" spans="19:19" x14ac:dyDescent="0.35">
      <c r="S268" s="245"/>
    </row>
    <row r="269" spans="19:19" x14ac:dyDescent="0.35">
      <c r="S269" s="245"/>
    </row>
    <row r="270" spans="19:19" x14ac:dyDescent="0.35">
      <c r="S270" s="245"/>
    </row>
    <row r="271" spans="19:19" x14ac:dyDescent="0.35">
      <c r="S271" s="245"/>
    </row>
    <row r="272" spans="19:19" x14ac:dyDescent="0.35">
      <c r="S272" s="245"/>
    </row>
    <row r="273" spans="19:19" x14ac:dyDescent="0.35">
      <c r="S273" s="245"/>
    </row>
    <row r="274" spans="19:19" x14ac:dyDescent="0.35">
      <c r="S274" s="245"/>
    </row>
    <row r="275" spans="19:19" x14ac:dyDescent="0.35">
      <c r="S275" s="245"/>
    </row>
    <row r="276" spans="19:19" x14ac:dyDescent="0.35">
      <c r="S276" s="245"/>
    </row>
    <row r="277" spans="19:19" x14ac:dyDescent="0.35">
      <c r="S277" s="245"/>
    </row>
    <row r="278" spans="19:19" x14ac:dyDescent="0.35">
      <c r="S278" s="245"/>
    </row>
    <row r="279" spans="19:19" x14ac:dyDescent="0.35">
      <c r="S279" s="245"/>
    </row>
    <row r="280" spans="19:19" x14ac:dyDescent="0.35">
      <c r="S280" s="245"/>
    </row>
    <row r="281" spans="19:19" x14ac:dyDescent="0.35">
      <c r="S281" s="245"/>
    </row>
    <row r="282" spans="19:19" x14ac:dyDescent="0.35">
      <c r="S282" s="245"/>
    </row>
    <row r="283" spans="19:19" x14ac:dyDescent="0.35">
      <c r="S283" s="245"/>
    </row>
    <row r="284" spans="19:19" x14ac:dyDescent="0.35">
      <c r="S284" s="245"/>
    </row>
    <row r="285" spans="19:19" x14ac:dyDescent="0.35">
      <c r="S285" s="245"/>
    </row>
    <row r="286" spans="19:19" x14ac:dyDescent="0.35">
      <c r="S286" s="245"/>
    </row>
    <row r="287" spans="19:19" x14ac:dyDescent="0.35">
      <c r="S287" s="245"/>
    </row>
    <row r="288" spans="19:19" x14ac:dyDescent="0.35">
      <c r="S288" s="245"/>
    </row>
    <row r="289" spans="19:19" x14ac:dyDescent="0.35">
      <c r="S289" s="245"/>
    </row>
    <row r="290" spans="19:19" x14ac:dyDescent="0.35">
      <c r="S290" s="245"/>
    </row>
    <row r="291" spans="19:19" x14ac:dyDescent="0.35">
      <c r="S291" s="245"/>
    </row>
    <row r="292" spans="19:19" x14ac:dyDescent="0.35">
      <c r="S292" s="245"/>
    </row>
    <row r="293" spans="19:19" x14ac:dyDescent="0.35">
      <c r="S293" s="245"/>
    </row>
    <row r="294" spans="19:19" x14ac:dyDescent="0.35">
      <c r="S294" s="245"/>
    </row>
    <row r="295" spans="19:19" x14ac:dyDescent="0.35">
      <c r="S295" s="245"/>
    </row>
    <row r="296" spans="19:19" x14ac:dyDescent="0.35">
      <c r="S296" s="245"/>
    </row>
    <row r="297" spans="19:19" x14ac:dyDescent="0.35">
      <c r="S297" s="245"/>
    </row>
    <row r="298" spans="19:19" x14ac:dyDescent="0.35">
      <c r="S298" s="245"/>
    </row>
    <row r="299" spans="19:19" x14ac:dyDescent="0.35">
      <c r="S299" s="245"/>
    </row>
    <row r="300" spans="19:19" x14ac:dyDescent="0.35">
      <c r="S300" s="245"/>
    </row>
    <row r="301" spans="19:19" x14ac:dyDescent="0.35">
      <c r="S301" s="245"/>
    </row>
    <row r="302" spans="19:19" x14ac:dyDescent="0.35">
      <c r="S302" s="245"/>
    </row>
    <row r="303" spans="19:19" x14ac:dyDescent="0.35">
      <c r="S303" s="245"/>
    </row>
    <row r="304" spans="19:19" x14ac:dyDescent="0.35">
      <c r="S304" s="245"/>
    </row>
    <row r="305" spans="19:19" x14ac:dyDescent="0.35">
      <c r="S305" s="245"/>
    </row>
    <row r="306" spans="19:19" x14ac:dyDescent="0.35">
      <c r="S306" s="245"/>
    </row>
    <row r="307" spans="19:19" x14ac:dyDescent="0.35">
      <c r="S307" s="245"/>
    </row>
    <row r="308" spans="19:19" x14ac:dyDescent="0.35">
      <c r="S308" s="245"/>
    </row>
    <row r="309" spans="19:19" x14ac:dyDescent="0.35">
      <c r="S309" s="245"/>
    </row>
    <row r="310" spans="19:19" x14ac:dyDescent="0.35">
      <c r="S310" s="245"/>
    </row>
    <row r="311" spans="19:19" x14ac:dyDescent="0.35">
      <c r="S311" s="245"/>
    </row>
    <row r="312" spans="19:19" x14ac:dyDescent="0.35">
      <c r="S312" s="245"/>
    </row>
    <row r="313" spans="19:19" x14ac:dyDescent="0.35">
      <c r="S313" s="245"/>
    </row>
    <row r="314" spans="19:19" x14ac:dyDescent="0.35">
      <c r="S314" s="245"/>
    </row>
    <row r="315" spans="19:19" x14ac:dyDescent="0.35">
      <c r="S315" s="245"/>
    </row>
    <row r="316" spans="19:19" x14ac:dyDescent="0.35">
      <c r="S316" s="245"/>
    </row>
    <row r="317" spans="19:19" x14ac:dyDescent="0.35">
      <c r="S317" s="245"/>
    </row>
    <row r="318" spans="19:19" x14ac:dyDescent="0.35">
      <c r="S318" s="245"/>
    </row>
    <row r="319" spans="19:19" x14ac:dyDescent="0.35">
      <c r="S319" s="245"/>
    </row>
    <row r="320" spans="19:19" x14ac:dyDescent="0.35">
      <c r="S320" s="245"/>
    </row>
    <row r="321" spans="19:19" x14ac:dyDescent="0.35">
      <c r="S321" s="245"/>
    </row>
    <row r="322" spans="19:19" x14ac:dyDescent="0.35">
      <c r="S322" s="245"/>
    </row>
    <row r="323" spans="19:19" x14ac:dyDescent="0.35">
      <c r="S323" s="245"/>
    </row>
    <row r="324" spans="19:19" x14ac:dyDescent="0.35">
      <c r="S324" s="245"/>
    </row>
    <row r="325" spans="19:19" x14ac:dyDescent="0.35">
      <c r="S325" s="245"/>
    </row>
    <row r="326" spans="19:19" x14ac:dyDescent="0.35">
      <c r="S326" s="245"/>
    </row>
    <row r="327" spans="19:19" x14ac:dyDescent="0.35">
      <c r="S327" s="245"/>
    </row>
    <row r="328" spans="19:19" x14ac:dyDescent="0.35">
      <c r="S328" s="245"/>
    </row>
    <row r="329" spans="19:19" x14ac:dyDescent="0.35">
      <c r="S329" s="245"/>
    </row>
    <row r="330" spans="19:19" x14ac:dyDescent="0.35">
      <c r="S330" s="245"/>
    </row>
    <row r="331" spans="19:19" x14ac:dyDescent="0.35">
      <c r="S331" s="245"/>
    </row>
    <row r="332" spans="19:19" x14ac:dyDescent="0.35">
      <c r="S332" s="245"/>
    </row>
    <row r="333" spans="19:19" x14ac:dyDescent="0.35">
      <c r="S333" s="245"/>
    </row>
    <row r="334" spans="19:19" x14ac:dyDescent="0.35">
      <c r="S334" s="245"/>
    </row>
    <row r="335" spans="19:19" x14ac:dyDescent="0.35">
      <c r="S335" s="245"/>
    </row>
    <row r="336" spans="19:19" x14ac:dyDescent="0.35">
      <c r="S336" s="245"/>
    </row>
    <row r="337" spans="19:19" x14ac:dyDescent="0.35">
      <c r="S337" s="245"/>
    </row>
    <row r="338" spans="19:19" x14ac:dyDescent="0.35">
      <c r="S338" s="245"/>
    </row>
    <row r="339" spans="19:19" x14ac:dyDescent="0.35">
      <c r="S339" s="245"/>
    </row>
    <row r="340" spans="19:19" x14ac:dyDescent="0.35">
      <c r="S340" s="245"/>
    </row>
    <row r="341" spans="19:19" x14ac:dyDescent="0.35">
      <c r="S341" s="245"/>
    </row>
    <row r="342" spans="19:19" x14ac:dyDescent="0.35">
      <c r="S342" s="245"/>
    </row>
    <row r="343" spans="19:19" x14ac:dyDescent="0.35">
      <c r="S343" s="245"/>
    </row>
    <row r="344" spans="19:19" x14ac:dyDescent="0.35">
      <c r="S344" s="245"/>
    </row>
    <row r="345" spans="19:19" x14ac:dyDescent="0.35">
      <c r="S345" s="245"/>
    </row>
    <row r="346" spans="19:19" x14ac:dyDescent="0.35">
      <c r="S346" s="245"/>
    </row>
    <row r="347" spans="19:19" x14ac:dyDescent="0.35">
      <c r="S347" s="245"/>
    </row>
    <row r="348" spans="19:19" x14ac:dyDescent="0.35">
      <c r="S348" s="245"/>
    </row>
    <row r="349" spans="19:19" x14ac:dyDescent="0.35">
      <c r="S349" s="245"/>
    </row>
    <row r="350" spans="19:19" x14ac:dyDescent="0.35">
      <c r="S350" s="245"/>
    </row>
    <row r="351" spans="19:19" x14ac:dyDescent="0.35">
      <c r="S351" s="245"/>
    </row>
    <row r="352" spans="19:19" x14ac:dyDescent="0.35">
      <c r="S352" s="245"/>
    </row>
    <row r="353" spans="19:19" x14ac:dyDescent="0.35">
      <c r="S353" s="245"/>
    </row>
    <row r="354" spans="19:19" x14ac:dyDescent="0.35">
      <c r="S354" s="245"/>
    </row>
    <row r="355" spans="19:19" x14ac:dyDescent="0.35">
      <c r="S355" s="245"/>
    </row>
    <row r="356" spans="19:19" x14ac:dyDescent="0.35">
      <c r="S356" s="245"/>
    </row>
    <row r="357" spans="19:19" x14ac:dyDescent="0.35">
      <c r="S357" s="245"/>
    </row>
    <row r="358" spans="19:19" x14ac:dyDescent="0.35">
      <c r="S358" s="245"/>
    </row>
    <row r="359" spans="19:19" x14ac:dyDescent="0.35">
      <c r="S359" s="245"/>
    </row>
    <row r="360" spans="19:19" x14ac:dyDescent="0.35">
      <c r="S360" s="245"/>
    </row>
    <row r="361" spans="19:19" x14ac:dyDescent="0.35">
      <c r="S361" s="245"/>
    </row>
    <row r="362" spans="19:19" x14ac:dyDescent="0.35">
      <c r="S362" s="245"/>
    </row>
    <row r="363" spans="19:19" x14ac:dyDescent="0.35">
      <c r="S363" s="245"/>
    </row>
    <row r="364" spans="19:19" x14ac:dyDescent="0.35">
      <c r="S364" s="245"/>
    </row>
    <row r="365" spans="19:19" x14ac:dyDescent="0.35">
      <c r="S365" s="245"/>
    </row>
    <row r="366" spans="19:19" x14ac:dyDescent="0.35">
      <c r="S366" s="245"/>
    </row>
    <row r="367" spans="19:19" x14ac:dyDescent="0.35">
      <c r="S367" s="245"/>
    </row>
    <row r="368" spans="19:19" x14ac:dyDescent="0.35">
      <c r="S368" s="245"/>
    </row>
    <row r="369" spans="19:19" x14ac:dyDescent="0.35">
      <c r="S369" s="245"/>
    </row>
    <row r="370" spans="19:19" x14ac:dyDescent="0.35">
      <c r="S370" s="245"/>
    </row>
    <row r="371" spans="19:19" x14ac:dyDescent="0.35">
      <c r="S371" s="245"/>
    </row>
    <row r="372" spans="19:19" x14ac:dyDescent="0.35">
      <c r="S372" s="245"/>
    </row>
    <row r="373" spans="19:19" x14ac:dyDescent="0.35">
      <c r="S373" s="245"/>
    </row>
    <row r="374" spans="19:19" x14ac:dyDescent="0.35">
      <c r="S374" s="245"/>
    </row>
    <row r="375" spans="19:19" x14ac:dyDescent="0.35">
      <c r="S375" s="245"/>
    </row>
    <row r="376" spans="19:19" x14ac:dyDescent="0.35">
      <c r="S376" s="245"/>
    </row>
    <row r="377" spans="19:19" x14ac:dyDescent="0.35">
      <c r="S377" s="245"/>
    </row>
    <row r="378" spans="19:19" x14ac:dyDescent="0.35">
      <c r="S378" s="245"/>
    </row>
    <row r="379" spans="19:19" x14ac:dyDescent="0.35">
      <c r="S379" s="245"/>
    </row>
    <row r="380" spans="19:19" x14ac:dyDescent="0.35">
      <c r="S380" s="245"/>
    </row>
    <row r="381" spans="19:19" x14ac:dyDescent="0.35">
      <c r="S381" s="245"/>
    </row>
    <row r="382" spans="19:19" x14ac:dyDescent="0.35">
      <c r="S382" s="245"/>
    </row>
    <row r="383" spans="19:19" x14ac:dyDescent="0.35">
      <c r="S383" s="245"/>
    </row>
    <row r="384" spans="19:19" x14ac:dyDescent="0.35">
      <c r="S384" s="245"/>
    </row>
    <row r="385" spans="19:19" x14ac:dyDescent="0.35">
      <c r="S385" s="245"/>
    </row>
    <row r="386" spans="19:19" x14ac:dyDescent="0.35">
      <c r="S386" s="245"/>
    </row>
    <row r="387" spans="19:19" x14ac:dyDescent="0.35">
      <c r="S387" s="245"/>
    </row>
    <row r="388" spans="19:19" x14ac:dyDescent="0.35">
      <c r="S388" s="245"/>
    </row>
    <row r="389" spans="19:19" x14ac:dyDescent="0.35">
      <c r="S389" s="245"/>
    </row>
    <row r="390" spans="19:19" x14ac:dyDescent="0.35">
      <c r="S390" s="245"/>
    </row>
    <row r="391" spans="19:19" x14ac:dyDescent="0.35">
      <c r="S391" s="245"/>
    </row>
    <row r="392" spans="19:19" x14ac:dyDescent="0.35">
      <c r="S392" s="245"/>
    </row>
    <row r="393" spans="19:19" x14ac:dyDescent="0.35">
      <c r="S393" s="245"/>
    </row>
    <row r="394" spans="19:19" x14ac:dyDescent="0.35">
      <c r="S394" s="245"/>
    </row>
    <row r="395" spans="19:19" x14ac:dyDescent="0.35">
      <c r="S395" s="245"/>
    </row>
    <row r="396" spans="19:19" x14ac:dyDescent="0.35">
      <c r="S396" s="245"/>
    </row>
    <row r="397" spans="19:19" x14ac:dyDescent="0.35">
      <c r="S397" s="245"/>
    </row>
    <row r="398" spans="19:19" x14ac:dyDescent="0.35">
      <c r="S398" s="245"/>
    </row>
    <row r="399" spans="19:19" x14ac:dyDescent="0.35">
      <c r="S399" s="245"/>
    </row>
    <row r="400" spans="19:19" x14ac:dyDescent="0.35">
      <c r="S400" s="245"/>
    </row>
    <row r="401" spans="19:19" x14ac:dyDescent="0.35">
      <c r="S401" s="245"/>
    </row>
    <row r="402" spans="19:19" x14ac:dyDescent="0.35">
      <c r="S402" s="245"/>
    </row>
    <row r="403" spans="19:19" x14ac:dyDescent="0.35">
      <c r="S403" s="245"/>
    </row>
    <row r="404" spans="19:19" x14ac:dyDescent="0.35">
      <c r="S404" s="245"/>
    </row>
    <row r="405" spans="19:19" x14ac:dyDescent="0.35">
      <c r="S405" s="245"/>
    </row>
    <row r="406" spans="19:19" x14ac:dyDescent="0.35">
      <c r="S406" s="245"/>
    </row>
    <row r="407" spans="19:19" x14ac:dyDescent="0.35">
      <c r="S407" s="245"/>
    </row>
    <row r="408" spans="19:19" x14ac:dyDescent="0.35">
      <c r="S408" s="245"/>
    </row>
    <row r="409" spans="19:19" x14ac:dyDescent="0.35">
      <c r="S409" s="245"/>
    </row>
    <row r="410" spans="19:19" x14ac:dyDescent="0.35">
      <c r="S410" s="245"/>
    </row>
    <row r="411" spans="19:19" x14ac:dyDescent="0.35">
      <c r="S411" s="245"/>
    </row>
    <row r="412" spans="19:19" x14ac:dyDescent="0.35">
      <c r="S412" s="245"/>
    </row>
    <row r="413" spans="19:19" x14ac:dyDescent="0.35">
      <c r="S413" s="245"/>
    </row>
    <row r="414" spans="19:19" x14ac:dyDescent="0.35">
      <c r="S414" s="245"/>
    </row>
    <row r="415" spans="19:19" x14ac:dyDescent="0.35">
      <c r="S415" s="245"/>
    </row>
    <row r="416" spans="19:19" x14ac:dyDescent="0.35">
      <c r="S416" s="245"/>
    </row>
    <row r="417" spans="19:19" x14ac:dyDescent="0.35">
      <c r="S417" s="245"/>
    </row>
    <row r="418" spans="19:19" x14ac:dyDescent="0.35">
      <c r="S418" s="245"/>
    </row>
    <row r="419" spans="19:19" x14ac:dyDescent="0.35">
      <c r="S419" s="245"/>
    </row>
    <row r="420" spans="19:19" x14ac:dyDescent="0.35">
      <c r="S420" s="245"/>
    </row>
    <row r="421" spans="19:19" x14ac:dyDescent="0.35">
      <c r="S421" s="245"/>
    </row>
    <row r="422" spans="19:19" x14ac:dyDescent="0.35">
      <c r="S422" s="245"/>
    </row>
    <row r="423" spans="19:19" x14ac:dyDescent="0.35">
      <c r="S423" s="245"/>
    </row>
    <row r="424" spans="19:19" x14ac:dyDescent="0.35">
      <c r="S424" s="245"/>
    </row>
    <row r="425" spans="19:19" x14ac:dyDescent="0.35">
      <c r="S425" s="245"/>
    </row>
    <row r="426" spans="19:19" x14ac:dyDescent="0.35">
      <c r="S426" s="245"/>
    </row>
    <row r="427" spans="19:19" x14ac:dyDescent="0.35">
      <c r="S427" s="245"/>
    </row>
    <row r="428" spans="19:19" x14ac:dyDescent="0.35">
      <c r="S428" s="245"/>
    </row>
    <row r="429" spans="19:19" x14ac:dyDescent="0.35">
      <c r="S429" s="245"/>
    </row>
    <row r="430" spans="19:19" x14ac:dyDescent="0.35">
      <c r="S430" s="245"/>
    </row>
    <row r="431" spans="19:19" x14ac:dyDescent="0.35">
      <c r="S431" s="245"/>
    </row>
    <row r="432" spans="19:19" x14ac:dyDescent="0.35">
      <c r="S432" s="245"/>
    </row>
    <row r="433" spans="19:19" x14ac:dyDescent="0.35">
      <c r="S433" s="245"/>
    </row>
    <row r="434" spans="19:19" x14ac:dyDescent="0.35">
      <c r="S434" s="245"/>
    </row>
    <row r="435" spans="19:19" x14ac:dyDescent="0.35">
      <c r="S435" s="245"/>
    </row>
    <row r="436" spans="19:19" x14ac:dyDescent="0.35">
      <c r="S436" s="245"/>
    </row>
    <row r="437" spans="19:19" x14ac:dyDescent="0.35">
      <c r="S437" s="245"/>
    </row>
    <row r="438" spans="19:19" x14ac:dyDescent="0.35">
      <c r="S438" s="245"/>
    </row>
    <row r="439" spans="19:19" x14ac:dyDescent="0.35">
      <c r="S439" s="245"/>
    </row>
    <row r="440" spans="19:19" x14ac:dyDescent="0.35">
      <c r="S440" s="245"/>
    </row>
    <row r="441" spans="19:19" x14ac:dyDescent="0.35">
      <c r="S441" s="245"/>
    </row>
    <row r="442" spans="19:19" x14ac:dyDescent="0.35">
      <c r="S442" s="245"/>
    </row>
    <row r="443" spans="19:19" x14ac:dyDescent="0.35">
      <c r="S443" s="245"/>
    </row>
    <row r="444" spans="19:19" x14ac:dyDescent="0.35">
      <c r="S444" s="245"/>
    </row>
    <row r="445" spans="19:19" x14ac:dyDescent="0.35">
      <c r="S445" s="245"/>
    </row>
    <row r="446" spans="19:19" x14ac:dyDescent="0.35">
      <c r="S446" s="245"/>
    </row>
    <row r="447" spans="19:19" x14ac:dyDescent="0.35">
      <c r="S447" s="245"/>
    </row>
    <row r="448" spans="19:19" x14ac:dyDescent="0.35">
      <c r="S448" s="245"/>
    </row>
    <row r="449" spans="19:19" x14ac:dyDescent="0.35">
      <c r="S449" s="245"/>
    </row>
    <row r="450" spans="19:19" x14ac:dyDescent="0.35">
      <c r="S450" s="245"/>
    </row>
    <row r="451" spans="19:19" x14ac:dyDescent="0.35">
      <c r="S451" s="245"/>
    </row>
    <row r="452" spans="19:19" x14ac:dyDescent="0.35">
      <c r="S452" s="245"/>
    </row>
    <row r="453" spans="19:19" x14ac:dyDescent="0.35">
      <c r="S453" s="245"/>
    </row>
    <row r="454" spans="19:19" x14ac:dyDescent="0.35">
      <c r="S454" s="245"/>
    </row>
    <row r="455" spans="19:19" x14ac:dyDescent="0.35">
      <c r="S455" s="245"/>
    </row>
    <row r="456" spans="19:19" x14ac:dyDescent="0.35">
      <c r="S456" s="245"/>
    </row>
    <row r="457" spans="19:19" x14ac:dyDescent="0.35">
      <c r="S457" s="245"/>
    </row>
    <row r="458" spans="19:19" x14ac:dyDescent="0.35">
      <c r="S458" s="245"/>
    </row>
    <row r="459" spans="19:19" x14ac:dyDescent="0.35">
      <c r="S459" s="245"/>
    </row>
    <row r="460" spans="19:19" x14ac:dyDescent="0.35">
      <c r="S460" s="245"/>
    </row>
    <row r="461" spans="19:19" x14ac:dyDescent="0.35">
      <c r="S461" s="245"/>
    </row>
    <row r="462" spans="19:19" x14ac:dyDescent="0.35">
      <c r="S462" s="245"/>
    </row>
    <row r="463" spans="19:19" x14ac:dyDescent="0.35">
      <c r="S463" s="245"/>
    </row>
    <row r="464" spans="19:19" x14ac:dyDescent="0.35">
      <c r="S464" s="245"/>
    </row>
    <row r="465" spans="19:19" x14ac:dyDescent="0.35">
      <c r="S465" s="245"/>
    </row>
    <row r="466" spans="19:19" x14ac:dyDescent="0.35">
      <c r="S466" s="245"/>
    </row>
    <row r="467" spans="19:19" x14ac:dyDescent="0.35">
      <c r="S467" s="245"/>
    </row>
    <row r="468" spans="19:19" x14ac:dyDescent="0.35">
      <c r="S468" s="245"/>
    </row>
    <row r="469" spans="19:19" x14ac:dyDescent="0.35">
      <c r="S469" s="245"/>
    </row>
    <row r="470" spans="19:19" x14ac:dyDescent="0.35">
      <c r="S470" s="245"/>
    </row>
    <row r="471" spans="19:19" x14ac:dyDescent="0.35">
      <c r="S471" s="245"/>
    </row>
    <row r="472" spans="19:19" x14ac:dyDescent="0.35">
      <c r="S472" s="245"/>
    </row>
    <row r="473" spans="19:19" x14ac:dyDescent="0.35">
      <c r="S473" s="245"/>
    </row>
    <row r="474" spans="19:19" x14ac:dyDescent="0.35">
      <c r="S474" s="245"/>
    </row>
    <row r="475" spans="19:19" x14ac:dyDescent="0.35">
      <c r="S475" s="245"/>
    </row>
    <row r="476" spans="19:19" x14ac:dyDescent="0.35">
      <c r="S476" s="245"/>
    </row>
    <row r="477" spans="19:19" x14ac:dyDescent="0.35">
      <c r="S477" s="245"/>
    </row>
    <row r="478" spans="19:19" x14ac:dyDescent="0.35">
      <c r="S478" s="245"/>
    </row>
    <row r="479" spans="19:19" x14ac:dyDescent="0.35">
      <c r="S479" s="245"/>
    </row>
    <row r="480" spans="19:19" x14ac:dyDescent="0.35">
      <c r="S480" s="245"/>
    </row>
    <row r="481" spans="19:19" x14ac:dyDescent="0.35">
      <c r="S481" s="245"/>
    </row>
    <row r="482" spans="19:19" x14ac:dyDescent="0.35">
      <c r="S482" s="245"/>
    </row>
    <row r="483" spans="19:19" x14ac:dyDescent="0.35">
      <c r="S483" s="245"/>
    </row>
    <row r="484" spans="19:19" x14ac:dyDescent="0.35">
      <c r="S484" s="245"/>
    </row>
    <row r="485" spans="19:19" x14ac:dyDescent="0.35">
      <c r="S485" s="245"/>
    </row>
    <row r="486" spans="19:19" x14ac:dyDescent="0.35">
      <c r="S486" s="245"/>
    </row>
  </sheetData>
  <sheetProtection selectLockedCells="1" selectUnlockedCells="1"/>
  <autoFilter ref="N1:Y149" xr:uid="{9E9381F5-5447-417E-9229-8CA8EADF096F}"/>
  <sortState xmlns:xlrd2="http://schemas.microsoft.com/office/spreadsheetml/2017/richdata2" ref="Y2:Y111">
    <sortCondition ref="Y2"/>
  </sortState>
  <phoneticPr fontId="76" type="noConversion"/>
  <conditionalFormatting sqref="F2:F12">
    <cfRule type="duplicateValues" dxfId="6399" priority="4371"/>
  </conditionalFormatting>
  <conditionalFormatting sqref="H3:H10">
    <cfRule type="duplicateValues" dxfId="6398" priority="4702"/>
  </conditionalFormatting>
  <conditionalFormatting sqref="O2">
    <cfRule type="duplicateValues" dxfId="6397" priority="78"/>
  </conditionalFormatting>
  <conditionalFormatting sqref="Q32">
    <cfRule type="duplicateValues" dxfId="6396" priority="76"/>
  </conditionalFormatting>
  <conditionalFormatting sqref="T38">
    <cfRule type="duplicateValues" dxfId="6395" priority="72"/>
  </conditionalFormatting>
  <conditionalFormatting sqref="O3">
    <cfRule type="duplicateValues" dxfId="6394" priority="70"/>
  </conditionalFormatting>
  <conditionalFormatting sqref="O4">
    <cfRule type="duplicateValues" dxfId="6393" priority="69"/>
  </conditionalFormatting>
  <conditionalFormatting sqref="O5">
    <cfRule type="duplicateValues" dxfId="6392" priority="68"/>
  </conditionalFormatting>
  <conditionalFormatting sqref="O6">
    <cfRule type="duplicateValues" dxfId="6391" priority="67"/>
  </conditionalFormatting>
  <conditionalFormatting sqref="O7">
    <cfRule type="duplicateValues" dxfId="6390" priority="66"/>
  </conditionalFormatting>
  <conditionalFormatting sqref="O8">
    <cfRule type="duplicateValues" dxfId="6389" priority="65"/>
  </conditionalFormatting>
  <conditionalFormatting sqref="O9">
    <cfRule type="duplicateValues" dxfId="6388" priority="64"/>
  </conditionalFormatting>
  <conditionalFormatting sqref="O10">
    <cfRule type="duplicateValues" dxfId="6387" priority="63"/>
  </conditionalFormatting>
  <conditionalFormatting sqref="O11">
    <cfRule type="duplicateValues" dxfId="6386" priority="62"/>
  </conditionalFormatting>
  <conditionalFormatting sqref="O12">
    <cfRule type="duplicateValues" dxfId="6385" priority="60"/>
  </conditionalFormatting>
  <conditionalFormatting sqref="O13">
    <cfRule type="duplicateValues" dxfId="6384" priority="59"/>
  </conditionalFormatting>
  <conditionalFormatting sqref="O14">
    <cfRule type="duplicateValues" dxfId="6383" priority="58"/>
  </conditionalFormatting>
  <conditionalFormatting sqref="O15">
    <cfRule type="duplicateValues" dxfId="6382" priority="56"/>
  </conditionalFormatting>
  <conditionalFormatting sqref="O16">
    <cfRule type="duplicateValues" dxfId="6381" priority="55"/>
  </conditionalFormatting>
  <conditionalFormatting sqref="O19">
    <cfRule type="duplicateValues" dxfId="6380" priority="52"/>
  </conditionalFormatting>
  <conditionalFormatting sqref="O22">
    <cfRule type="duplicateValues" dxfId="6379" priority="47"/>
  </conditionalFormatting>
  <conditionalFormatting sqref="O23">
    <cfRule type="duplicateValues" dxfId="6378" priority="46"/>
  </conditionalFormatting>
  <conditionalFormatting sqref="O24">
    <cfRule type="duplicateValues" dxfId="6377" priority="45"/>
  </conditionalFormatting>
  <conditionalFormatting sqref="O25">
    <cfRule type="duplicateValues" dxfId="6376" priority="44"/>
  </conditionalFormatting>
  <conditionalFormatting sqref="O26">
    <cfRule type="duplicateValues" dxfId="6375" priority="43"/>
  </conditionalFormatting>
  <conditionalFormatting sqref="O27">
    <cfRule type="duplicateValues" dxfId="6374" priority="41"/>
  </conditionalFormatting>
  <conditionalFormatting sqref="O28">
    <cfRule type="duplicateValues" dxfId="6373" priority="39"/>
  </conditionalFormatting>
  <conditionalFormatting sqref="O29">
    <cfRule type="duplicateValues" dxfId="6372" priority="38"/>
  </conditionalFormatting>
  <conditionalFormatting sqref="O30">
    <cfRule type="duplicateValues" dxfId="6371" priority="37"/>
  </conditionalFormatting>
  <conditionalFormatting sqref="O31">
    <cfRule type="duplicateValues" dxfId="6370" priority="36"/>
  </conditionalFormatting>
  <conditionalFormatting sqref="O32">
    <cfRule type="duplicateValues" dxfId="6369" priority="35"/>
  </conditionalFormatting>
  <conditionalFormatting sqref="O33">
    <cfRule type="duplicateValues" dxfId="6368" priority="34"/>
  </conditionalFormatting>
  <conditionalFormatting sqref="X2">
    <cfRule type="duplicateValues" dxfId="6367" priority="29"/>
  </conditionalFormatting>
  <conditionalFormatting sqref="W2">
    <cfRule type="duplicateValues" dxfId="6366" priority="25"/>
  </conditionalFormatting>
  <conditionalFormatting sqref="O34:O36">
    <cfRule type="duplicateValues" dxfId="6365" priority="21"/>
  </conditionalFormatting>
  <conditionalFormatting sqref="Q33">
    <cfRule type="duplicateValues" dxfId="6364" priority="19"/>
  </conditionalFormatting>
  <conditionalFormatting sqref="U10">
    <cfRule type="duplicateValues" dxfId="6363" priority="13"/>
  </conditionalFormatting>
  <conditionalFormatting sqref="U35:U38 U27:U30">
    <cfRule type="duplicateValues" dxfId="6362" priority="4856"/>
  </conditionalFormatting>
  <conditionalFormatting sqref="U39:U40">
    <cfRule type="duplicateValues" dxfId="6361" priority="4857"/>
  </conditionalFormatting>
  <conditionalFormatting sqref="U39">
    <cfRule type="duplicateValues" dxfId="6360" priority="4859"/>
  </conditionalFormatting>
  <conditionalFormatting sqref="U30">
    <cfRule type="duplicateValues" dxfId="6359" priority="4924"/>
  </conditionalFormatting>
  <conditionalFormatting sqref="U31:U34">
    <cfRule type="duplicateValues" dxfId="6358" priority="4925"/>
  </conditionalFormatting>
  <conditionalFormatting sqref="O17">
    <cfRule type="duplicateValues" dxfId="6357" priority="4928"/>
  </conditionalFormatting>
  <conditionalFormatting sqref="O18">
    <cfRule type="duplicateValues" dxfId="6356" priority="4929"/>
  </conditionalFormatting>
  <conditionalFormatting sqref="P43:P46">
    <cfRule type="duplicateValues" dxfId="6355" priority="4930"/>
  </conditionalFormatting>
  <conditionalFormatting sqref="V33">
    <cfRule type="duplicateValues" dxfId="6354" priority="12"/>
  </conditionalFormatting>
  <conditionalFormatting sqref="X63:X65">
    <cfRule type="duplicateValues" dxfId="6353" priority="5026"/>
  </conditionalFormatting>
  <conditionalFormatting sqref="X36:X40 U27:U29 P2:P3 N2 X5 T2:T3 T34:T37 T39:T53 Z4:Z95 Y2:Z3">
    <cfRule type="duplicateValues" dxfId="6352" priority="5053"/>
  </conditionalFormatting>
  <conditionalFormatting sqref="Y5">
    <cfRule type="duplicateValues" dxfId="6351" priority="11"/>
  </conditionalFormatting>
  <conditionalFormatting sqref="Y10">
    <cfRule type="duplicateValues" dxfId="6350" priority="9"/>
  </conditionalFormatting>
  <conditionalFormatting sqref="Y25">
    <cfRule type="duplicateValues" dxfId="6349" priority="8"/>
  </conditionalFormatting>
  <conditionalFormatting sqref="F7:F12 B2 A2:A8 E3:E19 D2:D7 C2:C10 I2:J6 J7 J9 I7:I11 K2:L11 G2 F3:G6 G7:G16 E21:E25">
    <cfRule type="duplicateValues" dxfId="6348" priority="5066"/>
  </conditionalFormatting>
  <conditionalFormatting sqref="Y11:Y24 V31:V32 U2:U9 P4:P34 Q3:Q31 T4:T33 X6:X35 W3:W32 Y4 U11:U26 Y6:Y9">
    <cfRule type="duplicateValues" dxfId="6347" priority="5088"/>
  </conditionalFormatting>
  <conditionalFormatting sqref="S45:S46">
    <cfRule type="duplicateValues" dxfId="6346" priority="1"/>
  </conditionalFormatting>
  <conditionalFormatting sqref="S2:S3">
    <cfRule type="duplicateValues" dxfId="6345" priority="5"/>
  </conditionalFormatting>
  <conditionalFormatting sqref="S30:S31 S4:S7 S14:S18">
    <cfRule type="duplicateValues" dxfId="6344" priority="6"/>
  </conditionalFormatting>
  <conditionalFormatting sqref="S39:S44">
    <cfRule type="duplicateValues" dxfId="6343" priority="7"/>
  </conditionalFormatting>
  <conditionalFormatting sqref="Y28:Y36">
    <cfRule type="duplicateValues" dxfId="6342" priority="5089"/>
  </conditionalFormatting>
  <conditionalFormatting sqref="S32:S37 S2:S3">
    <cfRule type="duplicateValues" dxfId="6341" priority="5100"/>
  </conditionalFormatting>
  <conditionalFormatting sqref="S21:S29">
    <cfRule type="duplicateValues" dxfId="6340" priority="5147"/>
  </conditionalFormatting>
  <conditionalFormatting sqref="S19:S20">
    <cfRule type="duplicateValues" dxfId="6339" priority="5194"/>
  </conditionalFormatting>
  <hyperlinks>
    <hyperlink ref="Y46" r:id="rId1" display="https://workload-measurement.hmpps.service.justice.gov.uk/probation/team/4204" xr:uid="{FF3C7A8F-6407-45F8-83F2-36DE1CD65E10}"/>
    <hyperlink ref="Y83"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W153"/>
  <sheetViews>
    <sheetView topLeftCell="C1" zoomScale="70" zoomScaleNormal="70" workbookViewId="0">
      <pane ySplit="1" topLeftCell="A2" activePane="bottomLeft" state="frozen"/>
      <selection activeCell="B20" sqref="B20"/>
      <selection pane="bottomLeft" activeCell="X15" sqref="X15"/>
    </sheetView>
  </sheetViews>
  <sheetFormatPr defaultColWidth="8.81640625" defaultRowHeight="14" x14ac:dyDescent="0.3"/>
  <cols>
    <col min="1" max="1" width="31.81640625" bestFit="1" customWidth="1"/>
    <col min="2" max="2" width="53.453125" customWidth="1"/>
    <col min="3" max="3" width="21" customWidth="1"/>
    <col min="4" max="4" width="20.453125" customWidth="1"/>
    <col min="5" max="5" width="12.453125" customWidth="1"/>
    <col min="6" max="6" width="17.453125" style="226" bestFit="1" customWidth="1"/>
    <col min="7" max="7" width="13.453125" bestFit="1" customWidth="1"/>
    <col min="8" max="8" width="18.453125" bestFit="1" customWidth="1"/>
    <col min="9" max="9" width="15.453125" bestFit="1" customWidth="1"/>
    <col min="10" max="10" width="18.453125" bestFit="1" customWidth="1"/>
    <col min="11" max="12" width="11" customWidth="1"/>
    <col min="13" max="13" width="14.453125" style="225" customWidth="1"/>
    <col min="14" max="14" width="11.81640625" bestFit="1" customWidth="1"/>
    <col min="15" max="15" width="31.453125" bestFit="1" customWidth="1"/>
    <col min="16" max="16" width="26.81640625" customWidth="1"/>
    <col min="17" max="17" width="15.453125" customWidth="1"/>
    <col min="18" max="18" width="19.453125" customWidth="1"/>
    <col min="19" max="19" width="13.81640625" bestFit="1" customWidth="1"/>
    <col min="20" max="20" width="15.81640625" customWidth="1"/>
    <col min="21" max="21" width="12.453125" customWidth="1"/>
    <col min="22" max="22" width="11.1796875" bestFit="1" customWidth="1"/>
  </cols>
  <sheetData>
    <row r="1" spans="1:23" ht="45" customHeight="1" x14ac:dyDescent="0.35">
      <c r="A1" s="216" t="s">
        <v>820</v>
      </c>
      <c r="B1" s="216" t="s">
        <v>821</v>
      </c>
      <c r="C1" s="216" t="s">
        <v>822</v>
      </c>
      <c r="D1" s="216" t="s">
        <v>823</v>
      </c>
      <c r="E1" s="216" t="s">
        <v>824</v>
      </c>
      <c r="F1" s="216" t="s">
        <v>825</v>
      </c>
      <c r="G1" s="216" t="s">
        <v>826</v>
      </c>
      <c r="H1" s="216" t="s">
        <v>827</v>
      </c>
      <c r="I1" s="216" t="s">
        <v>828</v>
      </c>
      <c r="J1" s="216" t="s">
        <v>829</v>
      </c>
      <c r="K1" s="216" t="s">
        <v>830</v>
      </c>
      <c r="L1" s="216" t="s">
        <v>831</v>
      </c>
      <c r="M1" s="216" t="s">
        <v>832</v>
      </c>
      <c r="O1" s="23" t="s">
        <v>833</v>
      </c>
      <c r="P1" s="43" t="s">
        <v>834</v>
      </c>
      <c r="Q1" s="44" t="s">
        <v>835</v>
      </c>
      <c r="R1" s="44" t="s">
        <v>836</v>
      </c>
      <c r="S1" s="45" t="s">
        <v>837</v>
      </c>
      <c r="T1" s="45" t="s">
        <v>838</v>
      </c>
      <c r="U1" s="190" t="s">
        <v>839</v>
      </c>
      <c r="V1" s="190" t="s">
        <v>1385</v>
      </c>
      <c r="W1" s="44" t="s">
        <v>1386</v>
      </c>
    </row>
    <row r="2" spans="1:23" ht="15.5" x14ac:dyDescent="0.35">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c r="V2" t="str">
        <f>IFERROR(SUMIFS('capacity data'!$L:$L,'capacity data'!$B:$B,P2,'capacity data'!$E:$E,"PO")/SUMIFS('capacity data'!$G:$G,'capacity data'!$E:$E,"PO",'capacity data'!$B:$B,P2),"")</f>
        <v/>
      </c>
      <c r="W2" t="str">
        <f>IFERROR(SUM((SUMIFS('capacity data'!$G:$G,'capacity data'!$B:$B,P2))-SUMIFS('capacity data'!$H:$H,'capacity data'!$B:$B,P2))/SUMIFS('capacity data'!$G:$G,'capacity data'!$B:$B,P2),"")</f>
        <v/>
      </c>
    </row>
    <row r="3" spans="1:23" ht="15.5" x14ac:dyDescent="0.35">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c r="V3" s="406" t="str">
        <f>IFERROR(SUMIFS('capacity data'!$L:$L,'capacity data'!$B:$B,P3,'capacity data'!$E:$E,"PO")/SUMIFS('capacity data'!$G:$G,'capacity data'!$E:$E,"PO",'capacity data'!$B:$B,P3),"")</f>
        <v/>
      </c>
      <c r="W3" s="406" t="str">
        <f>IFERROR(SUM((SUMIFS('capacity data'!$G:$G,'capacity data'!$B:$B,P3))-SUMIFS('capacity data'!$H:$H,'capacity data'!$B:$B,P3))/SUMIFS('capacity data'!$G:$G,'capacity data'!$B:$B,P3),"")</f>
        <v/>
      </c>
    </row>
    <row r="4" spans="1:23" ht="15.5" x14ac:dyDescent="0.35">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c r="V4" s="406" t="str">
        <f>IFERROR(SUMIFS('capacity data'!$L:$L,'capacity data'!$B:$B,P4,'capacity data'!$E:$E,"PO")/SUMIFS('capacity data'!$G:$G,'capacity data'!$E:$E,"PO",'capacity data'!$B:$B,P4),"")</f>
        <v/>
      </c>
      <c r="W4" s="406" t="str">
        <f>IFERROR(SUM((SUMIFS('capacity data'!$G:$G,'capacity data'!$B:$B,P4))-SUMIFS('capacity data'!$H:$H,'capacity data'!$B:$B,P4))/SUMIFS('capacity data'!$G:$G,'capacity data'!$B:$B,P4),"")</f>
        <v/>
      </c>
    </row>
    <row r="5" spans="1:23" ht="15.5" x14ac:dyDescent="0.35">
      <c r="O5" s="23" t="s">
        <v>17</v>
      </c>
      <c r="P5" t="s">
        <v>94</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c r="V5" s="406" t="str">
        <f>IFERROR(SUMIFS('capacity data'!$L:$L,'capacity data'!$B:$B,P5,'capacity data'!$E:$E,"PO")/SUMIFS('capacity data'!$G:$G,'capacity data'!$E:$E,"PO",'capacity data'!$B:$B,P5),"")</f>
        <v/>
      </c>
      <c r="W5" s="406" t="str">
        <f>IFERROR(SUM((SUMIFS('capacity data'!$G:$G,'capacity data'!$B:$B,P5))-SUMIFS('capacity data'!$H:$H,'capacity data'!$B:$B,P5))/SUMIFS('capacity data'!$G:$G,'capacity data'!$B:$B,P5),"")</f>
        <v/>
      </c>
    </row>
    <row r="6" spans="1:23" ht="15.5" x14ac:dyDescent="0.35">
      <c r="O6" s="23" t="s">
        <v>17</v>
      </c>
      <c r="P6" t="s">
        <v>116</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c r="V6" s="406" t="str">
        <f>IFERROR(SUMIFS('capacity data'!$L:$L,'capacity data'!$B:$B,P6,'capacity data'!$E:$E,"PO")/SUMIFS('capacity data'!$G:$G,'capacity data'!$E:$E,"PO",'capacity data'!$B:$B,P6),"")</f>
        <v/>
      </c>
      <c r="W6" s="406" t="str">
        <f>IFERROR(SUM((SUMIFS('capacity data'!$G:$G,'capacity data'!$B:$B,P6))-SUMIFS('capacity data'!$H:$H,'capacity data'!$B:$B,P6))/SUMIFS('capacity data'!$G:$G,'capacity data'!$B:$B,P6),"")</f>
        <v/>
      </c>
    </row>
    <row r="7" spans="1:23" ht="15.5" x14ac:dyDescent="0.35">
      <c r="O7" s="23" t="s">
        <v>17</v>
      </c>
      <c r="P7" t="s">
        <v>137</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c r="V7" s="406" t="str">
        <f>IFERROR(SUMIFS('capacity data'!$L:$L,'capacity data'!$B:$B,P7,'capacity data'!$E:$E,"PO")/SUMIFS('capacity data'!$G:$G,'capacity data'!$E:$E,"PO",'capacity data'!$B:$B,P7),"")</f>
        <v/>
      </c>
      <c r="W7" s="406" t="str">
        <f>IFERROR(SUM((SUMIFS('capacity data'!$G:$G,'capacity data'!$B:$B,P7))-SUMIFS('capacity data'!$H:$H,'capacity data'!$B:$B,P7))/SUMIFS('capacity data'!$G:$G,'capacity data'!$B:$B,P7),"")</f>
        <v/>
      </c>
    </row>
    <row r="8" spans="1:23" ht="15.5" x14ac:dyDescent="0.35">
      <c r="O8" s="23" t="s">
        <v>17</v>
      </c>
      <c r="P8" t="s">
        <v>158</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c r="V8" s="406" t="str">
        <f>IFERROR(SUMIFS('capacity data'!$L:$L,'capacity data'!$B:$B,P8,'capacity data'!$E:$E,"PO")/SUMIFS('capacity data'!$G:$G,'capacity data'!$E:$E,"PO",'capacity data'!$B:$B,P8),"")</f>
        <v/>
      </c>
      <c r="W8" s="406" t="str">
        <f>IFERROR(SUM((SUMIFS('capacity data'!$G:$G,'capacity data'!$B:$B,P8))-SUMIFS('capacity data'!$H:$H,'capacity data'!$B:$B,P8))/SUMIFS('capacity data'!$G:$G,'capacity data'!$B:$B,P8),"")</f>
        <v/>
      </c>
    </row>
    <row r="9" spans="1:23" ht="15.5" x14ac:dyDescent="0.35">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c r="V9" s="406" t="str">
        <f>IFERROR(SUMIFS('capacity data'!$L:$L,'capacity data'!$B:$B,P9,'capacity data'!$E:$E,"PO")/SUMIFS('capacity data'!$G:$G,'capacity data'!$E:$E,"PO",'capacity data'!$B:$B,P9),"")</f>
        <v/>
      </c>
      <c r="W9" s="406" t="str">
        <f>IFERROR(SUM((SUMIFS('capacity data'!$G:$G,'capacity data'!$B:$B,P9))-SUMIFS('capacity data'!$H:$H,'capacity data'!$B:$B,P9))/SUMIFS('capacity data'!$G:$G,'capacity data'!$B:$B,P9),"")</f>
        <v/>
      </c>
    </row>
    <row r="10" spans="1:23" ht="15.5" x14ac:dyDescent="0.35">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c r="V10" s="406" t="str">
        <f>IFERROR(SUMIFS('capacity data'!$L:$L,'capacity data'!$B:$B,P10,'capacity data'!$E:$E,"PO")/SUMIFS('capacity data'!$G:$G,'capacity data'!$E:$E,"PO",'capacity data'!$B:$B,P10),"")</f>
        <v/>
      </c>
      <c r="W10" s="406" t="str">
        <f>IFERROR(SUM((SUMIFS('capacity data'!$G:$G,'capacity data'!$B:$B,P10))-SUMIFS('capacity data'!$H:$H,'capacity data'!$B:$B,P10))/SUMIFS('capacity data'!$G:$G,'capacity data'!$B:$B,P10),"")</f>
        <v/>
      </c>
    </row>
    <row r="11" spans="1:23" ht="15.5" x14ac:dyDescent="0.35">
      <c r="O11" s="23" t="s">
        <v>18</v>
      </c>
      <c r="P11" t="s">
        <v>95</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c r="V11" s="406" t="str">
        <f>IFERROR(SUMIFS('capacity data'!$L:$L,'capacity data'!$B:$B,P11,'capacity data'!$E:$E,"PO")/SUMIFS('capacity data'!$G:$G,'capacity data'!$E:$E,"PO",'capacity data'!$B:$B,P11),"")</f>
        <v/>
      </c>
      <c r="W11" s="406" t="str">
        <f>IFERROR(SUM((SUMIFS('capacity data'!$G:$G,'capacity data'!$B:$B,P11))-SUMIFS('capacity data'!$H:$H,'capacity data'!$B:$B,P11))/SUMIFS('capacity data'!$G:$G,'capacity data'!$B:$B,P11),"")</f>
        <v/>
      </c>
    </row>
    <row r="12" spans="1:23" ht="15.5" x14ac:dyDescent="0.35">
      <c r="O12" s="23" t="s">
        <v>18</v>
      </c>
      <c r="P12" t="s">
        <v>117</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c r="V12" s="406" t="str">
        <f>IFERROR(SUMIFS('capacity data'!$L:$L,'capacity data'!$B:$B,P12,'capacity data'!$E:$E,"PO")/SUMIFS('capacity data'!$G:$G,'capacity data'!$E:$E,"PO",'capacity data'!$B:$B,P12),"")</f>
        <v/>
      </c>
      <c r="W12" s="406" t="str">
        <f>IFERROR(SUM((SUMIFS('capacity data'!$G:$G,'capacity data'!$B:$B,P12))-SUMIFS('capacity data'!$H:$H,'capacity data'!$B:$B,P12))/SUMIFS('capacity data'!$G:$G,'capacity data'!$B:$B,P12),"")</f>
        <v/>
      </c>
    </row>
    <row r="13" spans="1:23" ht="15.5" x14ac:dyDescent="0.35">
      <c r="O13" s="23" t="s">
        <v>18</v>
      </c>
      <c r="P13" t="s">
        <v>138</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c r="V13" s="406" t="str">
        <f>IFERROR(SUMIFS('capacity data'!$L:$L,'capacity data'!$B:$B,P13,'capacity data'!$E:$E,"PO")/SUMIFS('capacity data'!$G:$G,'capacity data'!$E:$E,"PO",'capacity data'!$B:$B,P13),"")</f>
        <v/>
      </c>
      <c r="W13" s="406" t="str">
        <f>IFERROR(SUM((SUMIFS('capacity data'!$G:$G,'capacity data'!$B:$B,P13))-SUMIFS('capacity data'!$H:$H,'capacity data'!$B:$B,P13))/SUMIFS('capacity data'!$G:$G,'capacity data'!$B:$B,P13),"")</f>
        <v/>
      </c>
    </row>
    <row r="14" spans="1:23" ht="15.5" x14ac:dyDescent="0.35">
      <c r="O14" s="23" t="s">
        <v>18</v>
      </c>
      <c r="P14" t="s">
        <v>159</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c r="V14" s="406" t="str">
        <f>IFERROR(SUMIFS('capacity data'!$L:$L,'capacity data'!$B:$B,P14,'capacity data'!$E:$E,"PO")/SUMIFS('capacity data'!$G:$G,'capacity data'!$E:$E,"PO",'capacity data'!$B:$B,P14),"")</f>
        <v/>
      </c>
      <c r="W14" s="406" t="str">
        <f>IFERROR(SUM((SUMIFS('capacity data'!$G:$G,'capacity data'!$B:$B,P14))-SUMIFS('capacity data'!$H:$H,'capacity data'!$B:$B,P14))/SUMIFS('capacity data'!$G:$G,'capacity data'!$B:$B,P14),"")</f>
        <v/>
      </c>
    </row>
    <row r="15" spans="1:23" ht="15.5" x14ac:dyDescent="0.35">
      <c r="O15" s="23" t="s">
        <v>18</v>
      </c>
      <c r="P15" t="s">
        <v>180</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c r="V15" s="406" t="str">
        <f>IFERROR(SUMIFS('capacity data'!$L:$L,'capacity data'!$B:$B,P15,'capacity data'!$E:$E,"PO")/SUMIFS('capacity data'!$G:$G,'capacity data'!$E:$E,"PO",'capacity data'!$B:$B,P15),"")</f>
        <v/>
      </c>
      <c r="W15" s="406" t="str">
        <f>IFERROR(SUM((SUMIFS('capacity data'!$G:$G,'capacity data'!$B:$B,P15))-SUMIFS('capacity data'!$H:$H,'capacity data'!$B:$B,P15))/SUMIFS('capacity data'!$G:$G,'capacity data'!$B:$B,P15),"")</f>
        <v/>
      </c>
    </row>
    <row r="16" spans="1:23" ht="15.5" x14ac:dyDescent="0.35">
      <c r="O16" s="23" t="s">
        <v>18</v>
      </c>
      <c r="P16" t="s">
        <v>200</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c r="V16" s="406" t="str">
        <f>IFERROR(SUMIFS('capacity data'!$L:$L,'capacity data'!$B:$B,P16,'capacity data'!$E:$E,"PO")/SUMIFS('capacity data'!$G:$G,'capacity data'!$E:$E,"PO",'capacity data'!$B:$B,P16),"")</f>
        <v/>
      </c>
      <c r="W16" s="406" t="str">
        <f>IFERROR(SUM((SUMIFS('capacity data'!$G:$G,'capacity data'!$B:$B,P16))-SUMIFS('capacity data'!$H:$H,'capacity data'!$B:$B,P16))/SUMIFS('capacity data'!$G:$G,'capacity data'!$B:$B,P16),"")</f>
        <v/>
      </c>
    </row>
    <row r="17" spans="15:23" ht="15.5" x14ac:dyDescent="0.35">
      <c r="O17" s="23" t="s">
        <v>18</v>
      </c>
      <c r="P17" t="s">
        <v>218</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c r="V17" s="406" t="str">
        <f>IFERROR(SUMIFS('capacity data'!$L:$L,'capacity data'!$B:$B,P17,'capacity data'!$E:$E,"PO")/SUMIFS('capacity data'!$G:$G,'capacity data'!$E:$E,"PO",'capacity data'!$B:$B,P17),"")</f>
        <v/>
      </c>
      <c r="W17" s="406" t="str">
        <f>IFERROR(SUM((SUMIFS('capacity data'!$G:$G,'capacity data'!$B:$B,P17))-SUMIFS('capacity data'!$H:$H,'capacity data'!$B:$B,P17))/SUMIFS('capacity data'!$G:$G,'capacity data'!$B:$B,P17),"")</f>
        <v/>
      </c>
    </row>
    <row r="18" spans="15:23" ht="15.5" x14ac:dyDescent="0.35">
      <c r="O18" s="23" t="s">
        <v>18</v>
      </c>
      <c r="P18" t="s">
        <v>236</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c r="V18" s="406" t="str">
        <f>IFERROR(SUMIFS('capacity data'!$L:$L,'capacity data'!$B:$B,P18,'capacity data'!$E:$E,"PO")/SUMIFS('capacity data'!$G:$G,'capacity data'!$E:$E,"PO",'capacity data'!$B:$B,P18),"")</f>
        <v/>
      </c>
      <c r="W18" s="406" t="str">
        <f>IFERROR(SUM((SUMIFS('capacity data'!$G:$G,'capacity data'!$B:$B,P18))-SUMIFS('capacity data'!$H:$H,'capacity data'!$B:$B,P18))/SUMIFS('capacity data'!$G:$G,'capacity data'!$B:$B,P18),"")</f>
        <v/>
      </c>
    </row>
    <row r="19" spans="15:23" ht="15.5" x14ac:dyDescent="0.35">
      <c r="O19" s="23" t="s">
        <v>18</v>
      </c>
      <c r="P19" t="s">
        <v>253</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c r="V19" s="406" t="str">
        <f>IFERROR(SUMIFS('capacity data'!$L:$L,'capacity data'!$B:$B,P19,'capacity data'!$E:$E,"PO")/SUMIFS('capacity data'!$G:$G,'capacity data'!$E:$E,"PO",'capacity data'!$B:$B,P19),"")</f>
        <v/>
      </c>
      <c r="W19" s="406" t="str">
        <f>IFERROR(SUM((SUMIFS('capacity data'!$G:$G,'capacity data'!$B:$B,P19))-SUMIFS('capacity data'!$H:$H,'capacity data'!$B:$B,P19))/SUMIFS('capacity data'!$G:$G,'capacity data'!$B:$B,P19),"")</f>
        <v/>
      </c>
    </row>
    <row r="20" spans="15:23" ht="15.5" x14ac:dyDescent="0.35">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c r="V20" s="406" t="str">
        <f>IFERROR(SUMIFS('capacity data'!$L:$L,'capacity data'!$B:$B,P20,'capacity data'!$E:$E,"PO")/SUMIFS('capacity data'!$G:$G,'capacity data'!$E:$E,"PO",'capacity data'!$B:$B,P20),"")</f>
        <v/>
      </c>
      <c r="W20" s="406" t="str">
        <f>IFERROR(SUM((SUMIFS('capacity data'!$G:$G,'capacity data'!$B:$B,P20))-SUMIFS('capacity data'!$H:$H,'capacity data'!$B:$B,P20))/SUMIFS('capacity data'!$G:$G,'capacity data'!$B:$B,P20),"")</f>
        <v/>
      </c>
    </row>
    <row r="21" spans="15:23" ht="15.5" x14ac:dyDescent="0.35">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c r="V21" s="406" t="str">
        <f>IFERROR(SUMIFS('capacity data'!$L:$L,'capacity data'!$B:$B,P21,'capacity data'!$E:$E,"PO")/SUMIFS('capacity data'!$G:$G,'capacity data'!$E:$E,"PO",'capacity data'!$B:$B,P21),"")</f>
        <v/>
      </c>
      <c r="W21" s="406" t="str">
        <f>IFERROR(SUM((SUMIFS('capacity data'!$G:$G,'capacity data'!$B:$B,P21))-SUMIFS('capacity data'!$H:$H,'capacity data'!$B:$B,P21))/SUMIFS('capacity data'!$G:$G,'capacity data'!$B:$B,P21),"")</f>
        <v/>
      </c>
    </row>
    <row r="22" spans="15:23" ht="15.5" x14ac:dyDescent="0.35">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c r="V22" s="406" t="str">
        <f>IFERROR(SUMIFS('capacity data'!$L:$L,'capacity data'!$B:$B,P22,'capacity data'!$E:$E,"PO")/SUMIFS('capacity data'!$G:$G,'capacity data'!$E:$E,"PO",'capacity data'!$B:$B,P22),"")</f>
        <v/>
      </c>
      <c r="W22" s="406" t="str">
        <f>IFERROR(SUM((SUMIFS('capacity data'!$G:$G,'capacity data'!$B:$B,P22))-SUMIFS('capacity data'!$H:$H,'capacity data'!$B:$B,P22))/SUMIFS('capacity data'!$G:$G,'capacity data'!$B:$B,P22),"")</f>
        <v/>
      </c>
    </row>
    <row r="23" spans="15:23" ht="15.5" x14ac:dyDescent="0.35">
      <c r="O23" s="23" t="s">
        <v>19</v>
      </c>
      <c r="P23" t="s">
        <v>96</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c r="V23" s="406" t="str">
        <f>IFERROR(SUMIFS('capacity data'!$L:$L,'capacity data'!$B:$B,P23,'capacity data'!$E:$E,"PO")/SUMIFS('capacity data'!$G:$G,'capacity data'!$E:$E,"PO",'capacity data'!$B:$B,P23),"")</f>
        <v/>
      </c>
      <c r="W23" s="406" t="str">
        <f>IFERROR(SUM((SUMIFS('capacity data'!$G:$G,'capacity data'!$B:$B,P23))-SUMIFS('capacity data'!$H:$H,'capacity data'!$B:$B,P23))/SUMIFS('capacity data'!$G:$G,'capacity data'!$B:$B,P23),"")</f>
        <v/>
      </c>
    </row>
    <row r="24" spans="15:23" ht="15.5" x14ac:dyDescent="0.35">
      <c r="O24" s="23" t="s">
        <v>19</v>
      </c>
      <c r="P24" t="s">
        <v>118</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c r="V24" s="406" t="str">
        <f>IFERROR(SUMIFS('capacity data'!$L:$L,'capacity data'!$B:$B,P24,'capacity data'!$E:$E,"PO")/SUMIFS('capacity data'!$G:$G,'capacity data'!$E:$E,"PO",'capacity data'!$B:$B,P24),"")</f>
        <v/>
      </c>
      <c r="W24" s="406" t="str">
        <f>IFERROR(SUM((SUMIFS('capacity data'!$G:$G,'capacity data'!$B:$B,P24))-SUMIFS('capacity data'!$H:$H,'capacity data'!$B:$B,P24))/SUMIFS('capacity data'!$G:$G,'capacity data'!$B:$B,P24),"")</f>
        <v/>
      </c>
    </row>
    <row r="25" spans="15:23" ht="15.5" x14ac:dyDescent="0.35">
      <c r="O25" s="23" t="s">
        <v>19</v>
      </c>
      <c r="P25" t="s">
        <v>139</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c r="V25" s="406" t="str">
        <f>IFERROR(SUMIFS('capacity data'!$L:$L,'capacity data'!$B:$B,P25,'capacity data'!$E:$E,"PO")/SUMIFS('capacity data'!$G:$G,'capacity data'!$E:$E,"PO",'capacity data'!$B:$B,P25),"")</f>
        <v/>
      </c>
      <c r="W25" s="406" t="str">
        <f>IFERROR(SUM((SUMIFS('capacity data'!$G:$G,'capacity data'!$B:$B,P25))-SUMIFS('capacity data'!$H:$H,'capacity data'!$B:$B,P25))/SUMIFS('capacity data'!$G:$G,'capacity data'!$B:$B,P25),"")</f>
        <v/>
      </c>
    </row>
    <row r="26" spans="15:23" ht="15.5" x14ac:dyDescent="0.35">
      <c r="O26" s="23" t="s">
        <v>19</v>
      </c>
      <c r="P26" t="s">
        <v>160</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c r="V26" s="406" t="str">
        <f>IFERROR(SUMIFS('capacity data'!$L:$L,'capacity data'!$B:$B,P26,'capacity data'!$E:$E,"PO")/SUMIFS('capacity data'!$G:$G,'capacity data'!$E:$E,"PO",'capacity data'!$B:$B,P26),"")</f>
        <v/>
      </c>
      <c r="W26" s="406" t="str">
        <f>IFERROR(SUM((SUMIFS('capacity data'!$G:$G,'capacity data'!$B:$B,P26))-SUMIFS('capacity data'!$H:$H,'capacity data'!$B:$B,P26))/SUMIFS('capacity data'!$G:$G,'capacity data'!$B:$B,P26),"")</f>
        <v/>
      </c>
    </row>
    <row r="27" spans="15:23" ht="15.5" x14ac:dyDescent="0.35">
      <c r="O27" s="23" t="s">
        <v>19</v>
      </c>
      <c r="P27" t="s">
        <v>181</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c r="V27" s="406" t="str">
        <f>IFERROR(SUMIFS('capacity data'!$L:$L,'capacity data'!$B:$B,P27,'capacity data'!$E:$E,"PO")/SUMIFS('capacity data'!$G:$G,'capacity data'!$E:$E,"PO",'capacity data'!$B:$B,P27),"")</f>
        <v/>
      </c>
      <c r="W27" s="406" t="str">
        <f>IFERROR(SUM((SUMIFS('capacity data'!$G:$G,'capacity data'!$B:$B,P27))-SUMIFS('capacity data'!$H:$H,'capacity data'!$B:$B,P27))/SUMIFS('capacity data'!$G:$G,'capacity data'!$B:$B,P27),"")</f>
        <v/>
      </c>
    </row>
    <row r="28" spans="15:23" ht="15.5" x14ac:dyDescent="0.35">
      <c r="O28" s="23" t="s">
        <v>19</v>
      </c>
      <c r="P28" t="s">
        <v>201</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c r="V28" s="406" t="str">
        <f>IFERROR(SUMIFS('capacity data'!$L:$L,'capacity data'!$B:$B,P28,'capacity data'!$E:$E,"PO")/SUMIFS('capacity data'!$G:$G,'capacity data'!$E:$E,"PO",'capacity data'!$B:$B,P28),"")</f>
        <v/>
      </c>
      <c r="W28" s="406" t="str">
        <f>IFERROR(SUM((SUMIFS('capacity data'!$G:$G,'capacity data'!$B:$B,P28))-SUMIFS('capacity data'!$H:$H,'capacity data'!$B:$B,P28))/SUMIFS('capacity data'!$G:$G,'capacity data'!$B:$B,P28),"")</f>
        <v/>
      </c>
    </row>
    <row r="29" spans="15:23" ht="15.5" x14ac:dyDescent="0.35">
      <c r="O29" s="23" t="s">
        <v>19</v>
      </c>
      <c r="P29" t="s">
        <v>219</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c r="V29" s="406" t="str">
        <f>IFERROR(SUMIFS('capacity data'!$L:$L,'capacity data'!$B:$B,P29,'capacity data'!$E:$E,"PO")/SUMIFS('capacity data'!$G:$G,'capacity data'!$E:$E,"PO",'capacity data'!$B:$B,P29),"")</f>
        <v/>
      </c>
      <c r="W29" s="406" t="str">
        <f>IFERROR(SUM((SUMIFS('capacity data'!$G:$G,'capacity data'!$B:$B,P29))-SUMIFS('capacity data'!$H:$H,'capacity data'!$B:$B,P29))/SUMIFS('capacity data'!$G:$G,'capacity data'!$B:$B,P29),"")</f>
        <v/>
      </c>
    </row>
    <row r="30" spans="15:23" ht="15.5" x14ac:dyDescent="0.35">
      <c r="O30" s="23" t="s">
        <v>19</v>
      </c>
      <c r="P30" t="s">
        <v>237</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c r="V30" s="406" t="str">
        <f>IFERROR(SUMIFS('capacity data'!$L:$L,'capacity data'!$B:$B,P30,'capacity data'!$E:$E,"PO")/SUMIFS('capacity data'!$G:$G,'capacity data'!$E:$E,"PO",'capacity data'!$B:$B,P30),"")</f>
        <v/>
      </c>
      <c r="W30" s="406" t="str">
        <f>IFERROR(SUM((SUMIFS('capacity data'!$G:$G,'capacity data'!$B:$B,P30))-SUMIFS('capacity data'!$H:$H,'capacity data'!$B:$B,P30))/SUMIFS('capacity data'!$G:$G,'capacity data'!$B:$B,P30),"")</f>
        <v/>
      </c>
    </row>
    <row r="31" spans="15:23" ht="15.5" x14ac:dyDescent="0.35">
      <c r="O31" s="23" t="s">
        <v>19</v>
      </c>
      <c r="P31" t="s">
        <v>254</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c r="V31" s="406" t="str">
        <f>IFERROR(SUMIFS('capacity data'!$L:$L,'capacity data'!$B:$B,P31,'capacity data'!$E:$E,"PO")/SUMIFS('capacity data'!$G:$G,'capacity data'!$E:$E,"PO",'capacity data'!$B:$B,P31),"")</f>
        <v/>
      </c>
      <c r="W31" s="406" t="str">
        <f>IFERROR(SUM((SUMIFS('capacity data'!$G:$G,'capacity data'!$B:$B,P31))-SUMIFS('capacity data'!$H:$H,'capacity data'!$B:$B,P31))/SUMIFS('capacity data'!$G:$G,'capacity data'!$B:$B,P31),"")</f>
        <v/>
      </c>
    </row>
    <row r="32" spans="15:23" ht="15.5" x14ac:dyDescent="0.35">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c r="V32" s="406" t="str">
        <f>IFERROR(SUMIFS('capacity data'!$L:$L,'capacity data'!$B:$B,P32,'capacity data'!$E:$E,"PO")/SUMIFS('capacity data'!$G:$G,'capacity data'!$E:$E,"PO",'capacity data'!$B:$B,P32),"")</f>
        <v/>
      </c>
      <c r="W32" s="406" t="str">
        <f>IFERROR(SUM((SUMIFS('capacity data'!$G:$G,'capacity data'!$B:$B,P32))-SUMIFS('capacity data'!$H:$H,'capacity data'!$B:$B,P32))/SUMIFS('capacity data'!$G:$G,'capacity data'!$B:$B,P32),"")</f>
        <v/>
      </c>
    </row>
    <row r="33" spans="15:23" ht="15.5" x14ac:dyDescent="0.35">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c r="V33" s="406" t="str">
        <f>IFERROR(SUMIFS('capacity data'!$L:$L,'capacity data'!$B:$B,P33,'capacity data'!$E:$E,"PO")/SUMIFS('capacity data'!$G:$G,'capacity data'!$E:$E,"PO",'capacity data'!$B:$B,P33),"")</f>
        <v/>
      </c>
      <c r="W33" s="406" t="str">
        <f>IFERROR(SUM((SUMIFS('capacity data'!$G:$G,'capacity data'!$B:$B,P33))-SUMIFS('capacity data'!$H:$H,'capacity data'!$B:$B,P33))/SUMIFS('capacity data'!$G:$G,'capacity data'!$B:$B,P33),"")</f>
        <v/>
      </c>
    </row>
    <row r="34" spans="15:23" ht="15.5" x14ac:dyDescent="0.35">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c r="V34" s="406" t="str">
        <f>IFERROR(SUMIFS('capacity data'!$L:$L,'capacity data'!$B:$B,P34,'capacity data'!$E:$E,"PO")/SUMIFS('capacity data'!$G:$G,'capacity data'!$E:$E,"PO",'capacity data'!$B:$B,P34),"")</f>
        <v/>
      </c>
      <c r="W34" s="406" t="str">
        <f>IFERROR(SUM((SUMIFS('capacity data'!$G:$G,'capacity data'!$B:$B,P34))-SUMIFS('capacity data'!$H:$H,'capacity data'!$B:$B,P34))/SUMIFS('capacity data'!$G:$G,'capacity data'!$B:$B,P34),"")</f>
        <v/>
      </c>
    </row>
    <row r="35" spans="15:23" ht="15.5" x14ac:dyDescent="0.35">
      <c r="O35" s="23" t="s">
        <v>20</v>
      </c>
      <c r="P35" t="s">
        <v>97</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c r="V35" s="406" t="str">
        <f>IFERROR(SUMIFS('capacity data'!$L:$L,'capacity data'!$B:$B,P35,'capacity data'!$E:$E,"PO")/SUMIFS('capacity data'!$G:$G,'capacity data'!$E:$E,"PO",'capacity data'!$B:$B,P35),"")</f>
        <v/>
      </c>
      <c r="W35" s="406" t="str">
        <f>IFERROR(SUM((SUMIFS('capacity data'!$G:$G,'capacity data'!$B:$B,P35))-SUMIFS('capacity data'!$H:$H,'capacity data'!$B:$B,P35))/SUMIFS('capacity data'!$G:$G,'capacity data'!$B:$B,P35),"")</f>
        <v/>
      </c>
    </row>
    <row r="36" spans="15:23" ht="15.5" x14ac:dyDescent="0.35">
      <c r="O36" s="23" t="s">
        <v>20</v>
      </c>
      <c r="P36" t="s">
        <v>119</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c r="V36" s="406" t="str">
        <f>IFERROR(SUMIFS('capacity data'!$L:$L,'capacity data'!$B:$B,P36,'capacity data'!$E:$E,"PO")/SUMIFS('capacity data'!$G:$G,'capacity data'!$E:$E,"PO",'capacity data'!$B:$B,P36),"")</f>
        <v/>
      </c>
      <c r="W36" s="406" t="str">
        <f>IFERROR(SUM((SUMIFS('capacity data'!$G:$G,'capacity data'!$B:$B,P36))-SUMIFS('capacity data'!$H:$H,'capacity data'!$B:$B,P36))/SUMIFS('capacity data'!$G:$G,'capacity data'!$B:$B,P36),"")</f>
        <v/>
      </c>
    </row>
    <row r="37" spans="15:23" ht="15.5" x14ac:dyDescent="0.35">
      <c r="O37" s="23" t="s">
        <v>20</v>
      </c>
      <c r="P37" t="s">
        <v>140</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c r="V37" s="406" t="str">
        <f>IFERROR(SUMIFS('capacity data'!$L:$L,'capacity data'!$B:$B,P37,'capacity data'!$E:$E,"PO")/SUMIFS('capacity data'!$G:$G,'capacity data'!$E:$E,"PO",'capacity data'!$B:$B,P37),"")</f>
        <v/>
      </c>
      <c r="W37" s="406" t="str">
        <f>IFERROR(SUM((SUMIFS('capacity data'!$G:$G,'capacity data'!$B:$B,P37))-SUMIFS('capacity data'!$H:$H,'capacity data'!$B:$B,P37))/SUMIFS('capacity data'!$G:$G,'capacity data'!$B:$B,P37),"")</f>
        <v/>
      </c>
    </row>
    <row r="38" spans="15:23" ht="15.5" x14ac:dyDescent="0.35">
      <c r="O38" s="23" t="s">
        <v>20</v>
      </c>
      <c r="P38" t="s">
        <v>161</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c r="V38" s="406" t="str">
        <f>IFERROR(SUMIFS('capacity data'!$L:$L,'capacity data'!$B:$B,P38,'capacity data'!$E:$E,"PO")/SUMIFS('capacity data'!$G:$G,'capacity data'!$E:$E,"PO",'capacity data'!$B:$B,P38),"")</f>
        <v/>
      </c>
      <c r="W38" s="406" t="str">
        <f>IFERROR(SUM((SUMIFS('capacity data'!$G:$G,'capacity data'!$B:$B,P38))-SUMIFS('capacity data'!$H:$H,'capacity data'!$B:$B,P38))/SUMIFS('capacity data'!$G:$G,'capacity data'!$B:$B,P38),"")</f>
        <v/>
      </c>
    </row>
    <row r="39" spans="15:23" ht="15.5" x14ac:dyDescent="0.35">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c r="V39" s="406" t="str">
        <f>IFERROR(SUMIFS('capacity data'!$L:$L,'capacity data'!$B:$B,P39,'capacity data'!$E:$E,"PO")/SUMIFS('capacity data'!$G:$G,'capacity data'!$E:$E,"PO",'capacity data'!$B:$B,P39),"")</f>
        <v/>
      </c>
      <c r="W39" s="406" t="str">
        <f>IFERROR(SUM((SUMIFS('capacity data'!$G:$G,'capacity data'!$B:$B,P39))-SUMIFS('capacity data'!$H:$H,'capacity data'!$B:$B,P39))/SUMIFS('capacity data'!$G:$G,'capacity data'!$B:$B,P39),"")</f>
        <v/>
      </c>
    </row>
    <row r="40" spans="15:23" ht="15.5" x14ac:dyDescent="0.35">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c r="V40" s="406" t="str">
        <f>IFERROR(SUMIFS('capacity data'!$L:$L,'capacity data'!$B:$B,P40,'capacity data'!$E:$E,"PO")/SUMIFS('capacity data'!$G:$G,'capacity data'!$E:$E,"PO",'capacity data'!$B:$B,P40),"")</f>
        <v/>
      </c>
      <c r="W40" s="406" t="str">
        <f>IFERROR(SUM((SUMIFS('capacity data'!$G:$G,'capacity data'!$B:$B,P40))-SUMIFS('capacity data'!$H:$H,'capacity data'!$B:$B,P40))/SUMIFS('capacity data'!$G:$G,'capacity data'!$B:$B,P40),"")</f>
        <v/>
      </c>
    </row>
    <row r="41" spans="15:23" ht="15.5" x14ac:dyDescent="0.35">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c r="V41" s="406" t="str">
        <f>IFERROR(SUMIFS('capacity data'!$L:$L,'capacity data'!$B:$B,P41,'capacity data'!$E:$E,"PO")/SUMIFS('capacity data'!$G:$G,'capacity data'!$E:$E,"PO",'capacity data'!$B:$B,P41),"")</f>
        <v/>
      </c>
      <c r="W41" s="406" t="str">
        <f>IFERROR(SUM((SUMIFS('capacity data'!$G:$G,'capacity data'!$B:$B,P41))-SUMIFS('capacity data'!$H:$H,'capacity data'!$B:$B,P41))/SUMIFS('capacity data'!$G:$G,'capacity data'!$B:$B,P41),"")</f>
        <v/>
      </c>
    </row>
    <row r="42" spans="15:23" ht="15.5" x14ac:dyDescent="0.35">
      <c r="O42" s="23" t="s">
        <v>21</v>
      </c>
      <c r="P42" t="s">
        <v>98</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c r="V42" s="406" t="str">
        <f>IFERROR(SUMIFS('capacity data'!$L:$L,'capacity data'!$B:$B,P42,'capacity data'!$E:$E,"PO")/SUMIFS('capacity data'!$G:$G,'capacity data'!$E:$E,"PO",'capacity data'!$B:$B,P42),"")</f>
        <v/>
      </c>
      <c r="W42" s="406" t="str">
        <f>IFERROR(SUM((SUMIFS('capacity data'!$G:$G,'capacity data'!$B:$B,P42))-SUMIFS('capacity data'!$H:$H,'capacity data'!$B:$B,P42))/SUMIFS('capacity data'!$G:$G,'capacity data'!$B:$B,P42),"")</f>
        <v/>
      </c>
    </row>
    <row r="43" spans="15:23" ht="15.5" x14ac:dyDescent="0.35">
      <c r="O43" s="23" t="s">
        <v>21</v>
      </c>
      <c r="P43" t="s">
        <v>120</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c r="V43" s="406" t="str">
        <f>IFERROR(SUMIFS('capacity data'!$L:$L,'capacity data'!$B:$B,P43,'capacity data'!$E:$E,"PO")/SUMIFS('capacity data'!$G:$G,'capacity data'!$E:$E,"PO",'capacity data'!$B:$B,P43),"")</f>
        <v/>
      </c>
      <c r="W43" s="406" t="str">
        <f>IFERROR(SUM((SUMIFS('capacity data'!$G:$G,'capacity data'!$B:$B,P43))-SUMIFS('capacity data'!$H:$H,'capacity data'!$B:$B,P43))/SUMIFS('capacity data'!$G:$G,'capacity data'!$B:$B,P43),"")</f>
        <v/>
      </c>
    </row>
    <row r="44" spans="15:23" ht="15.5" x14ac:dyDescent="0.35">
      <c r="O44" s="23" t="s">
        <v>21</v>
      </c>
      <c r="P44" t="s">
        <v>141</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c r="V44" s="406" t="str">
        <f>IFERROR(SUMIFS('capacity data'!$L:$L,'capacity data'!$B:$B,P44,'capacity data'!$E:$E,"PO")/SUMIFS('capacity data'!$G:$G,'capacity data'!$E:$E,"PO",'capacity data'!$B:$B,P44),"")</f>
        <v/>
      </c>
      <c r="W44" s="406" t="str">
        <f>IFERROR(SUM((SUMIFS('capacity data'!$G:$G,'capacity data'!$B:$B,P44))-SUMIFS('capacity data'!$H:$H,'capacity data'!$B:$B,P44))/SUMIFS('capacity data'!$G:$G,'capacity data'!$B:$B,P44),"")</f>
        <v/>
      </c>
    </row>
    <row r="45" spans="15:23" ht="15.5" x14ac:dyDescent="0.35">
      <c r="O45" s="23" t="s">
        <v>21</v>
      </c>
      <c r="P45" t="s">
        <v>162</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c r="V45" s="406" t="str">
        <f>IFERROR(SUMIFS('capacity data'!$L:$L,'capacity data'!$B:$B,P45,'capacity data'!$E:$E,"PO")/SUMIFS('capacity data'!$G:$G,'capacity data'!$E:$E,"PO",'capacity data'!$B:$B,P45),"")</f>
        <v/>
      </c>
      <c r="W45" s="406" t="str">
        <f>IFERROR(SUM((SUMIFS('capacity data'!$G:$G,'capacity data'!$B:$B,P45))-SUMIFS('capacity data'!$H:$H,'capacity data'!$B:$B,P45))/SUMIFS('capacity data'!$G:$G,'capacity data'!$B:$B,P45),"")</f>
        <v/>
      </c>
    </row>
    <row r="46" spans="15:23" ht="15.5" x14ac:dyDescent="0.35">
      <c r="O46" s="23" t="s">
        <v>21</v>
      </c>
      <c r="P46" t="s">
        <v>182</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c r="V46" s="406" t="str">
        <f>IFERROR(SUMIFS('capacity data'!$L:$L,'capacity data'!$B:$B,P46,'capacity data'!$E:$E,"PO")/SUMIFS('capacity data'!$G:$G,'capacity data'!$E:$E,"PO",'capacity data'!$B:$B,P46),"")</f>
        <v/>
      </c>
      <c r="W46" s="406" t="str">
        <f>IFERROR(SUM((SUMIFS('capacity data'!$G:$G,'capacity data'!$B:$B,P46))-SUMIFS('capacity data'!$H:$H,'capacity data'!$B:$B,P46))/SUMIFS('capacity data'!$G:$G,'capacity data'!$B:$B,P46),"")</f>
        <v/>
      </c>
    </row>
    <row r="47" spans="15:23" ht="15.5" x14ac:dyDescent="0.35">
      <c r="O47" s="23" t="s">
        <v>21</v>
      </c>
      <c r="P47" t="s">
        <v>202</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c r="V47" s="406" t="str">
        <f>IFERROR(SUMIFS('capacity data'!$L:$L,'capacity data'!$B:$B,P47,'capacity data'!$E:$E,"PO")/SUMIFS('capacity data'!$G:$G,'capacity data'!$E:$E,"PO",'capacity data'!$B:$B,P47),"")</f>
        <v/>
      </c>
      <c r="W47" s="406" t="str">
        <f>IFERROR(SUM((SUMIFS('capacity data'!$G:$G,'capacity data'!$B:$B,P47))-SUMIFS('capacity data'!$H:$H,'capacity data'!$B:$B,P47))/SUMIFS('capacity data'!$G:$G,'capacity data'!$B:$B,P47),"")</f>
        <v/>
      </c>
    </row>
    <row r="48" spans="15:23" ht="15.5" x14ac:dyDescent="0.35">
      <c r="O48" s="23" t="s">
        <v>21</v>
      </c>
      <c r="P48" t="s">
        <v>220</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c r="V48" s="406" t="str">
        <f>IFERROR(SUMIFS('capacity data'!$L:$L,'capacity data'!$B:$B,P48,'capacity data'!$E:$E,"PO")/SUMIFS('capacity data'!$G:$G,'capacity data'!$E:$E,"PO",'capacity data'!$B:$B,P48),"")</f>
        <v/>
      </c>
      <c r="W48" s="406" t="str">
        <f>IFERROR(SUM((SUMIFS('capacity data'!$G:$G,'capacity data'!$B:$B,P48))-SUMIFS('capacity data'!$H:$H,'capacity data'!$B:$B,P48))/SUMIFS('capacity data'!$G:$G,'capacity data'!$B:$B,P48),"")</f>
        <v/>
      </c>
    </row>
    <row r="49" spans="15:23" ht="15.5" x14ac:dyDescent="0.35">
      <c r="O49" s="23" t="s">
        <v>21</v>
      </c>
      <c r="P49" t="s">
        <v>238</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c r="V49" s="406" t="str">
        <f>IFERROR(SUMIFS('capacity data'!$L:$L,'capacity data'!$B:$B,P49,'capacity data'!$E:$E,"PO")/SUMIFS('capacity data'!$G:$G,'capacity data'!$E:$E,"PO",'capacity data'!$B:$B,P49),"")</f>
        <v/>
      </c>
      <c r="W49" s="406" t="str">
        <f>IFERROR(SUM((SUMIFS('capacity data'!$G:$G,'capacity data'!$B:$B,P49))-SUMIFS('capacity data'!$H:$H,'capacity data'!$B:$B,P49))/SUMIFS('capacity data'!$G:$G,'capacity data'!$B:$B,P49),"")</f>
        <v/>
      </c>
    </row>
    <row r="50" spans="15:23" ht="15.5" x14ac:dyDescent="0.35">
      <c r="O50" s="23" t="s">
        <v>21</v>
      </c>
      <c r="P50" t="s">
        <v>255</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c r="V50" s="406" t="str">
        <f>IFERROR(SUMIFS('capacity data'!$L:$L,'capacity data'!$B:$B,P50,'capacity data'!$E:$E,"PO")/SUMIFS('capacity data'!$G:$G,'capacity data'!$E:$E,"PO",'capacity data'!$B:$B,P50),"")</f>
        <v/>
      </c>
      <c r="W50" s="406" t="str">
        <f>IFERROR(SUM((SUMIFS('capacity data'!$G:$G,'capacity data'!$B:$B,P50))-SUMIFS('capacity data'!$H:$H,'capacity data'!$B:$B,P50))/SUMIFS('capacity data'!$G:$G,'capacity data'!$B:$B,P50),"")</f>
        <v/>
      </c>
    </row>
    <row r="51" spans="15:23" ht="15.5" x14ac:dyDescent="0.35">
      <c r="O51" s="23" t="s">
        <v>21</v>
      </c>
      <c r="P51" t="s">
        <v>269</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c r="V51" s="406" t="str">
        <f>IFERROR(SUMIFS('capacity data'!$L:$L,'capacity data'!$B:$B,P51,'capacity data'!$E:$E,"PO")/SUMIFS('capacity data'!$G:$G,'capacity data'!$E:$E,"PO",'capacity data'!$B:$B,P51),"")</f>
        <v/>
      </c>
      <c r="W51" s="406" t="str">
        <f>IFERROR(SUM((SUMIFS('capacity data'!$G:$G,'capacity data'!$B:$B,P51))-SUMIFS('capacity data'!$H:$H,'capacity data'!$B:$B,P51))/SUMIFS('capacity data'!$G:$G,'capacity data'!$B:$B,P51),"")</f>
        <v/>
      </c>
    </row>
    <row r="52" spans="15:23" ht="15.5" x14ac:dyDescent="0.35">
      <c r="O52" s="23" t="s">
        <v>21</v>
      </c>
      <c r="P52" t="s">
        <v>283</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c r="V52" s="406" t="str">
        <f>IFERROR(SUMIFS('capacity data'!$L:$L,'capacity data'!$B:$B,P52,'capacity data'!$E:$E,"PO")/SUMIFS('capacity data'!$G:$G,'capacity data'!$E:$E,"PO",'capacity data'!$B:$B,P52),"")</f>
        <v/>
      </c>
      <c r="W52" s="406" t="str">
        <f>IFERROR(SUM((SUMIFS('capacity data'!$G:$G,'capacity data'!$B:$B,P52))-SUMIFS('capacity data'!$H:$H,'capacity data'!$B:$B,P52))/SUMIFS('capacity data'!$G:$G,'capacity data'!$B:$B,P52),"")</f>
        <v/>
      </c>
    </row>
    <row r="53" spans="15:23" ht="15.5" x14ac:dyDescent="0.35">
      <c r="O53" s="23" t="s">
        <v>21</v>
      </c>
      <c r="P53" t="s">
        <v>299</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c r="V53" s="406" t="str">
        <f>IFERROR(SUMIFS('capacity data'!$L:$L,'capacity data'!$B:$B,P53,'capacity data'!$E:$E,"PO")/SUMIFS('capacity data'!$G:$G,'capacity data'!$E:$E,"PO",'capacity data'!$B:$B,P53),"")</f>
        <v/>
      </c>
      <c r="W53" s="406" t="str">
        <f>IFERROR(SUM((SUMIFS('capacity data'!$G:$G,'capacity data'!$B:$B,P53))-SUMIFS('capacity data'!$H:$H,'capacity data'!$B:$B,P53))/SUMIFS('capacity data'!$G:$G,'capacity data'!$B:$B,P53),"")</f>
        <v/>
      </c>
    </row>
    <row r="54" spans="15:23" ht="15.5" x14ac:dyDescent="0.35">
      <c r="O54" s="23" t="s">
        <v>21</v>
      </c>
      <c r="P54" t="s">
        <v>312</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c r="V54" s="406" t="str">
        <f>IFERROR(SUMIFS('capacity data'!$L:$L,'capacity data'!$B:$B,P54,'capacity data'!$E:$E,"PO")/SUMIFS('capacity data'!$G:$G,'capacity data'!$E:$E,"PO",'capacity data'!$B:$B,P54),"")</f>
        <v/>
      </c>
      <c r="W54" s="406" t="str">
        <f>IFERROR(SUM((SUMIFS('capacity data'!$G:$G,'capacity data'!$B:$B,P54))-SUMIFS('capacity data'!$H:$H,'capacity data'!$B:$B,P54))/SUMIFS('capacity data'!$G:$G,'capacity data'!$B:$B,P54),"")</f>
        <v/>
      </c>
    </row>
    <row r="55" spans="15:23" ht="15.5" x14ac:dyDescent="0.35">
      <c r="O55" s="23" t="s">
        <v>21</v>
      </c>
      <c r="P55" t="s">
        <v>326</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c r="V55" s="406" t="str">
        <f>IFERROR(SUMIFS('capacity data'!$L:$L,'capacity data'!$B:$B,P55,'capacity data'!$E:$E,"PO")/SUMIFS('capacity data'!$G:$G,'capacity data'!$E:$E,"PO",'capacity data'!$B:$B,P55),"")</f>
        <v/>
      </c>
      <c r="W55" s="406" t="str">
        <f>IFERROR(SUM((SUMIFS('capacity data'!$G:$G,'capacity data'!$B:$B,P55))-SUMIFS('capacity data'!$H:$H,'capacity data'!$B:$B,P55))/SUMIFS('capacity data'!$G:$G,'capacity data'!$B:$B,P55),"")</f>
        <v/>
      </c>
    </row>
    <row r="56" spans="15:23" ht="15.5" x14ac:dyDescent="0.35">
      <c r="O56" s="23" t="s">
        <v>21</v>
      </c>
      <c r="P56" t="s">
        <v>340</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c r="V56" s="406" t="str">
        <f>IFERROR(SUMIFS('capacity data'!$L:$L,'capacity data'!$B:$B,P56,'capacity data'!$E:$E,"PO")/SUMIFS('capacity data'!$G:$G,'capacity data'!$E:$E,"PO",'capacity data'!$B:$B,P56),"")</f>
        <v/>
      </c>
      <c r="W56" s="406" t="str">
        <f>IFERROR(SUM((SUMIFS('capacity data'!$G:$G,'capacity data'!$B:$B,P56))-SUMIFS('capacity data'!$H:$H,'capacity data'!$B:$B,P56))/SUMIFS('capacity data'!$G:$G,'capacity data'!$B:$B,P56),"")</f>
        <v/>
      </c>
    </row>
    <row r="57" spans="15:23" ht="15.5" x14ac:dyDescent="0.35">
      <c r="O57" s="23" t="s">
        <v>21</v>
      </c>
      <c r="P57" t="s">
        <v>352</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c r="V57" s="406" t="str">
        <f>IFERROR(SUMIFS('capacity data'!$L:$L,'capacity data'!$B:$B,P57,'capacity data'!$E:$E,"PO")/SUMIFS('capacity data'!$G:$G,'capacity data'!$E:$E,"PO",'capacity data'!$B:$B,P57),"")</f>
        <v/>
      </c>
      <c r="W57" s="406" t="str">
        <f>IFERROR(SUM((SUMIFS('capacity data'!$G:$G,'capacity data'!$B:$B,P57))-SUMIFS('capacity data'!$H:$H,'capacity data'!$B:$B,P57))/SUMIFS('capacity data'!$G:$G,'capacity data'!$B:$B,P57),"")</f>
        <v/>
      </c>
    </row>
    <row r="58" spans="15:23" ht="15.5" x14ac:dyDescent="0.35">
      <c r="O58" s="23" t="s">
        <v>21</v>
      </c>
      <c r="P58" t="s">
        <v>363</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c r="V58" s="406" t="str">
        <f>IFERROR(SUMIFS('capacity data'!$L:$L,'capacity data'!$B:$B,P58,'capacity data'!$E:$E,"PO")/SUMIFS('capacity data'!$G:$G,'capacity data'!$E:$E,"PO",'capacity data'!$B:$B,P58),"")</f>
        <v/>
      </c>
      <c r="W58" s="406" t="str">
        <f>IFERROR(SUM((SUMIFS('capacity data'!$G:$G,'capacity data'!$B:$B,P58))-SUMIFS('capacity data'!$H:$H,'capacity data'!$B:$B,P58))/SUMIFS('capacity data'!$G:$G,'capacity data'!$B:$B,P58),"")</f>
        <v/>
      </c>
    </row>
    <row r="59" spans="15:23" ht="15.5" x14ac:dyDescent="0.35">
      <c r="O59" s="23" t="s">
        <v>21</v>
      </c>
      <c r="P59" t="s">
        <v>373</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c r="V59" s="406" t="str">
        <f>IFERROR(SUMIFS('capacity data'!$L:$L,'capacity data'!$B:$B,P59,'capacity data'!$E:$E,"PO")/SUMIFS('capacity data'!$G:$G,'capacity data'!$E:$E,"PO",'capacity data'!$B:$B,P59),"")</f>
        <v/>
      </c>
      <c r="W59" s="406" t="str">
        <f>IFERROR(SUM((SUMIFS('capacity data'!$G:$G,'capacity data'!$B:$B,P59))-SUMIFS('capacity data'!$H:$H,'capacity data'!$B:$B,P59))/SUMIFS('capacity data'!$G:$G,'capacity data'!$B:$B,P59),"")</f>
        <v/>
      </c>
    </row>
    <row r="60" spans="15:23" ht="15.5" x14ac:dyDescent="0.35">
      <c r="O60" s="23" t="s">
        <v>21</v>
      </c>
      <c r="P60" t="s">
        <v>380</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c r="V60" s="406" t="str">
        <f>IFERROR(SUMIFS('capacity data'!$L:$L,'capacity data'!$B:$B,P60,'capacity data'!$E:$E,"PO")/SUMIFS('capacity data'!$G:$G,'capacity data'!$E:$E,"PO",'capacity data'!$B:$B,P60),"")</f>
        <v/>
      </c>
      <c r="W60" s="406" t="str">
        <f>IFERROR(SUM((SUMIFS('capacity data'!$G:$G,'capacity data'!$B:$B,P60))-SUMIFS('capacity data'!$H:$H,'capacity data'!$B:$B,P60))/SUMIFS('capacity data'!$G:$G,'capacity data'!$B:$B,P60),"")</f>
        <v/>
      </c>
    </row>
    <row r="61" spans="15:23" ht="15.5" x14ac:dyDescent="0.35">
      <c r="O61" s="23" t="s">
        <v>21</v>
      </c>
      <c r="P61" t="s">
        <v>387</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c r="V61" s="406" t="str">
        <f>IFERROR(SUMIFS('capacity data'!$L:$L,'capacity data'!$B:$B,P61,'capacity data'!$E:$E,"PO")/SUMIFS('capacity data'!$G:$G,'capacity data'!$E:$E,"PO",'capacity data'!$B:$B,P61),"")</f>
        <v/>
      </c>
      <c r="W61" s="406" t="str">
        <f>IFERROR(SUM((SUMIFS('capacity data'!$G:$G,'capacity data'!$B:$B,P61))-SUMIFS('capacity data'!$H:$H,'capacity data'!$B:$B,P61))/SUMIFS('capacity data'!$G:$G,'capacity data'!$B:$B,P61),"")</f>
        <v/>
      </c>
    </row>
    <row r="62" spans="15:23" ht="15.5" x14ac:dyDescent="0.35">
      <c r="O62" s="23" t="s">
        <v>21</v>
      </c>
      <c r="P62" t="s">
        <v>396</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c r="V62" s="406" t="str">
        <f>IFERROR(SUMIFS('capacity data'!$L:$L,'capacity data'!$B:$B,P62,'capacity data'!$E:$E,"PO")/SUMIFS('capacity data'!$G:$G,'capacity data'!$E:$E,"PO",'capacity data'!$B:$B,P62),"")</f>
        <v/>
      </c>
      <c r="W62" s="406" t="str">
        <f>IFERROR(SUM((SUMIFS('capacity data'!$G:$G,'capacity data'!$B:$B,P62))-SUMIFS('capacity data'!$H:$H,'capacity data'!$B:$B,P62))/SUMIFS('capacity data'!$G:$G,'capacity data'!$B:$B,P62),"")</f>
        <v/>
      </c>
    </row>
    <row r="63" spans="15:23" ht="15.5" x14ac:dyDescent="0.35">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c r="V63" s="406" t="str">
        <f>IFERROR(SUMIFS('capacity data'!$L:$L,'capacity data'!$B:$B,P63,'capacity data'!$E:$E,"PO")/SUMIFS('capacity data'!$G:$G,'capacity data'!$E:$E,"PO",'capacity data'!$B:$B,P63),"")</f>
        <v/>
      </c>
      <c r="W63" s="406" t="str">
        <f>IFERROR(SUM((SUMIFS('capacity data'!$G:$G,'capacity data'!$B:$B,P63))-SUMIFS('capacity data'!$H:$H,'capacity data'!$B:$B,P63))/SUMIFS('capacity data'!$G:$G,'capacity data'!$B:$B,P63),"")</f>
        <v/>
      </c>
    </row>
    <row r="64" spans="15:23" ht="15.5" x14ac:dyDescent="0.35">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c r="V64" s="406" t="str">
        <f>IFERROR(SUMIFS('capacity data'!$L:$L,'capacity data'!$B:$B,P64,'capacity data'!$E:$E,"PO")/SUMIFS('capacity data'!$G:$G,'capacity data'!$E:$E,"PO",'capacity data'!$B:$B,P64),"")</f>
        <v/>
      </c>
      <c r="W64" s="406" t="str">
        <f>IFERROR(SUM((SUMIFS('capacity data'!$G:$G,'capacity data'!$B:$B,P64))-SUMIFS('capacity data'!$H:$H,'capacity data'!$B:$B,P64))/SUMIFS('capacity data'!$G:$G,'capacity data'!$B:$B,P64),"")</f>
        <v/>
      </c>
    </row>
    <row r="65" spans="15:23" ht="15.5" x14ac:dyDescent="0.35">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c r="V65" s="406" t="str">
        <f>IFERROR(SUMIFS('capacity data'!$L:$L,'capacity data'!$B:$B,P65,'capacity data'!$E:$E,"PO")/SUMIFS('capacity data'!$G:$G,'capacity data'!$E:$E,"PO",'capacity data'!$B:$B,P65),"")</f>
        <v/>
      </c>
      <c r="W65" s="406" t="str">
        <f>IFERROR(SUM((SUMIFS('capacity data'!$G:$G,'capacity data'!$B:$B,P65))-SUMIFS('capacity data'!$H:$H,'capacity data'!$B:$B,P65))/SUMIFS('capacity data'!$G:$G,'capacity data'!$B:$B,P65),"")</f>
        <v/>
      </c>
    </row>
    <row r="66" spans="15:23" ht="15.5" x14ac:dyDescent="0.35">
      <c r="O66" s="23" t="s">
        <v>22</v>
      </c>
      <c r="P66" t="s">
        <v>99</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c r="V66" s="406" t="str">
        <f>IFERROR(SUMIFS('capacity data'!$L:$L,'capacity data'!$B:$B,P66,'capacity data'!$E:$E,"PO")/SUMIFS('capacity data'!$G:$G,'capacity data'!$E:$E,"PO",'capacity data'!$B:$B,P66),"")</f>
        <v/>
      </c>
      <c r="W66" s="406" t="str">
        <f>IFERROR(SUM((SUMIFS('capacity data'!$G:$G,'capacity data'!$B:$B,P66))-SUMIFS('capacity data'!$H:$H,'capacity data'!$B:$B,P66))/SUMIFS('capacity data'!$G:$G,'capacity data'!$B:$B,P66),"")</f>
        <v/>
      </c>
    </row>
    <row r="67" spans="15:23" ht="15.5" x14ac:dyDescent="0.35">
      <c r="O67" s="23" t="s">
        <v>22</v>
      </c>
      <c r="P67" t="s">
        <v>121</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c r="V67" s="406" t="str">
        <f>IFERROR(SUMIFS('capacity data'!$L:$L,'capacity data'!$B:$B,P67,'capacity data'!$E:$E,"PO")/SUMIFS('capacity data'!$G:$G,'capacity data'!$E:$E,"PO",'capacity data'!$B:$B,P67),"")</f>
        <v/>
      </c>
      <c r="W67" s="406" t="str">
        <f>IFERROR(SUM((SUMIFS('capacity data'!$G:$G,'capacity data'!$B:$B,P67))-SUMIFS('capacity data'!$H:$H,'capacity data'!$B:$B,P67))/SUMIFS('capacity data'!$G:$G,'capacity data'!$B:$B,P67),"")</f>
        <v/>
      </c>
    </row>
    <row r="68" spans="15:23" ht="15.5" x14ac:dyDescent="0.35">
      <c r="O68" s="23" t="s">
        <v>22</v>
      </c>
      <c r="P68" t="s">
        <v>142</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c r="V68" s="406" t="str">
        <f>IFERROR(SUMIFS('capacity data'!$L:$L,'capacity data'!$B:$B,P68,'capacity data'!$E:$E,"PO")/SUMIFS('capacity data'!$G:$G,'capacity data'!$E:$E,"PO",'capacity data'!$B:$B,P68),"")</f>
        <v/>
      </c>
      <c r="W68" s="406" t="str">
        <f>IFERROR(SUM((SUMIFS('capacity data'!$G:$G,'capacity data'!$B:$B,P68))-SUMIFS('capacity data'!$H:$H,'capacity data'!$B:$B,P68))/SUMIFS('capacity data'!$G:$G,'capacity data'!$B:$B,P68),"")</f>
        <v/>
      </c>
    </row>
    <row r="69" spans="15:23" ht="15.5" x14ac:dyDescent="0.35">
      <c r="O69" s="23" t="s">
        <v>22</v>
      </c>
      <c r="P69" t="s">
        <v>163</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c r="V69" s="406" t="str">
        <f>IFERROR(SUMIFS('capacity data'!$L:$L,'capacity data'!$B:$B,P69,'capacity data'!$E:$E,"PO")/SUMIFS('capacity data'!$G:$G,'capacity data'!$E:$E,"PO",'capacity data'!$B:$B,P69),"")</f>
        <v/>
      </c>
      <c r="W69" s="406" t="str">
        <f>IFERROR(SUM((SUMIFS('capacity data'!$G:$G,'capacity data'!$B:$B,P69))-SUMIFS('capacity data'!$H:$H,'capacity data'!$B:$B,P69))/SUMIFS('capacity data'!$G:$G,'capacity data'!$B:$B,P69),"")</f>
        <v/>
      </c>
    </row>
    <row r="70" spans="15:23" ht="15.5" x14ac:dyDescent="0.35">
      <c r="O70" s="23" t="s">
        <v>22</v>
      </c>
      <c r="P70" t="s">
        <v>183</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c r="V70" s="406" t="str">
        <f>IFERROR(SUMIFS('capacity data'!$L:$L,'capacity data'!$B:$B,P70,'capacity data'!$E:$E,"PO")/SUMIFS('capacity data'!$G:$G,'capacity data'!$E:$E,"PO",'capacity data'!$B:$B,P70),"")</f>
        <v/>
      </c>
      <c r="W70" s="406" t="str">
        <f>IFERROR(SUM((SUMIFS('capacity data'!$G:$G,'capacity data'!$B:$B,P70))-SUMIFS('capacity data'!$H:$H,'capacity data'!$B:$B,P70))/SUMIFS('capacity data'!$G:$G,'capacity data'!$B:$B,P70),"")</f>
        <v/>
      </c>
    </row>
    <row r="71" spans="15:23" ht="15.5" x14ac:dyDescent="0.35">
      <c r="O71" s="23" t="s">
        <v>22</v>
      </c>
      <c r="P71" t="s">
        <v>203</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c r="V71" s="406" t="str">
        <f>IFERROR(SUMIFS('capacity data'!$L:$L,'capacity data'!$B:$B,P71,'capacity data'!$E:$E,"PO")/SUMIFS('capacity data'!$G:$G,'capacity data'!$E:$E,"PO",'capacity data'!$B:$B,P71),"")</f>
        <v/>
      </c>
      <c r="W71" s="406" t="str">
        <f>IFERROR(SUM((SUMIFS('capacity data'!$G:$G,'capacity data'!$B:$B,P71))-SUMIFS('capacity data'!$H:$H,'capacity data'!$B:$B,P71))/SUMIFS('capacity data'!$G:$G,'capacity data'!$B:$B,P71),"")</f>
        <v/>
      </c>
    </row>
    <row r="72" spans="15:23" ht="15.5" x14ac:dyDescent="0.35">
      <c r="O72" s="23" t="s">
        <v>22</v>
      </c>
      <c r="P72" t="s">
        <v>221</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c r="V72" s="406" t="str">
        <f>IFERROR(SUMIFS('capacity data'!$L:$L,'capacity data'!$B:$B,P72,'capacity data'!$E:$E,"PO")/SUMIFS('capacity data'!$G:$G,'capacity data'!$E:$E,"PO",'capacity data'!$B:$B,P72),"")</f>
        <v/>
      </c>
      <c r="W72" s="406" t="str">
        <f>IFERROR(SUM((SUMIFS('capacity data'!$G:$G,'capacity data'!$B:$B,P72))-SUMIFS('capacity data'!$H:$H,'capacity data'!$B:$B,P72))/SUMIFS('capacity data'!$G:$G,'capacity data'!$B:$B,P72),"")</f>
        <v/>
      </c>
    </row>
    <row r="73" spans="15:23" ht="15.5" x14ac:dyDescent="0.35">
      <c r="O73" s="23" t="s">
        <v>22</v>
      </c>
      <c r="P73" t="s">
        <v>239</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c r="V73" s="406" t="str">
        <f>IFERROR(SUMIFS('capacity data'!$L:$L,'capacity data'!$B:$B,P73,'capacity data'!$E:$E,"PO")/SUMIFS('capacity data'!$G:$G,'capacity data'!$E:$E,"PO",'capacity data'!$B:$B,P73),"")</f>
        <v/>
      </c>
      <c r="W73" s="406" t="str">
        <f>IFERROR(SUM((SUMIFS('capacity data'!$G:$G,'capacity data'!$B:$B,P73))-SUMIFS('capacity data'!$H:$H,'capacity data'!$B:$B,P73))/SUMIFS('capacity data'!$G:$G,'capacity data'!$B:$B,P73),"")</f>
        <v/>
      </c>
    </row>
    <row r="74" spans="15:23" ht="15.5" x14ac:dyDescent="0.35">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c r="V74" s="406" t="str">
        <f>IFERROR(SUMIFS('capacity data'!$L:$L,'capacity data'!$B:$B,P74,'capacity data'!$E:$E,"PO")/SUMIFS('capacity data'!$G:$G,'capacity data'!$E:$E,"PO",'capacity data'!$B:$B,P74),"")</f>
        <v/>
      </c>
      <c r="W74" s="406" t="str">
        <f>IFERROR(SUM((SUMIFS('capacity data'!$G:$G,'capacity data'!$B:$B,P74))-SUMIFS('capacity data'!$H:$H,'capacity data'!$B:$B,P74))/SUMIFS('capacity data'!$G:$G,'capacity data'!$B:$B,P74),"")</f>
        <v/>
      </c>
    </row>
    <row r="75" spans="15:23" ht="15.5" x14ac:dyDescent="0.35">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c r="V75" s="406" t="str">
        <f>IFERROR(SUMIFS('capacity data'!$L:$L,'capacity data'!$B:$B,P75,'capacity data'!$E:$E,"PO")/SUMIFS('capacity data'!$G:$G,'capacity data'!$E:$E,"PO",'capacity data'!$B:$B,P75),"")</f>
        <v/>
      </c>
      <c r="W75" s="406" t="str">
        <f>IFERROR(SUM((SUMIFS('capacity data'!$G:$G,'capacity data'!$B:$B,P75))-SUMIFS('capacity data'!$H:$H,'capacity data'!$B:$B,P75))/SUMIFS('capacity data'!$G:$G,'capacity data'!$B:$B,P75),"")</f>
        <v/>
      </c>
    </row>
    <row r="76" spans="15:23" ht="15.5" x14ac:dyDescent="0.35">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c r="V76" s="406" t="str">
        <f>IFERROR(SUMIFS('capacity data'!$L:$L,'capacity data'!$B:$B,P76,'capacity data'!$E:$E,"PO")/SUMIFS('capacity data'!$G:$G,'capacity data'!$E:$E,"PO",'capacity data'!$B:$B,P76),"")</f>
        <v/>
      </c>
      <c r="W76" s="406" t="str">
        <f>IFERROR(SUM((SUMIFS('capacity data'!$G:$G,'capacity data'!$B:$B,P76))-SUMIFS('capacity data'!$H:$H,'capacity data'!$B:$B,P76))/SUMIFS('capacity data'!$G:$G,'capacity data'!$B:$B,P76),"")</f>
        <v/>
      </c>
    </row>
    <row r="77" spans="15:23" ht="15.5" x14ac:dyDescent="0.35">
      <c r="O77" s="23" t="s">
        <v>23</v>
      </c>
      <c r="P77" t="s">
        <v>100</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c r="V77" s="406" t="str">
        <f>IFERROR(SUMIFS('capacity data'!$L:$L,'capacity data'!$B:$B,P77,'capacity data'!$E:$E,"PO")/SUMIFS('capacity data'!$G:$G,'capacity data'!$E:$E,"PO",'capacity data'!$B:$B,P77),"")</f>
        <v/>
      </c>
      <c r="W77" s="406" t="str">
        <f>IFERROR(SUM((SUMIFS('capacity data'!$G:$G,'capacity data'!$B:$B,P77))-SUMIFS('capacity data'!$H:$H,'capacity data'!$B:$B,P77))/SUMIFS('capacity data'!$G:$G,'capacity data'!$B:$B,P77),"")</f>
        <v/>
      </c>
    </row>
    <row r="78" spans="15:23" ht="15.5" x14ac:dyDescent="0.35">
      <c r="O78" s="23" t="s">
        <v>23</v>
      </c>
      <c r="P78" t="s">
        <v>122</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c r="V78" s="406" t="str">
        <f>IFERROR(SUMIFS('capacity data'!$L:$L,'capacity data'!$B:$B,P78,'capacity data'!$E:$E,"PO")/SUMIFS('capacity data'!$G:$G,'capacity data'!$E:$E,"PO",'capacity data'!$B:$B,P78),"")</f>
        <v/>
      </c>
      <c r="W78" s="406" t="str">
        <f>IFERROR(SUM((SUMIFS('capacity data'!$G:$G,'capacity data'!$B:$B,P78))-SUMIFS('capacity data'!$H:$H,'capacity data'!$B:$B,P78))/SUMIFS('capacity data'!$G:$G,'capacity data'!$B:$B,P78),"")</f>
        <v/>
      </c>
    </row>
    <row r="79" spans="15:23" ht="15.5" x14ac:dyDescent="0.35">
      <c r="O79" s="23" t="s">
        <v>23</v>
      </c>
      <c r="P79" t="s">
        <v>143</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c r="V79" s="406" t="str">
        <f>IFERROR(SUMIFS('capacity data'!$L:$L,'capacity data'!$B:$B,P79,'capacity data'!$E:$E,"PO")/SUMIFS('capacity data'!$G:$G,'capacity data'!$E:$E,"PO",'capacity data'!$B:$B,P79),"")</f>
        <v/>
      </c>
      <c r="W79" s="406" t="str">
        <f>IFERROR(SUM((SUMIFS('capacity data'!$G:$G,'capacity data'!$B:$B,P79))-SUMIFS('capacity data'!$H:$H,'capacity data'!$B:$B,P79))/SUMIFS('capacity data'!$G:$G,'capacity data'!$B:$B,P79),"")</f>
        <v/>
      </c>
    </row>
    <row r="80" spans="15:23" ht="15.5" x14ac:dyDescent="0.35">
      <c r="O80" s="23" t="s">
        <v>23</v>
      </c>
      <c r="P80" t="s">
        <v>164</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c r="V80" s="406" t="str">
        <f>IFERROR(SUMIFS('capacity data'!$L:$L,'capacity data'!$B:$B,P80,'capacity data'!$E:$E,"PO")/SUMIFS('capacity data'!$G:$G,'capacity data'!$E:$E,"PO",'capacity data'!$B:$B,P80),"")</f>
        <v/>
      </c>
      <c r="W80" s="406" t="str">
        <f>IFERROR(SUM((SUMIFS('capacity data'!$G:$G,'capacity data'!$B:$B,P80))-SUMIFS('capacity data'!$H:$H,'capacity data'!$B:$B,P80))/SUMIFS('capacity data'!$G:$G,'capacity data'!$B:$B,P80),"")</f>
        <v/>
      </c>
    </row>
    <row r="81" spans="15:23" ht="15.5" x14ac:dyDescent="0.35">
      <c r="O81" s="23" t="s">
        <v>23</v>
      </c>
      <c r="P81" t="s">
        <v>184</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c r="V81" s="406" t="str">
        <f>IFERROR(SUMIFS('capacity data'!$L:$L,'capacity data'!$B:$B,P81,'capacity data'!$E:$E,"PO")/SUMIFS('capacity data'!$G:$G,'capacity data'!$E:$E,"PO",'capacity data'!$B:$B,P81),"")</f>
        <v/>
      </c>
      <c r="W81" s="406" t="str">
        <f>IFERROR(SUM((SUMIFS('capacity data'!$G:$G,'capacity data'!$B:$B,P81))-SUMIFS('capacity data'!$H:$H,'capacity data'!$B:$B,P81))/SUMIFS('capacity data'!$G:$G,'capacity data'!$B:$B,P81),"")</f>
        <v/>
      </c>
    </row>
    <row r="82" spans="15:23" ht="15.5" x14ac:dyDescent="0.35">
      <c r="O82" s="23" t="s">
        <v>23</v>
      </c>
      <c r="P82" t="s">
        <v>204</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c r="V82" s="406" t="str">
        <f>IFERROR(SUMIFS('capacity data'!$L:$L,'capacity data'!$B:$B,P82,'capacity data'!$E:$E,"PO")/SUMIFS('capacity data'!$G:$G,'capacity data'!$E:$E,"PO",'capacity data'!$B:$B,P82),"")</f>
        <v/>
      </c>
      <c r="W82" s="406" t="str">
        <f>IFERROR(SUM((SUMIFS('capacity data'!$G:$G,'capacity data'!$B:$B,P82))-SUMIFS('capacity data'!$H:$H,'capacity data'!$B:$B,P82))/SUMIFS('capacity data'!$G:$G,'capacity data'!$B:$B,P82),"")</f>
        <v/>
      </c>
    </row>
    <row r="83" spans="15:23" ht="15.5" x14ac:dyDescent="0.35">
      <c r="O83" s="23" t="s">
        <v>23</v>
      </c>
      <c r="P83" t="s">
        <v>222</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c r="V83" s="406" t="str">
        <f>IFERROR(SUMIFS('capacity data'!$L:$L,'capacity data'!$B:$B,P83,'capacity data'!$E:$E,"PO")/SUMIFS('capacity data'!$G:$G,'capacity data'!$E:$E,"PO",'capacity data'!$B:$B,P83),"")</f>
        <v/>
      </c>
      <c r="W83" s="406" t="str">
        <f>IFERROR(SUM((SUMIFS('capacity data'!$G:$G,'capacity data'!$B:$B,P83))-SUMIFS('capacity data'!$H:$H,'capacity data'!$B:$B,P83))/SUMIFS('capacity data'!$G:$G,'capacity data'!$B:$B,P83),"")</f>
        <v/>
      </c>
    </row>
    <row r="84" spans="15:23" ht="15.5" x14ac:dyDescent="0.35">
      <c r="O84" s="23" t="s">
        <v>23</v>
      </c>
      <c r="P84" t="s">
        <v>240</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c r="V84" s="406" t="str">
        <f>IFERROR(SUMIFS('capacity data'!$L:$L,'capacity data'!$B:$B,P84,'capacity data'!$E:$E,"PO")/SUMIFS('capacity data'!$G:$G,'capacity data'!$E:$E,"PO",'capacity data'!$B:$B,P84),"")</f>
        <v/>
      </c>
      <c r="W84" s="406" t="str">
        <f>IFERROR(SUM((SUMIFS('capacity data'!$G:$G,'capacity data'!$B:$B,P84))-SUMIFS('capacity data'!$H:$H,'capacity data'!$B:$B,P84))/SUMIFS('capacity data'!$G:$G,'capacity data'!$B:$B,P84),"")</f>
        <v/>
      </c>
    </row>
    <row r="85" spans="15:23" ht="15.5" x14ac:dyDescent="0.35">
      <c r="O85" s="23" t="s">
        <v>23</v>
      </c>
      <c r="P85" t="s">
        <v>256</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c r="V85" s="406" t="str">
        <f>IFERROR(SUMIFS('capacity data'!$L:$L,'capacity data'!$B:$B,P85,'capacity data'!$E:$E,"PO")/SUMIFS('capacity data'!$G:$G,'capacity data'!$E:$E,"PO",'capacity data'!$B:$B,P85),"")</f>
        <v/>
      </c>
      <c r="W85" s="406" t="str">
        <f>IFERROR(SUM((SUMIFS('capacity data'!$G:$G,'capacity data'!$B:$B,P85))-SUMIFS('capacity data'!$H:$H,'capacity data'!$B:$B,P85))/SUMIFS('capacity data'!$G:$G,'capacity data'!$B:$B,P85),"")</f>
        <v/>
      </c>
    </row>
    <row r="86" spans="15:23" ht="15.5" x14ac:dyDescent="0.35">
      <c r="O86" s="23" t="s">
        <v>23</v>
      </c>
      <c r="P86" t="s">
        <v>270</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c r="V86" s="406" t="str">
        <f>IFERROR(SUMIFS('capacity data'!$L:$L,'capacity data'!$B:$B,P86,'capacity data'!$E:$E,"PO")/SUMIFS('capacity data'!$G:$G,'capacity data'!$E:$E,"PO",'capacity data'!$B:$B,P86),"")</f>
        <v/>
      </c>
      <c r="W86" s="406" t="str">
        <f>IFERROR(SUM((SUMIFS('capacity data'!$G:$G,'capacity data'!$B:$B,P86))-SUMIFS('capacity data'!$H:$H,'capacity data'!$B:$B,P86))/SUMIFS('capacity data'!$G:$G,'capacity data'!$B:$B,P86),"")</f>
        <v/>
      </c>
    </row>
    <row r="87" spans="15:23" ht="15.5" x14ac:dyDescent="0.35">
      <c r="O87" s="23" t="s">
        <v>23</v>
      </c>
      <c r="P87" t="s">
        <v>284</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c r="V87" s="406" t="str">
        <f>IFERROR(SUMIFS('capacity data'!$L:$L,'capacity data'!$B:$B,P87,'capacity data'!$E:$E,"PO")/SUMIFS('capacity data'!$G:$G,'capacity data'!$E:$E,"PO",'capacity data'!$B:$B,P87),"")</f>
        <v/>
      </c>
      <c r="W87" s="406" t="str">
        <f>IFERROR(SUM((SUMIFS('capacity data'!$G:$G,'capacity data'!$B:$B,P87))-SUMIFS('capacity data'!$H:$H,'capacity data'!$B:$B,P87))/SUMIFS('capacity data'!$G:$G,'capacity data'!$B:$B,P87),"")</f>
        <v/>
      </c>
    </row>
    <row r="88" spans="15:23" ht="15.5" x14ac:dyDescent="0.35">
      <c r="O88" s="23" t="s">
        <v>23</v>
      </c>
      <c r="P88" t="s">
        <v>300</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c r="V88" s="406" t="str">
        <f>IFERROR(SUMIFS('capacity data'!$L:$L,'capacity data'!$B:$B,P88,'capacity data'!$E:$E,"PO")/SUMIFS('capacity data'!$G:$G,'capacity data'!$E:$E,"PO",'capacity data'!$B:$B,P88),"")</f>
        <v/>
      </c>
      <c r="W88" s="406" t="str">
        <f>IFERROR(SUM((SUMIFS('capacity data'!$G:$G,'capacity data'!$B:$B,P88))-SUMIFS('capacity data'!$H:$H,'capacity data'!$B:$B,P88))/SUMIFS('capacity data'!$G:$G,'capacity data'!$B:$B,P88),"")</f>
        <v/>
      </c>
    </row>
    <row r="89" spans="15:23" ht="15.5" x14ac:dyDescent="0.35">
      <c r="O89" s="23" t="s">
        <v>23</v>
      </c>
      <c r="P89" t="s">
        <v>313</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c r="V89" s="406" t="str">
        <f>IFERROR(SUMIFS('capacity data'!$L:$L,'capacity data'!$B:$B,P89,'capacity data'!$E:$E,"PO")/SUMIFS('capacity data'!$G:$G,'capacity data'!$E:$E,"PO",'capacity data'!$B:$B,P89),"")</f>
        <v/>
      </c>
      <c r="W89" s="406" t="str">
        <f>IFERROR(SUM((SUMIFS('capacity data'!$G:$G,'capacity data'!$B:$B,P89))-SUMIFS('capacity data'!$H:$H,'capacity data'!$B:$B,P89))/SUMIFS('capacity data'!$G:$G,'capacity data'!$B:$B,P89),"")</f>
        <v/>
      </c>
    </row>
    <row r="90" spans="15:23" ht="15.5" x14ac:dyDescent="0.35">
      <c r="O90" s="23" t="s">
        <v>23</v>
      </c>
      <c r="P90" t="s">
        <v>327</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c r="V90" s="406" t="str">
        <f>IFERROR(SUMIFS('capacity data'!$L:$L,'capacity data'!$B:$B,P90,'capacity data'!$E:$E,"PO")/SUMIFS('capacity data'!$G:$G,'capacity data'!$E:$E,"PO",'capacity data'!$B:$B,P90),"")</f>
        <v/>
      </c>
      <c r="W90" s="406" t="str">
        <f>IFERROR(SUM((SUMIFS('capacity data'!$G:$G,'capacity data'!$B:$B,P90))-SUMIFS('capacity data'!$H:$H,'capacity data'!$B:$B,P90))/SUMIFS('capacity data'!$G:$G,'capacity data'!$B:$B,P90),"")</f>
        <v/>
      </c>
    </row>
    <row r="91" spans="15:23" ht="15.5" x14ac:dyDescent="0.35">
      <c r="O91" s="23" t="s">
        <v>23</v>
      </c>
      <c r="P91" t="s">
        <v>341</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c r="V91" s="406" t="str">
        <f>IFERROR(SUMIFS('capacity data'!$L:$L,'capacity data'!$B:$B,P91,'capacity data'!$E:$E,"PO")/SUMIFS('capacity data'!$G:$G,'capacity data'!$E:$E,"PO",'capacity data'!$B:$B,P91),"")</f>
        <v/>
      </c>
      <c r="W91" s="406" t="str">
        <f>IFERROR(SUM((SUMIFS('capacity data'!$G:$G,'capacity data'!$B:$B,P91))-SUMIFS('capacity data'!$H:$H,'capacity data'!$B:$B,P91))/SUMIFS('capacity data'!$G:$G,'capacity data'!$B:$B,P91),"")</f>
        <v/>
      </c>
    </row>
    <row r="92" spans="15:23" ht="15.5" x14ac:dyDescent="0.35">
      <c r="O92" s="23" t="s">
        <v>23</v>
      </c>
      <c r="P92" t="s">
        <v>353</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c r="V92" s="406" t="str">
        <f>IFERROR(SUMIFS('capacity data'!$L:$L,'capacity data'!$B:$B,P92,'capacity data'!$E:$E,"PO")/SUMIFS('capacity data'!$G:$G,'capacity data'!$E:$E,"PO",'capacity data'!$B:$B,P92),"")</f>
        <v/>
      </c>
      <c r="W92" s="406" t="str">
        <f>IFERROR(SUM((SUMIFS('capacity data'!$G:$G,'capacity data'!$B:$B,P92))-SUMIFS('capacity data'!$H:$H,'capacity data'!$B:$B,P92))/SUMIFS('capacity data'!$G:$G,'capacity data'!$B:$B,P92),"")</f>
        <v/>
      </c>
    </row>
    <row r="93" spans="15:23" ht="15.5" x14ac:dyDescent="0.35">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c r="V93" s="406" t="str">
        <f>IFERROR(SUMIFS('capacity data'!$L:$L,'capacity data'!$B:$B,P93,'capacity data'!$E:$E,"PO")/SUMIFS('capacity data'!$G:$G,'capacity data'!$E:$E,"PO",'capacity data'!$B:$B,P93),"")</f>
        <v/>
      </c>
      <c r="W93" s="406" t="str">
        <f>IFERROR(SUM((SUMIFS('capacity data'!$G:$G,'capacity data'!$B:$B,P93))-SUMIFS('capacity data'!$H:$H,'capacity data'!$B:$B,P93))/SUMIFS('capacity data'!$G:$G,'capacity data'!$B:$B,P93),"")</f>
        <v/>
      </c>
    </row>
    <row r="94" spans="15:23" ht="15.5" x14ac:dyDescent="0.35">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c r="V94" s="406" t="str">
        <f>IFERROR(SUMIFS('capacity data'!$L:$L,'capacity data'!$B:$B,P94,'capacity data'!$E:$E,"PO")/SUMIFS('capacity data'!$G:$G,'capacity data'!$E:$E,"PO",'capacity data'!$B:$B,P94),"")</f>
        <v/>
      </c>
      <c r="W94" s="406" t="str">
        <f>IFERROR(SUM((SUMIFS('capacity data'!$G:$G,'capacity data'!$B:$B,P94))-SUMIFS('capacity data'!$H:$H,'capacity data'!$B:$B,P94))/SUMIFS('capacity data'!$G:$G,'capacity data'!$B:$B,P94),"")</f>
        <v/>
      </c>
    </row>
    <row r="95" spans="15:23" ht="15.5" x14ac:dyDescent="0.35">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c r="V95" s="406" t="str">
        <f>IFERROR(SUMIFS('capacity data'!$L:$L,'capacity data'!$B:$B,P95,'capacity data'!$E:$E,"PO")/SUMIFS('capacity data'!$G:$G,'capacity data'!$E:$E,"PO",'capacity data'!$B:$B,P95),"")</f>
        <v/>
      </c>
      <c r="W95" s="406" t="str">
        <f>IFERROR(SUM((SUMIFS('capacity data'!$G:$G,'capacity data'!$B:$B,P95))-SUMIFS('capacity data'!$H:$H,'capacity data'!$B:$B,P95))/SUMIFS('capacity data'!$G:$G,'capacity data'!$B:$B,P95),"")</f>
        <v/>
      </c>
    </row>
    <row r="96" spans="15:23" ht="15.5" x14ac:dyDescent="0.35">
      <c r="O96" s="23" t="s">
        <v>24</v>
      </c>
      <c r="P96" t="s">
        <v>101</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c r="V96" s="406" t="str">
        <f>IFERROR(SUMIFS('capacity data'!$L:$L,'capacity data'!$B:$B,P96,'capacity data'!$E:$E,"PO")/SUMIFS('capacity data'!$G:$G,'capacity data'!$E:$E,"PO",'capacity data'!$B:$B,P96),"")</f>
        <v/>
      </c>
      <c r="W96" s="406" t="str">
        <f>IFERROR(SUM((SUMIFS('capacity data'!$G:$G,'capacity data'!$B:$B,P96))-SUMIFS('capacity data'!$H:$H,'capacity data'!$B:$B,P96))/SUMIFS('capacity data'!$G:$G,'capacity data'!$B:$B,P96),"")</f>
        <v/>
      </c>
    </row>
    <row r="97" spans="15:23" ht="15.5" x14ac:dyDescent="0.35">
      <c r="O97" s="23" t="s">
        <v>24</v>
      </c>
      <c r="P97" t="s">
        <v>123</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c r="V97" s="406" t="str">
        <f>IFERROR(SUMIFS('capacity data'!$L:$L,'capacity data'!$B:$B,P97,'capacity data'!$E:$E,"PO")/SUMIFS('capacity data'!$G:$G,'capacity data'!$E:$E,"PO",'capacity data'!$B:$B,P97),"")</f>
        <v/>
      </c>
      <c r="W97" s="406" t="str">
        <f>IFERROR(SUM((SUMIFS('capacity data'!$G:$G,'capacity data'!$B:$B,P97))-SUMIFS('capacity data'!$H:$H,'capacity data'!$B:$B,P97))/SUMIFS('capacity data'!$G:$G,'capacity data'!$B:$B,P97),"")</f>
        <v/>
      </c>
    </row>
    <row r="98" spans="15:23" ht="15.5" x14ac:dyDescent="0.35">
      <c r="O98" s="23" t="s">
        <v>24</v>
      </c>
      <c r="P98" t="s">
        <v>144</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c r="V98" s="406" t="str">
        <f>IFERROR(SUMIFS('capacity data'!$L:$L,'capacity data'!$B:$B,P98,'capacity data'!$E:$E,"PO")/SUMIFS('capacity data'!$G:$G,'capacity data'!$E:$E,"PO",'capacity data'!$B:$B,P98),"")</f>
        <v/>
      </c>
      <c r="W98" s="406" t="str">
        <f>IFERROR(SUM((SUMIFS('capacity data'!$G:$G,'capacity data'!$B:$B,P98))-SUMIFS('capacity data'!$H:$H,'capacity data'!$B:$B,P98))/SUMIFS('capacity data'!$G:$G,'capacity data'!$B:$B,P98),"")</f>
        <v/>
      </c>
    </row>
    <row r="99" spans="15:23" ht="15.5" x14ac:dyDescent="0.35">
      <c r="O99" s="23" t="s">
        <v>24</v>
      </c>
      <c r="P99" t="s">
        <v>165</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c r="V99" s="406" t="str">
        <f>IFERROR(SUMIFS('capacity data'!$L:$L,'capacity data'!$B:$B,P99,'capacity data'!$E:$E,"PO")/SUMIFS('capacity data'!$G:$G,'capacity data'!$E:$E,"PO",'capacity data'!$B:$B,P99),"")</f>
        <v/>
      </c>
      <c r="W99" s="406" t="str">
        <f>IFERROR(SUM((SUMIFS('capacity data'!$G:$G,'capacity data'!$B:$B,P99))-SUMIFS('capacity data'!$H:$H,'capacity data'!$B:$B,P99))/SUMIFS('capacity data'!$G:$G,'capacity data'!$B:$B,P99),"")</f>
        <v/>
      </c>
    </row>
    <row r="100" spans="15:23" ht="15.5" x14ac:dyDescent="0.35">
      <c r="O100" s="23" t="s">
        <v>24</v>
      </c>
      <c r="P100" t="s">
        <v>185</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c r="V100" s="406" t="str">
        <f>IFERROR(SUMIFS('capacity data'!$L:$L,'capacity data'!$B:$B,P100,'capacity data'!$E:$E,"PO")/SUMIFS('capacity data'!$G:$G,'capacity data'!$E:$E,"PO",'capacity data'!$B:$B,P100),"")</f>
        <v/>
      </c>
      <c r="W100" s="406" t="str">
        <f>IFERROR(SUM((SUMIFS('capacity data'!$G:$G,'capacity data'!$B:$B,P100))-SUMIFS('capacity data'!$H:$H,'capacity data'!$B:$B,P100))/SUMIFS('capacity data'!$G:$G,'capacity data'!$B:$B,P100),"")</f>
        <v/>
      </c>
    </row>
    <row r="101" spans="15:23" ht="15.5" x14ac:dyDescent="0.35">
      <c r="O101" s="23" t="s">
        <v>24</v>
      </c>
      <c r="P101" t="s">
        <v>205</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c r="V101" s="406" t="str">
        <f>IFERROR(SUMIFS('capacity data'!$L:$L,'capacity data'!$B:$B,P101,'capacity data'!$E:$E,"PO")/SUMIFS('capacity data'!$G:$G,'capacity data'!$E:$E,"PO",'capacity data'!$B:$B,P101),"")</f>
        <v/>
      </c>
      <c r="W101" s="406" t="str">
        <f>IFERROR(SUM((SUMIFS('capacity data'!$G:$G,'capacity data'!$B:$B,P101))-SUMIFS('capacity data'!$H:$H,'capacity data'!$B:$B,P101))/SUMIFS('capacity data'!$G:$G,'capacity data'!$B:$B,P101),"")</f>
        <v/>
      </c>
    </row>
    <row r="102" spans="15:23" ht="15.5" x14ac:dyDescent="0.35">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c r="V102" s="406" t="str">
        <f>IFERROR(SUMIFS('capacity data'!$L:$L,'capacity data'!$B:$B,P102,'capacity data'!$E:$E,"PO")/SUMIFS('capacity data'!$G:$G,'capacity data'!$E:$E,"PO",'capacity data'!$B:$B,P102),"")</f>
        <v/>
      </c>
      <c r="W102" s="406" t="str">
        <f>IFERROR(SUM((SUMIFS('capacity data'!$G:$G,'capacity data'!$B:$B,P102))-SUMIFS('capacity data'!$H:$H,'capacity data'!$B:$B,P102))/SUMIFS('capacity data'!$G:$G,'capacity data'!$B:$B,P102),"")</f>
        <v/>
      </c>
    </row>
    <row r="103" spans="15:23" ht="15.5" x14ac:dyDescent="0.35">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c r="V103" s="406" t="str">
        <f>IFERROR(SUMIFS('capacity data'!$L:$L,'capacity data'!$B:$B,P103,'capacity data'!$E:$E,"PO")/SUMIFS('capacity data'!$G:$G,'capacity data'!$E:$E,"PO",'capacity data'!$B:$B,P103),"")</f>
        <v/>
      </c>
      <c r="W103" s="406" t="str">
        <f>IFERROR(SUM((SUMIFS('capacity data'!$G:$G,'capacity data'!$B:$B,P103))-SUMIFS('capacity data'!$H:$H,'capacity data'!$B:$B,P103))/SUMIFS('capacity data'!$G:$G,'capacity data'!$B:$B,P103),"")</f>
        <v/>
      </c>
    </row>
    <row r="104" spans="15:23" ht="15.5" x14ac:dyDescent="0.35">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c r="V104" s="406" t="str">
        <f>IFERROR(SUMIFS('capacity data'!$L:$L,'capacity data'!$B:$B,P104,'capacity data'!$E:$E,"PO")/SUMIFS('capacity data'!$G:$G,'capacity data'!$E:$E,"PO",'capacity data'!$B:$B,P104),"")</f>
        <v/>
      </c>
      <c r="W104" s="406" t="str">
        <f>IFERROR(SUM((SUMIFS('capacity data'!$G:$G,'capacity data'!$B:$B,P104))-SUMIFS('capacity data'!$H:$H,'capacity data'!$B:$B,P104))/SUMIFS('capacity data'!$G:$G,'capacity data'!$B:$B,P104),"")</f>
        <v/>
      </c>
    </row>
    <row r="105" spans="15:23" ht="15.5" x14ac:dyDescent="0.35">
      <c r="O105" s="23" t="s">
        <v>25</v>
      </c>
      <c r="P105" t="s">
        <v>102</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c r="V105" s="406" t="str">
        <f>IFERROR(SUMIFS('capacity data'!$L:$L,'capacity data'!$B:$B,P105,'capacity data'!$E:$E,"PO")/SUMIFS('capacity data'!$G:$G,'capacity data'!$E:$E,"PO",'capacity data'!$B:$B,P105),"")</f>
        <v/>
      </c>
      <c r="W105" s="406" t="str">
        <f>IFERROR(SUM((SUMIFS('capacity data'!$G:$G,'capacity data'!$B:$B,P105))-SUMIFS('capacity data'!$H:$H,'capacity data'!$B:$B,P105))/SUMIFS('capacity data'!$G:$G,'capacity data'!$B:$B,P105),"")</f>
        <v/>
      </c>
    </row>
    <row r="106" spans="15:23" ht="15.5" x14ac:dyDescent="0.35">
      <c r="O106" s="23" t="s">
        <v>25</v>
      </c>
      <c r="P106" t="s">
        <v>124</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c r="V106" s="406" t="str">
        <f>IFERROR(SUMIFS('capacity data'!$L:$L,'capacity data'!$B:$B,P106,'capacity data'!$E:$E,"PO")/SUMIFS('capacity data'!$G:$G,'capacity data'!$E:$E,"PO",'capacity data'!$B:$B,P106),"")</f>
        <v/>
      </c>
      <c r="W106" s="406" t="str">
        <f>IFERROR(SUM((SUMIFS('capacity data'!$G:$G,'capacity data'!$B:$B,P106))-SUMIFS('capacity data'!$H:$H,'capacity data'!$B:$B,P106))/SUMIFS('capacity data'!$G:$G,'capacity data'!$B:$B,P106),"")</f>
        <v/>
      </c>
    </row>
    <row r="107" spans="15:23" ht="15.5" x14ac:dyDescent="0.35">
      <c r="O107" s="23" t="s">
        <v>25</v>
      </c>
      <c r="P107" t="s">
        <v>145</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c r="V107" s="406" t="str">
        <f>IFERROR(SUMIFS('capacity data'!$L:$L,'capacity data'!$B:$B,P107,'capacity data'!$E:$E,"PO")/SUMIFS('capacity data'!$G:$G,'capacity data'!$E:$E,"PO",'capacity data'!$B:$B,P107),"")</f>
        <v/>
      </c>
      <c r="W107" s="406" t="str">
        <f>IFERROR(SUM((SUMIFS('capacity data'!$G:$G,'capacity data'!$B:$B,P107))-SUMIFS('capacity data'!$H:$H,'capacity data'!$B:$B,P107))/SUMIFS('capacity data'!$G:$G,'capacity data'!$B:$B,P107),"")</f>
        <v/>
      </c>
    </row>
    <row r="108" spans="15:23" ht="15.5" x14ac:dyDescent="0.35">
      <c r="O108" s="23" t="s">
        <v>25</v>
      </c>
      <c r="P108" t="s">
        <v>166</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c r="V108" s="406" t="str">
        <f>IFERROR(SUMIFS('capacity data'!$L:$L,'capacity data'!$B:$B,P108,'capacity data'!$E:$E,"PO")/SUMIFS('capacity data'!$G:$G,'capacity data'!$E:$E,"PO",'capacity data'!$B:$B,P108),"")</f>
        <v/>
      </c>
      <c r="W108" s="406" t="str">
        <f>IFERROR(SUM((SUMIFS('capacity data'!$G:$G,'capacity data'!$B:$B,P108))-SUMIFS('capacity data'!$H:$H,'capacity data'!$B:$B,P108))/SUMIFS('capacity data'!$G:$G,'capacity data'!$B:$B,P108),"")</f>
        <v/>
      </c>
    </row>
    <row r="109" spans="15:23" ht="15.5" x14ac:dyDescent="0.35">
      <c r="O109" s="23" t="s">
        <v>25</v>
      </c>
      <c r="P109" t="s">
        <v>186</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c r="V109" s="406" t="str">
        <f>IFERROR(SUMIFS('capacity data'!$L:$L,'capacity data'!$B:$B,P109,'capacity data'!$E:$E,"PO")/SUMIFS('capacity data'!$G:$G,'capacity data'!$E:$E,"PO",'capacity data'!$B:$B,P109),"")</f>
        <v/>
      </c>
      <c r="W109" s="406" t="str">
        <f>IFERROR(SUM((SUMIFS('capacity data'!$G:$G,'capacity data'!$B:$B,P109))-SUMIFS('capacity data'!$H:$H,'capacity data'!$B:$B,P109))/SUMIFS('capacity data'!$G:$G,'capacity data'!$B:$B,P109),"")</f>
        <v/>
      </c>
    </row>
    <row r="110" spans="15:23" ht="15.5" x14ac:dyDescent="0.35">
      <c r="O110" s="23" t="s">
        <v>25</v>
      </c>
      <c r="P110" t="s">
        <v>206</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c r="V110" s="406" t="str">
        <f>IFERROR(SUMIFS('capacity data'!$L:$L,'capacity data'!$B:$B,P110,'capacity data'!$E:$E,"PO")/SUMIFS('capacity data'!$G:$G,'capacity data'!$E:$E,"PO",'capacity data'!$B:$B,P110),"")</f>
        <v/>
      </c>
      <c r="W110" s="406" t="str">
        <f>IFERROR(SUM((SUMIFS('capacity data'!$G:$G,'capacity data'!$B:$B,P110))-SUMIFS('capacity data'!$H:$H,'capacity data'!$B:$B,P110))/SUMIFS('capacity data'!$G:$G,'capacity data'!$B:$B,P110),"")</f>
        <v/>
      </c>
    </row>
    <row r="111" spans="15:23" ht="15.5" x14ac:dyDescent="0.35">
      <c r="O111" s="23" t="s">
        <v>25</v>
      </c>
      <c r="P111" t="s">
        <v>223</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c r="V111" s="406" t="str">
        <f>IFERROR(SUMIFS('capacity data'!$L:$L,'capacity data'!$B:$B,P111,'capacity data'!$E:$E,"PO")/SUMIFS('capacity data'!$G:$G,'capacity data'!$E:$E,"PO",'capacity data'!$B:$B,P111),"")</f>
        <v/>
      </c>
      <c r="W111" s="406" t="str">
        <f>IFERROR(SUM((SUMIFS('capacity data'!$G:$G,'capacity data'!$B:$B,P111))-SUMIFS('capacity data'!$H:$H,'capacity data'!$B:$B,P111))/SUMIFS('capacity data'!$G:$G,'capacity data'!$B:$B,P111),"")</f>
        <v/>
      </c>
    </row>
    <row r="112" spans="15:23" ht="15.5" x14ac:dyDescent="0.35">
      <c r="O112" s="23" t="s">
        <v>25</v>
      </c>
      <c r="P112" t="s">
        <v>241</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c r="V112" s="406" t="str">
        <f>IFERROR(SUMIFS('capacity data'!$L:$L,'capacity data'!$B:$B,P112,'capacity data'!$E:$E,"PO")/SUMIFS('capacity data'!$G:$G,'capacity data'!$E:$E,"PO",'capacity data'!$B:$B,P112),"")</f>
        <v/>
      </c>
      <c r="W112" s="406" t="str">
        <f>IFERROR(SUM((SUMIFS('capacity data'!$G:$G,'capacity data'!$B:$B,P112))-SUMIFS('capacity data'!$H:$H,'capacity data'!$B:$B,P112))/SUMIFS('capacity data'!$G:$G,'capacity data'!$B:$B,P112),"")</f>
        <v/>
      </c>
    </row>
    <row r="113" spans="15:23" ht="15.5" x14ac:dyDescent="0.35">
      <c r="O113" s="23" t="s">
        <v>25</v>
      </c>
      <c r="P113" t="s">
        <v>257</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c r="V113" s="406" t="str">
        <f>IFERROR(SUMIFS('capacity data'!$L:$L,'capacity data'!$B:$B,P113,'capacity data'!$E:$E,"PO")/SUMIFS('capacity data'!$G:$G,'capacity data'!$E:$E,"PO",'capacity data'!$B:$B,P113),"")</f>
        <v/>
      </c>
      <c r="W113" s="406" t="str">
        <f>IFERROR(SUM((SUMIFS('capacity data'!$G:$G,'capacity data'!$B:$B,P113))-SUMIFS('capacity data'!$H:$H,'capacity data'!$B:$B,P113))/SUMIFS('capacity data'!$G:$G,'capacity data'!$B:$B,P113),"")</f>
        <v/>
      </c>
    </row>
    <row r="114" spans="15:23" ht="15.5" x14ac:dyDescent="0.35">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c r="V114" s="406" t="str">
        <f>IFERROR(SUMIFS('capacity data'!$L:$L,'capacity data'!$B:$B,P114,'capacity data'!$E:$E,"PO")/SUMIFS('capacity data'!$G:$G,'capacity data'!$E:$E,"PO",'capacity data'!$B:$B,P114),"")</f>
        <v/>
      </c>
      <c r="W114" s="406" t="str">
        <f>IFERROR(SUM((SUMIFS('capacity data'!$G:$G,'capacity data'!$B:$B,P114))-SUMIFS('capacity data'!$H:$H,'capacity data'!$B:$B,P114))/SUMIFS('capacity data'!$G:$G,'capacity data'!$B:$B,P114),"")</f>
        <v/>
      </c>
    </row>
    <row r="115" spans="15:23" ht="15.5" x14ac:dyDescent="0.35">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c r="V115" s="406" t="str">
        <f>IFERROR(SUMIFS('capacity data'!$L:$L,'capacity data'!$B:$B,P115,'capacity data'!$E:$E,"PO")/SUMIFS('capacity data'!$G:$G,'capacity data'!$E:$E,"PO",'capacity data'!$B:$B,P115),"")</f>
        <v/>
      </c>
      <c r="W115" s="406" t="str">
        <f>IFERROR(SUM((SUMIFS('capacity data'!$G:$G,'capacity data'!$B:$B,P115))-SUMIFS('capacity data'!$H:$H,'capacity data'!$B:$B,P115))/SUMIFS('capacity data'!$G:$G,'capacity data'!$B:$B,P115),"")</f>
        <v/>
      </c>
    </row>
    <row r="116" spans="15:23" ht="15.5" x14ac:dyDescent="0.35">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c r="V116" s="406" t="str">
        <f>IFERROR(SUMIFS('capacity data'!$L:$L,'capacity data'!$B:$B,P116,'capacity data'!$E:$E,"PO")/SUMIFS('capacity data'!$G:$G,'capacity data'!$E:$E,"PO",'capacity data'!$B:$B,P116),"")</f>
        <v/>
      </c>
      <c r="W116" s="406" t="str">
        <f>IFERROR(SUM((SUMIFS('capacity data'!$G:$G,'capacity data'!$B:$B,P116))-SUMIFS('capacity data'!$H:$H,'capacity data'!$B:$B,P116))/SUMIFS('capacity data'!$G:$G,'capacity data'!$B:$B,P116),"")</f>
        <v/>
      </c>
    </row>
    <row r="117" spans="15:23" ht="15.5" x14ac:dyDescent="0.35">
      <c r="O117" s="23" t="s">
        <v>26</v>
      </c>
      <c r="P117" t="s">
        <v>103</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c r="V117" s="406" t="str">
        <f>IFERROR(SUMIFS('capacity data'!$L:$L,'capacity data'!$B:$B,P117,'capacity data'!$E:$E,"PO")/SUMIFS('capacity data'!$G:$G,'capacity data'!$E:$E,"PO",'capacity data'!$B:$B,P117),"")</f>
        <v/>
      </c>
      <c r="W117" s="406" t="str">
        <f>IFERROR(SUM((SUMIFS('capacity data'!$G:$G,'capacity data'!$B:$B,P117))-SUMIFS('capacity data'!$H:$H,'capacity data'!$B:$B,P117))/SUMIFS('capacity data'!$G:$G,'capacity data'!$B:$B,P117),"")</f>
        <v/>
      </c>
    </row>
    <row r="118" spans="15:23" ht="15.5" x14ac:dyDescent="0.35">
      <c r="O118" s="23" t="s">
        <v>26</v>
      </c>
      <c r="P118" t="s">
        <v>125</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c r="V118" s="406" t="str">
        <f>IFERROR(SUMIFS('capacity data'!$L:$L,'capacity data'!$B:$B,P118,'capacity data'!$E:$E,"PO")/SUMIFS('capacity data'!$G:$G,'capacity data'!$E:$E,"PO",'capacity data'!$B:$B,P118),"")</f>
        <v/>
      </c>
      <c r="W118" s="406" t="str">
        <f>IFERROR(SUM((SUMIFS('capacity data'!$G:$G,'capacity data'!$B:$B,P118))-SUMIFS('capacity data'!$H:$H,'capacity data'!$B:$B,P118))/SUMIFS('capacity data'!$G:$G,'capacity data'!$B:$B,P118),"")</f>
        <v/>
      </c>
    </row>
    <row r="119" spans="15:23" ht="15.5" x14ac:dyDescent="0.35">
      <c r="O119" s="23" t="s">
        <v>26</v>
      </c>
      <c r="P119" t="s">
        <v>146</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c r="V119" s="406" t="str">
        <f>IFERROR(SUMIFS('capacity data'!$L:$L,'capacity data'!$B:$B,P119,'capacity data'!$E:$E,"PO")/SUMIFS('capacity data'!$G:$G,'capacity data'!$E:$E,"PO",'capacity data'!$B:$B,P119),"")</f>
        <v/>
      </c>
      <c r="W119" s="406" t="str">
        <f>IFERROR(SUM((SUMIFS('capacity data'!$G:$G,'capacity data'!$B:$B,P119))-SUMIFS('capacity data'!$H:$H,'capacity data'!$B:$B,P119))/SUMIFS('capacity data'!$G:$G,'capacity data'!$B:$B,P119),"")</f>
        <v/>
      </c>
    </row>
    <row r="120" spans="15:23" ht="15.5" x14ac:dyDescent="0.35">
      <c r="O120" s="23" t="s">
        <v>26</v>
      </c>
      <c r="P120" t="s">
        <v>167</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c r="V120" s="406" t="str">
        <f>IFERROR(SUMIFS('capacity data'!$L:$L,'capacity data'!$B:$B,P120,'capacity data'!$E:$E,"PO")/SUMIFS('capacity data'!$G:$G,'capacity data'!$E:$E,"PO",'capacity data'!$B:$B,P120),"")</f>
        <v/>
      </c>
      <c r="W120" s="406" t="str">
        <f>IFERROR(SUM((SUMIFS('capacity data'!$G:$G,'capacity data'!$B:$B,P120))-SUMIFS('capacity data'!$H:$H,'capacity data'!$B:$B,P120))/SUMIFS('capacity data'!$G:$G,'capacity data'!$B:$B,P120),"")</f>
        <v/>
      </c>
    </row>
    <row r="121" spans="15:23" ht="15.5" x14ac:dyDescent="0.35">
      <c r="O121" s="23" t="s">
        <v>26</v>
      </c>
      <c r="P121" t="s">
        <v>187</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c r="V121" s="406" t="str">
        <f>IFERROR(SUMIFS('capacity data'!$L:$L,'capacity data'!$B:$B,P121,'capacity data'!$E:$E,"PO")/SUMIFS('capacity data'!$G:$G,'capacity data'!$E:$E,"PO",'capacity data'!$B:$B,P121),"")</f>
        <v/>
      </c>
      <c r="W121" s="406" t="str">
        <f>IFERROR(SUM((SUMIFS('capacity data'!$G:$G,'capacity data'!$B:$B,P121))-SUMIFS('capacity data'!$H:$H,'capacity data'!$B:$B,P121))/SUMIFS('capacity data'!$G:$G,'capacity data'!$B:$B,P121),"")</f>
        <v/>
      </c>
    </row>
    <row r="122" spans="15:23" ht="15.5" x14ac:dyDescent="0.35">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c r="V122" s="406" t="str">
        <f>IFERROR(SUMIFS('capacity data'!$L:$L,'capacity data'!$B:$B,P122,'capacity data'!$E:$E,"PO")/SUMIFS('capacity data'!$G:$G,'capacity data'!$E:$E,"PO",'capacity data'!$B:$B,P122),"")</f>
        <v/>
      </c>
      <c r="W122" s="406" t="str">
        <f>IFERROR(SUM((SUMIFS('capacity data'!$G:$G,'capacity data'!$B:$B,P122))-SUMIFS('capacity data'!$H:$H,'capacity data'!$B:$B,P122))/SUMIFS('capacity data'!$G:$G,'capacity data'!$B:$B,P122),"")</f>
        <v/>
      </c>
    </row>
    <row r="123" spans="15:23" ht="15.5" x14ac:dyDescent="0.35">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c r="V123" s="406" t="str">
        <f>IFERROR(SUMIFS('capacity data'!$L:$L,'capacity data'!$B:$B,P123,'capacity data'!$E:$E,"PO")/SUMIFS('capacity data'!$G:$G,'capacity data'!$E:$E,"PO",'capacity data'!$B:$B,P123),"")</f>
        <v/>
      </c>
      <c r="W123" s="406" t="str">
        <f>IFERROR(SUM((SUMIFS('capacity data'!$G:$G,'capacity data'!$B:$B,P123))-SUMIFS('capacity data'!$H:$H,'capacity data'!$B:$B,P123))/SUMIFS('capacity data'!$G:$G,'capacity data'!$B:$B,P123),"")</f>
        <v/>
      </c>
    </row>
    <row r="124" spans="15:23" ht="15.5" x14ac:dyDescent="0.35">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c r="V124" s="406" t="str">
        <f>IFERROR(SUMIFS('capacity data'!$L:$L,'capacity data'!$B:$B,P124,'capacity data'!$E:$E,"PO")/SUMIFS('capacity data'!$G:$G,'capacity data'!$E:$E,"PO",'capacity data'!$B:$B,P124),"")</f>
        <v/>
      </c>
      <c r="W124" s="406" t="str">
        <f>IFERROR(SUM((SUMIFS('capacity data'!$G:$G,'capacity data'!$B:$B,P124))-SUMIFS('capacity data'!$H:$H,'capacity data'!$B:$B,P124))/SUMIFS('capacity data'!$G:$G,'capacity data'!$B:$B,P124),"")</f>
        <v/>
      </c>
    </row>
    <row r="125" spans="15:23" ht="15.5" x14ac:dyDescent="0.35">
      <c r="O125" s="23" t="s">
        <v>27</v>
      </c>
      <c r="P125" t="s">
        <v>104</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c r="V125" s="406" t="str">
        <f>IFERROR(SUMIFS('capacity data'!$L:$L,'capacity data'!$B:$B,P125,'capacity data'!$E:$E,"PO")/SUMIFS('capacity data'!$G:$G,'capacity data'!$E:$E,"PO",'capacity data'!$B:$B,P125),"")</f>
        <v/>
      </c>
      <c r="W125" s="406" t="str">
        <f>IFERROR(SUM((SUMIFS('capacity data'!$G:$G,'capacity data'!$B:$B,P125))-SUMIFS('capacity data'!$H:$H,'capacity data'!$B:$B,P125))/SUMIFS('capacity data'!$G:$G,'capacity data'!$B:$B,P125),"")</f>
        <v/>
      </c>
    </row>
    <row r="126" spans="15:23" ht="15.5" x14ac:dyDescent="0.35">
      <c r="O126" s="23" t="s">
        <v>27</v>
      </c>
      <c r="P126" t="s">
        <v>126</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c r="V126" s="406" t="str">
        <f>IFERROR(SUMIFS('capacity data'!$L:$L,'capacity data'!$B:$B,P126,'capacity data'!$E:$E,"PO")/SUMIFS('capacity data'!$G:$G,'capacity data'!$E:$E,"PO",'capacity data'!$B:$B,P126),"")</f>
        <v/>
      </c>
      <c r="W126" s="406" t="str">
        <f>IFERROR(SUM((SUMIFS('capacity data'!$G:$G,'capacity data'!$B:$B,P126))-SUMIFS('capacity data'!$H:$H,'capacity data'!$B:$B,P126))/SUMIFS('capacity data'!$G:$G,'capacity data'!$B:$B,P126),"")</f>
        <v/>
      </c>
    </row>
    <row r="127" spans="15:23" ht="15.5" x14ac:dyDescent="0.35">
      <c r="O127" s="23" t="s">
        <v>27</v>
      </c>
      <c r="P127" t="s">
        <v>147</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c r="V127" s="406" t="str">
        <f>IFERROR(SUMIFS('capacity data'!$L:$L,'capacity data'!$B:$B,P127,'capacity data'!$E:$E,"PO")/SUMIFS('capacity data'!$G:$G,'capacity data'!$E:$E,"PO",'capacity data'!$B:$B,P127),"")</f>
        <v/>
      </c>
      <c r="W127" s="406" t="str">
        <f>IFERROR(SUM((SUMIFS('capacity data'!$G:$G,'capacity data'!$B:$B,P127))-SUMIFS('capacity data'!$H:$H,'capacity data'!$B:$B,P127))/SUMIFS('capacity data'!$G:$G,'capacity data'!$B:$B,P127),"")</f>
        <v/>
      </c>
    </row>
    <row r="128" spans="15:23" ht="15.5" x14ac:dyDescent="0.35">
      <c r="O128" s="23" t="s">
        <v>27</v>
      </c>
      <c r="P128" t="s">
        <v>168</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c r="V128" s="406" t="str">
        <f>IFERROR(SUMIFS('capacity data'!$L:$L,'capacity data'!$B:$B,P128,'capacity data'!$E:$E,"PO")/SUMIFS('capacity data'!$G:$G,'capacity data'!$E:$E,"PO",'capacity data'!$B:$B,P128),"")</f>
        <v/>
      </c>
      <c r="W128" s="406" t="str">
        <f>IFERROR(SUM((SUMIFS('capacity data'!$G:$G,'capacity data'!$B:$B,P128))-SUMIFS('capacity data'!$H:$H,'capacity data'!$B:$B,P128))/SUMIFS('capacity data'!$G:$G,'capacity data'!$B:$B,P128),"")</f>
        <v/>
      </c>
    </row>
    <row r="129" spans="15:23" ht="15.5" x14ac:dyDescent="0.35">
      <c r="O129" s="23" t="s">
        <v>27</v>
      </c>
      <c r="P129" t="s">
        <v>188</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c r="V129" s="406" t="str">
        <f>IFERROR(SUMIFS('capacity data'!$L:$L,'capacity data'!$B:$B,P129,'capacity data'!$E:$E,"PO")/SUMIFS('capacity data'!$G:$G,'capacity data'!$E:$E,"PO",'capacity data'!$B:$B,P129),"")</f>
        <v/>
      </c>
      <c r="W129" s="406" t="str">
        <f>IFERROR(SUM((SUMIFS('capacity data'!$G:$G,'capacity data'!$B:$B,P129))-SUMIFS('capacity data'!$H:$H,'capacity data'!$B:$B,P129))/SUMIFS('capacity data'!$G:$G,'capacity data'!$B:$B,P129),"")</f>
        <v/>
      </c>
    </row>
    <row r="130" spans="15:23" ht="15.5" x14ac:dyDescent="0.35">
      <c r="O130" s="23" t="s">
        <v>27</v>
      </c>
      <c r="P130" t="s">
        <v>207</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c r="V130" s="406" t="str">
        <f>IFERROR(SUMIFS('capacity data'!$L:$L,'capacity data'!$B:$B,P130,'capacity data'!$E:$E,"PO")/SUMIFS('capacity data'!$G:$G,'capacity data'!$E:$E,"PO",'capacity data'!$B:$B,P130),"")</f>
        <v/>
      </c>
      <c r="W130" s="406" t="str">
        <f>IFERROR(SUM((SUMIFS('capacity data'!$G:$G,'capacity data'!$B:$B,P130))-SUMIFS('capacity data'!$H:$H,'capacity data'!$B:$B,P130))/SUMIFS('capacity data'!$G:$G,'capacity data'!$B:$B,P130),"")</f>
        <v/>
      </c>
    </row>
    <row r="131" spans="15:23" ht="15.5" x14ac:dyDescent="0.35">
      <c r="O131" s="23" t="s">
        <v>27</v>
      </c>
      <c r="P131" t="s">
        <v>224</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c r="V131" s="406" t="str">
        <f>IFERROR(SUMIFS('capacity data'!$L:$L,'capacity data'!$B:$B,P131,'capacity data'!$E:$E,"PO")/SUMIFS('capacity data'!$G:$G,'capacity data'!$E:$E,"PO",'capacity data'!$B:$B,P131),"")</f>
        <v/>
      </c>
      <c r="W131" s="406" t="str">
        <f>IFERROR(SUM((SUMIFS('capacity data'!$G:$G,'capacity data'!$B:$B,P131))-SUMIFS('capacity data'!$H:$H,'capacity data'!$B:$B,P131))/SUMIFS('capacity data'!$G:$G,'capacity data'!$B:$B,P131),"")</f>
        <v/>
      </c>
    </row>
    <row r="132" spans="15:23" ht="15.5" x14ac:dyDescent="0.35">
      <c r="O132" s="23" t="s">
        <v>27</v>
      </c>
      <c r="P132" t="s">
        <v>242</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c r="V132" s="406" t="str">
        <f>IFERROR(SUMIFS('capacity data'!$L:$L,'capacity data'!$B:$B,P132,'capacity data'!$E:$E,"PO")/SUMIFS('capacity data'!$G:$G,'capacity data'!$E:$E,"PO",'capacity data'!$B:$B,P132),"")</f>
        <v/>
      </c>
      <c r="W132" s="406" t="str">
        <f>IFERROR(SUM((SUMIFS('capacity data'!$G:$G,'capacity data'!$B:$B,P132))-SUMIFS('capacity data'!$H:$H,'capacity data'!$B:$B,P132))/SUMIFS('capacity data'!$G:$G,'capacity data'!$B:$B,P132),"")</f>
        <v/>
      </c>
    </row>
    <row r="133" spans="15:23" ht="15.5" x14ac:dyDescent="0.35">
      <c r="O133" s="23" t="s">
        <v>27</v>
      </c>
      <c r="P133" t="s">
        <v>258</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c r="V133" s="406" t="str">
        <f>IFERROR(SUMIFS('capacity data'!$L:$L,'capacity data'!$B:$B,P133,'capacity data'!$E:$E,"PO")/SUMIFS('capacity data'!$G:$G,'capacity data'!$E:$E,"PO",'capacity data'!$B:$B,P133),"")</f>
        <v/>
      </c>
      <c r="W133" s="406" t="str">
        <f>IFERROR(SUM((SUMIFS('capacity data'!$G:$G,'capacity data'!$B:$B,P133))-SUMIFS('capacity data'!$H:$H,'capacity data'!$B:$B,P133))/SUMIFS('capacity data'!$G:$G,'capacity data'!$B:$B,P133),"")</f>
        <v/>
      </c>
    </row>
    <row r="134" spans="15:23" ht="15.5" x14ac:dyDescent="0.35">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c r="V134" s="406" t="str">
        <f>IFERROR(SUMIFS('capacity data'!$L:$L,'capacity data'!$B:$B,P134,'capacity data'!$E:$E,"PO")/SUMIFS('capacity data'!$G:$G,'capacity data'!$E:$E,"PO",'capacity data'!$B:$B,P134),"")</f>
        <v/>
      </c>
      <c r="W134" s="406" t="str">
        <f>IFERROR(SUM((SUMIFS('capacity data'!$G:$G,'capacity data'!$B:$B,P134))-SUMIFS('capacity data'!$H:$H,'capacity data'!$B:$B,P134))/SUMIFS('capacity data'!$G:$G,'capacity data'!$B:$B,P134),"")</f>
        <v/>
      </c>
    </row>
    <row r="135" spans="15:23" ht="15.5" x14ac:dyDescent="0.35">
      <c r="O135" s="23" t="s">
        <v>28</v>
      </c>
      <c r="P135" t="s">
        <v>840</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c r="V135" s="406" t="str">
        <f>IFERROR(SUMIFS('capacity data'!$L:$L,'capacity data'!$B:$B,P135,'capacity data'!$E:$E,"PO")/SUMIFS('capacity data'!$G:$G,'capacity data'!$E:$E,"PO",'capacity data'!$B:$B,P135),"")</f>
        <v/>
      </c>
      <c r="W135" s="406" t="str">
        <f>IFERROR(SUM((SUMIFS('capacity data'!$G:$G,'capacity data'!$B:$B,P135))-SUMIFS('capacity data'!$H:$H,'capacity data'!$B:$B,P135))/SUMIFS('capacity data'!$G:$G,'capacity data'!$B:$B,P135),"")</f>
        <v/>
      </c>
    </row>
    <row r="136" spans="15:23" ht="15.5" x14ac:dyDescent="0.35">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c r="V136" s="406" t="str">
        <f>IFERROR(SUMIFS('capacity data'!$L:$L,'capacity data'!$B:$B,P136,'capacity data'!$E:$E,"PO")/SUMIFS('capacity data'!$G:$G,'capacity data'!$E:$E,"PO",'capacity data'!$B:$B,P136),"")</f>
        <v/>
      </c>
      <c r="W136" s="406" t="str">
        <f>IFERROR(SUM((SUMIFS('capacity data'!$G:$G,'capacity data'!$B:$B,P136))-SUMIFS('capacity data'!$H:$H,'capacity data'!$B:$B,P136))/SUMIFS('capacity data'!$G:$G,'capacity data'!$B:$B,P136),"")</f>
        <v/>
      </c>
    </row>
    <row r="137" spans="15:23" ht="15.5" x14ac:dyDescent="0.35">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c r="V137" s="406" t="str">
        <f>IFERROR(SUMIFS('capacity data'!$L:$L,'capacity data'!$B:$B,P137,'capacity data'!$E:$E,"PO")/SUMIFS('capacity data'!$G:$G,'capacity data'!$E:$E,"PO",'capacity data'!$B:$B,P137),"")</f>
        <v/>
      </c>
      <c r="W137" s="406" t="str">
        <f>IFERROR(SUM((SUMIFS('capacity data'!$G:$G,'capacity data'!$B:$B,P137))-SUMIFS('capacity data'!$H:$H,'capacity data'!$B:$B,P137))/SUMIFS('capacity data'!$G:$G,'capacity data'!$B:$B,P137),"")</f>
        <v/>
      </c>
    </row>
    <row r="138" spans="15:23" ht="15.5" x14ac:dyDescent="0.35">
      <c r="O138" s="23" t="s">
        <v>28</v>
      </c>
      <c r="P138" t="s">
        <v>105</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c r="V138" s="406" t="str">
        <f>IFERROR(SUMIFS('capacity data'!$L:$L,'capacity data'!$B:$B,P138,'capacity data'!$E:$E,"PO")/SUMIFS('capacity data'!$G:$G,'capacity data'!$E:$E,"PO",'capacity data'!$B:$B,P138),"")</f>
        <v/>
      </c>
      <c r="W138" s="406" t="str">
        <f>IFERROR(SUM((SUMIFS('capacity data'!$G:$G,'capacity data'!$B:$B,P138))-SUMIFS('capacity data'!$H:$H,'capacity data'!$B:$B,P138))/SUMIFS('capacity data'!$G:$G,'capacity data'!$B:$B,P138),"")</f>
        <v/>
      </c>
    </row>
    <row r="139" spans="15:23" ht="15.5" x14ac:dyDescent="0.35">
      <c r="O139" s="23" t="s">
        <v>28</v>
      </c>
      <c r="P139" t="s">
        <v>841</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c r="V139" s="406" t="str">
        <f>IFERROR(SUMIFS('capacity data'!$L:$L,'capacity data'!$B:$B,P139,'capacity data'!$E:$E,"PO")/SUMIFS('capacity data'!$G:$G,'capacity data'!$E:$E,"PO",'capacity data'!$B:$B,P139),"")</f>
        <v/>
      </c>
      <c r="W139" s="406" t="str">
        <f>IFERROR(SUM((SUMIFS('capacity data'!$G:$G,'capacity data'!$B:$B,P139))-SUMIFS('capacity data'!$H:$H,'capacity data'!$B:$B,P139))/SUMIFS('capacity data'!$G:$G,'capacity data'!$B:$B,P139),"")</f>
        <v/>
      </c>
    </row>
    <row r="140" spans="15:23" ht="15.5" x14ac:dyDescent="0.35">
      <c r="O140" s="23" t="s">
        <v>28</v>
      </c>
      <c r="P140" t="s">
        <v>127</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c r="V140" s="406" t="str">
        <f>IFERROR(SUMIFS('capacity data'!$L:$L,'capacity data'!$B:$B,P140,'capacity data'!$E:$E,"PO")/SUMIFS('capacity data'!$G:$G,'capacity data'!$E:$E,"PO",'capacity data'!$B:$B,P140),"")</f>
        <v/>
      </c>
      <c r="W140" s="406" t="str">
        <f>IFERROR(SUM((SUMIFS('capacity data'!$G:$G,'capacity data'!$B:$B,P140))-SUMIFS('capacity data'!$H:$H,'capacity data'!$B:$B,P140))/SUMIFS('capacity data'!$G:$G,'capacity data'!$B:$B,P140),"")</f>
        <v/>
      </c>
    </row>
    <row r="141" spans="15:23" ht="15.5" x14ac:dyDescent="0.35">
      <c r="O141" s="23" t="s">
        <v>28</v>
      </c>
      <c r="P141" t="s">
        <v>148</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c r="V141" s="406" t="str">
        <f>IFERROR(SUMIFS('capacity data'!$L:$L,'capacity data'!$B:$B,P141,'capacity data'!$E:$E,"PO")/SUMIFS('capacity data'!$G:$G,'capacity data'!$E:$E,"PO",'capacity data'!$B:$B,P141),"")</f>
        <v/>
      </c>
      <c r="W141" s="406" t="str">
        <f>IFERROR(SUM((SUMIFS('capacity data'!$G:$G,'capacity data'!$B:$B,P141))-SUMIFS('capacity data'!$H:$H,'capacity data'!$B:$B,P141))/SUMIFS('capacity data'!$G:$G,'capacity data'!$B:$B,P141),"")</f>
        <v/>
      </c>
    </row>
    <row r="142" spans="15:23" ht="15.5" x14ac:dyDescent="0.35">
      <c r="O142" s="23" t="s">
        <v>28</v>
      </c>
      <c r="P142" t="s">
        <v>169</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c r="V142" s="406" t="str">
        <f>IFERROR(SUMIFS('capacity data'!$L:$L,'capacity data'!$B:$B,P142,'capacity data'!$E:$E,"PO")/SUMIFS('capacity data'!$G:$G,'capacity data'!$E:$E,"PO",'capacity data'!$B:$B,P142),"")</f>
        <v/>
      </c>
      <c r="W142" s="406" t="str">
        <f>IFERROR(SUM((SUMIFS('capacity data'!$G:$G,'capacity data'!$B:$B,P142))-SUMIFS('capacity data'!$H:$H,'capacity data'!$B:$B,P142))/SUMIFS('capacity data'!$G:$G,'capacity data'!$B:$B,P142),"")</f>
        <v/>
      </c>
    </row>
    <row r="143" spans="15:23" ht="15.5" x14ac:dyDescent="0.35">
      <c r="O143" s="23" t="s">
        <v>28</v>
      </c>
      <c r="P143" t="s">
        <v>189</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c r="V143" s="406" t="str">
        <f>IFERROR(SUMIFS('capacity data'!$L:$L,'capacity data'!$B:$B,P143,'capacity data'!$E:$E,"PO")/SUMIFS('capacity data'!$G:$G,'capacity data'!$E:$E,"PO",'capacity data'!$B:$B,P143),"")</f>
        <v/>
      </c>
      <c r="W143" s="406" t="str">
        <f>IFERROR(SUM((SUMIFS('capacity data'!$G:$G,'capacity data'!$B:$B,P143))-SUMIFS('capacity data'!$H:$H,'capacity data'!$B:$B,P143))/SUMIFS('capacity data'!$G:$G,'capacity data'!$B:$B,P143),"")</f>
        <v/>
      </c>
    </row>
    <row r="144" spans="15:23" ht="15.5" x14ac:dyDescent="0.35">
      <c r="O144" s="23" t="s">
        <v>28</v>
      </c>
      <c r="P144" t="s">
        <v>208</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c r="V144" s="406" t="str">
        <f>IFERROR(SUMIFS('capacity data'!$L:$L,'capacity data'!$B:$B,P144,'capacity data'!$E:$E,"PO")/SUMIFS('capacity data'!$G:$G,'capacity data'!$E:$E,"PO",'capacity data'!$B:$B,P144),"")</f>
        <v/>
      </c>
      <c r="W144" s="406" t="str">
        <f>IFERROR(SUM((SUMIFS('capacity data'!$G:$G,'capacity data'!$B:$B,P144))-SUMIFS('capacity data'!$H:$H,'capacity data'!$B:$B,P144))/SUMIFS('capacity data'!$G:$G,'capacity data'!$B:$B,P144),"")</f>
        <v/>
      </c>
    </row>
    <row r="145" spans="15:23" ht="15.5" x14ac:dyDescent="0.35">
      <c r="O145" s="23" t="s">
        <v>28</v>
      </c>
      <c r="P145" t="s">
        <v>225</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c r="V145" s="406" t="str">
        <f>IFERROR(SUMIFS('capacity data'!$L:$L,'capacity data'!$B:$B,P145,'capacity data'!$E:$E,"PO")/SUMIFS('capacity data'!$G:$G,'capacity data'!$E:$E,"PO",'capacity data'!$B:$B,P145),"")</f>
        <v/>
      </c>
      <c r="W145" s="406" t="str">
        <f>IFERROR(SUM((SUMIFS('capacity data'!$G:$G,'capacity data'!$B:$B,P145))-SUMIFS('capacity data'!$H:$H,'capacity data'!$B:$B,P145))/SUMIFS('capacity data'!$G:$G,'capacity data'!$B:$B,P145),"")</f>
        <v/>
      </c>
    </row>
    <row r="146" spans="15:23" ht="15.5" x14ac:dyDescent="0.35">
      <c r="O146" s="23" t="s">
        <v>28</v>
      </c>
      <c r="P146" t="s">
        <v>243</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c r="V146" s="406" t="str">
        <f>IFERROR(SUMIFS('capacity data'!$L:$L,'capacity data'!$B:$B,P146,'capacity data'!$E:$E,"PO")/SUMIFS('capacity data'!$G:$G,'capacity data'!$E:$E,"PO",'capacity data'!$B:$B,P146),"")</f>
        <v/>
      </c>
      <c r="W146" s="406" t="str">
        <f>IFERROR(SUM((SUMIFS('capacity data'!$G:$G,'capacity data'!$B:$B,P146))-SUMIFS('capacity data'!$H:$H,'capacity data'!$B:$B,P146))/SUMIFS('capacity data'!$G:$G,'capacity data'!$B:$B,P146),"")</f>
        <v/>
      </c>
    </row>
    <row r="147" spans="15:23" ht="15.5" x14ac:dyDescent="0.35">
      <c r="O147" s="23" t="s">
        <v>28</v>
      </c>
      <c r="P147" t="s">
        <v>842</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c r="V147" s="406" t="str">
        <f>IFERROR(SUMIFS('capacity data'!$L:$L,'capacity data'!$B:$B,P147,'capacity data'!$E:$E,"PO")/SUMIFS('capacity data'!$G:$G,'capacity data'!$E:$E,"PO",'capacity data'!$B:$B,P147),"")</f>
        <v/>
      </c>
      <c r="W147" s="406" t="str">
        <f>IFERROR(SUM((SUMIFS('capacity data'!$G:$G,'capacity data'!$B:$B,P147))-SUMIFS('capacity data'!$H:$H,'capacity data'!$B:$B,P147))/SUMIFS('capacity data'!$G:$G,'capacity data'!$B:$B,P147),"")</f>
        <v/>
      </c>
    </row>
    <row r="148" spans="15:23" ht="15.5" x14ac:dyDescent="0.35">
      <c r="O148" s="23" t="s">
        <v>28</v>
      </c>
      <c r="P148" t="s">
        <v>259</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c r="V148" s="406" t="str">
        <f>IFERROR(SUMIFS('capacity data'!$L:$L,'capacity data'!$B:$B,P148,'capacity data'!$E:$E,"PO")/SUMIFS('capacity data'!$G:$G,'capacity data'!$E:$E,"PO",'capacity data'!$B:$B,P148),"")</f>
        <v/>
      </c>
      <c r="W148" s="406" t="str">
        <f>IFERROR(SUM((SUMIFS('capacity data'!$G:$G,'capacity data'!$B:$B,P148))-SUMIFS('capacity data'!$H:$H,'capacity data'!$B:$B,P148))/SUMIFS('capacity data'!$G:$G,'capacity data'!$B:$B,P148),"")</f>
        <v/>
      </c>
    </row>
    <row r="149" spans="15:23" ht="15.5" x14ac:dyDescent="0.35">
      <c r="O149" s="23" t="s">
        <v>28</v>
      </c>
      <c r="P149" t="s">
        <v>272</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c r="V149" s="406" t="str">
        <f>IFERROR(SUMIFS('capacity data'!$L:$L,'capacity data'!$B:$B,P149,'capacity data'!$E:$E,"PO")/SUMIFS('capacity data'!$G:$G,'capacity data'!$E:$E,"PO",'capacity data'!$B:$B,P149),"")</f>
        <v/>
      </c>
      <c r="W149" s="406" t="str">
        <f>IFERROR(SUM((SUMIFS('capacity data'!$G:$G,'capacity data'!$B:$B,P149))-SUMIFS('capacity data'!$H:$H,'capacity data'!$B:$B,P149))/SUMIFS('capacity data'!$G:$G,'capacity data'!$B:$B,P149),"")</f>
        <v/>
      </c>
    </row>
    <row r="150" spans="15:23" ht="15.5" x14ac:dyDescent="0.35">
      <c r="O150" s="23" t="s">
        <v>28</v>
      </c>
      <c r="P150" t="s">
        <v>286</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c r="V150" s="406" t="str">
        <f>IFERROR(SUMIFS('capacity data'!$L:$L,'capacity data'!$B:$B,P150,'capacity data'!$E:$E,"PO")/SUMIFS('capacity data'!$G:$G,'capacity data'!$E:$E,"PO",'capacity data'!$B:$B,P150),"")</f>
        <v/>
      </c>
      <c r="W150" s="406" t="str">
        <f>IFERROR(SUM((SUMIFS('capacity data'!$G:$G,'capacity data'!$B:$B,P150))-SUMIFS('capacity data'!$H:$H,'capacity data'!$B:$B,P150))/SUMIFS('capacity data'!$G:$G,'capacity data'!$B:$B,P150),"")</f>
        <v/>
      </c>
    </row>
    <row r="151" spans="15:23" ht="15.5" x14ac:dyDescent="0.35">
      <c r="O151" s="23" t="s">
        <v>28</v>
      </c>
      <c r="P151" t="s">
        <v>301</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c r="V151" s="406" t="str">
        <f>IFERROR(SUMIFS('capacity data'!$L:$L,'capacity data'!$B:$B,P151,'capacity data'!$E:$E,"PO")/SUMIFS('capacity data'!$G:$G,'capacity data'!$E:$E,"PO",'capacity data'!$B:$B,P151),"")</f>
        <v/>
      </c>
      <c r="W151" s="406" t="str">
        <f>IFERROR(SUM((SUMIFS('capacity data'!$G:$G,'capacity data'!$B:$B,P151))-SUMIFS('capacity data'!$H:$H,'capacity data'!$B:$B,P151))/SUMIFS('capacity data'!$G:$G,'capacity data'!$B:$B,P151),"")</f>
        <v/>
      </c>
    </row>
    <row r="152" spans="15:23" ht="15.5" x14ac:dyDescent="0.35">
      <c r="O152" s="23" t="s">
        <v>28</v>
      </c>
      <c r="P152" t="s">
        <v>314</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c r="V152" s="406" t="str">
        <f>IFERROR(SUMIFS('capacity data'!$L:$L,'capacity data'!$B:$B,P152,'capacity data'!$E:$E,"PO")/SUMIFS('capacity data'!$G:$G,'capacity data'!$E:$E,"PO",'capacity data'!$B:$B,P152),"")</f>
        <v/>
      </c>
      <c r="W152" s="406" t="str">
        <f>IFERROR(SUM((SUMIFS('capacity data'!$G:$G,'capacity data'!$B:$B,P152))-SUMIFS('capacity data'!$H:$H,'capacity data'!$B:$B,P152))/SUMIFS('capacity data'!$G:$G,'capacity data'!$B:$B,P152),"")</f>
        <v/>
      </c>
    </row>
    <row r="153" spans="15:23" ht="15.5" x14ac:dyDescent="0.35">
      <c r="O153" s="23" t="s">
        <v>28</v>
      </c>
      <c r="P153" t="s">
        <v>328</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c r="V153" s="406" t="str">
        <f>IFERROR(SUMIFS('capacity data'!$L:$L,'capacity data'!$B:$B,P153,'capacity data'!$E:$E,"PO")/SUMIFS('capacity data'!$G:$G,'capacity data'!$E:$E,"PO",'capacity data'!$B:$B,P153),"")</f>
        <v/>
      </c>
      <c r="W153" s="406" t="str">
        <f>IFERROR(SUM((SUMIFS('capacity data'!$G:$G,'capacity data'!$B:$B,P153))-SUMIFS('capacity data'!$H:$H,'capacity data'!$B:$B,P153))/SUMIFS('capacity data'!$G:$G,'capacity data'!$B:$B,P153),"")</f>
        <v/>
      </c>
    </row>
  </sheetData>
  <sheetProtection selectLockedCells="1" selectUnlockedCells="1"/>
  <autoFilter ref="A1:U7549" xr:uid="{FB14D664-1DC0-4031-91B2-C77D3171EFF4}"/>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
    </sheetView>
  </sheetViews>
  <sheetFormatPr defaultColWidth="8.81640625" defaultRowHeight="14" x14ac:dyDescent="0.3"/>
  <cols>
    <col min="1" max="1" width="31.453125" bestFit="1" customWidth="1"/>
    <col min="2" max="2" width="17.1796875" customWidth="1"/>
    <col min="3" max="3" width="31.453125" bestFit="1" customWidth="1"/>
  </cols>
  <sheetData>
    <row r="1" spans="1:22" x14ac:dyDescent="0.3">
      <c r="A1" s="38" t="s">
        <v>820</v>
      </c>
      <c r="B1" s="38" t="s">
        <v>843</v>
      </c>
      <c r="C1" s="38" t="s">
        <v>844</v>
      </c>
      <c r="D1" s="38" t="s">
        <v>845</v>
      </c>
      <c r="E1" s="38" t="s">
        <v>846</v>
      </c>
      <c r="F1" s="38" t="s">
        <v>847</v>
      </c>
      <c r="G1" s="38" t="s">
        <v>848</v>
      </c>
      <c r="H1" s="38" t="s">
        <v>849</v>
      </c>
      <c r="I1" s="38" t="s">
        <v>850</v>
      </c>
      <c r="J1" s="38" t="s">
        <v>851</v>
      </c>
      <c r="K1" s="38" t="s">
        <v>852</v>
      </c>
      <c r="L1" s="38" t="s">
        <v>853</v>
      </c>
      <c r="M1" s="38" t="s">
        <v>854</v>
      </c>
      <c r="N1" s="38" t="s">
        <v>855</v>
      </c>
      <c r="O1" s="38" t="s">
        <v>856</v>
      </c>
      <c r="P1" s="38" t="s">
        <v>857</v>
      </c>
      <c r="Q1" s="38" t="s">
        <v>858</v>
      </c>
      <c r="R1" s="38" t="s">
        <v>859</v>
      </c>
      <c r="S1" s="38" t="s">
        <v>860</v>
      </c>
      <c r="T1" s="38" t="s">
        <v>861</v>
      </c>
      <c r="U1" s="38" t="s">
        <v>862</v>
      </c>
      <c r="V1" s="38" t="s">
        <v>863</v>
      </c>
    </row>
  </sheetData>
  <autoFilter ref="A1:X1636"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defaultColWidth="9.1796875" defaultRowHeight="14" x14ac:dyDescent="0.3"/>
  <cols>
    <col min="1" max="1" width="17.453125" customWidth="1"/>
    <col min="2" max="2" width="26.1796875" customWidth="1"/>
    <col min="4" max="4" width="17.453125" customWidth="1"/>
    <col min="5" max="5" width="12" customWidth="1"/>
    <col min="6" max="6" width="13.453125" customWidth="1"/>
    <col min="7" max="7" width="43.453125" bestFit="1" customWidth="1"/>
    <col min="8" max="9" width="9.1796875" customWidth="1"/>
    <col min="10" max="10" width="13.26953125" customWidth="1"/>
    <col min="11" max="11" width="9.1796875" customWidth="1"/>
    <col min="12" max="12" width="255.453125" bestFit="1" customWidth="1"/>
    <col min="13" max="16384" width="9.1796875" style="3"/>
  </cols>
  <sheetData>
    <row r="1" spans="1:12" ht="28" x14ac:dyDescent="0.3">
      <c r="A1" s="20" t="s">
        <v>820</v>
      </c>
      <c r="B1" s="20" t="s">
        <v>821</v>
      </c>
      <c r="C1" s="20" t="s">
        <v>822</v>
      </c>
      <c r="D1" s="20" t="s">
        <v>823</v>
      </c>
      <c r="E1" s="20" t="s">
        <v>845</v>
      </c>
      <c r="F1" s="20" t="s">
        <v>828</v>
      </c>
      <c r="G1" s="20" t="s">
        <v>864</v>
      </c>
      <c r="H1" s="20" t="s">
        <v>865</v>
      </c>
      <c r="I1" s="20" t="s">
        <v>866</v>
      </c>
      <c r="J1" s="20" t="s">
        <v>867</v>
      </c>
      <c r="K1" s="20" t="s">
        <v>868</v>
      </c>
      <c r="L1" s="20" t="s">
        <v>869</v>
      </c>
    </row>
  </sheetData>
  <sheetProtection selectLockedCells="1" selectUnlockedCells="1"/>
  <autoFilter ref="A1:L51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zoomScaleNormal="100" workbookViewId="0">
      <selection activeCell="C51" sqref="C51"/>
    </sheetView>
  </sheetViews>
  <sheetFormatPr defaultColWidth="8.81640625" defaultRowHeight="14" x14ac:dyDescent="0.3"/>
  <cols>
    <col min="1" max="1" width="43.453125" style="8" customWidth="1"/>
    <col min="2" max="2" width="9.1796875" style="8"/>
    <col min="3" max="3" width="64.453125" style="8" customWidth="1"/>
    <col min="4" max="4" width="5.453125" style="27" customWidth="1"/>
    <col min="5" max="5" width="10" style="27" customWidth="1"/>
    <col min="6" max="6" width="9.1796875" style="8"/>
    <col min="7" max="7" width="51.1796875" style="8" customWidth="1"/>
    <col min="8" max="8" width="33.1796875" style="27" customWidth="1"/>
    <col min="9" max="9" width="32.81640625" style="27" customWidth="1"/>
    <col min="10" max="10" width="32.81640625" style="8" customWidth="1"/>
    <col min="11" max="11" width="9.1796875" style="8"/>
  </cols>
  <sheetData>
    <row r="4" spans="1:9" ht="15.5" x14ac:dyDescent="0.35">
      <c r="C4" s="13" t="s">
        <v>870</v>
      </c>
      <c r="D4" s="24"/>
      <c r="E4" s="32"/>
      <c r="G4" s="25" t="s">
        <v>871</v>
      </c>
      <c r="H4" s="212" t="s">
        <v>872</v>
      </c>
      <c r="I4" s="212" t="s">
        <v>873</v>
      </c>
    </row>
    <row r="5" spans="1:9" ht="15.5" x14ac:dyDescent="0.35">
      <c r="C5" s="13"/>
      <c r="D5" s="24"/>
      <c r="E5" s="32"/>
      <c r="G5" s="25"/>
      <c r="H5" s="212"/>
      <c r="I5" s="212"/>
    </row>
    <row r="6" spans="1:9" ht="15.5" x14ac:dyDescent="0.35">
      <c r="A6" s="23" t="s">
        <v>874</v>
      </c>
      <c r="C6" s="15" t="s">
        <v>874</v>
      </c>
      <c r="D6" s="35">
        <f>COUNTIF('reductions data'!G:G,'reductions workings'!C6)</f>
        <v>0</v>
      </c>
      <c r="E6" s="35">
        <f>D6+0.0001</f>
        <v>1E-4</v>
      </c>
      <c r="G6" s="15" t="s">
        <v>874</v>
      </c>
      <c r="H6" s="28">
        <f>SUMIF('reductions data'!$G:$G,'reductions workings'!$G6,'reductions data'!$H:$H)</f>
        <v>0</v>
      </c>
      <c r="I6" s="22" t="e">
        <f>H6/H55</f>
        <v>#DIV/0!</v>
      </c>
    </row>
    <row r="7" spans="1:9" ht="15.5" x14ac:dyDescent="0.35">
      <c r="A7" s="23" t="s">
        <v>876</v>
      </c>
      <c r="C7" s="15" t="s">
        <v>876</v>
      </c>
      <c r="D7" s="35">
        <f>COUNTIF('reductions data'!G:G,'reductions workings'!C8)</f>
        <v>0</v>
      </c>
      <c r="E7" s="35">
        <f>D7+0.0003</f>
        <v>2.9999999999999997E-4</v>
      </c>
      <c r="G7" s="15" t="s">
        <v>876</v>
      </c>
      <c r="H7" s="28">
        <f>SUMIF('reductions data'!$G:$G,'reductions workings'!$G7,'reductions data'!$H:$H)</f>
        <v>0</v>
      </c>
      <c r="I7" s="22" t="e">
        <f>H7/H55</f>
        <v>#DIV/0!</v>
      </c>
    </row>
    <row r="8" spans="1:9" ht="15.5" x14ac:dyDescent="0.35">
      <c r="A8" s="23" t="s">
        <v>875</v>
      </c>
      <c r="C8" s="15" t="s">
        <v>875</v>
      </c>
      <c r="D8" s="35">
        <f>COUNTIF('reductions data'!G:G,'reductions workings'!C7)</f>
        <v>0</v>
      </c>
      <c r="E8" s="35">
        <f>D8+0.0002</f>
        <v>2.0000000000000001E-4</v>
      </c>
      <c r="G8" s="15" t="s">
        <v>875</v>
      </c>
      <c r="H8" s="28">
        <f>SUMIF('reductions data'!$G:$G,'reductions workings'!$G8,'reductions data'!$H:$H)</f>
        <v>0</v>
      </c>
      <c r="I8" s="22" t="e">
        <f>H8/H55</f>
        <v>#DIV/0!</v>
      </c>
    </row>
    <row r="9" spans="1:9" ht="15.5" x14ac:dyDescent="0.35">
      <c r="A9" s="23" t="s">
        <v>877</v>
      </c>
      <c r="C9" s="15" t="s">
        <v>877</v>
      </c>
      <c r="D9" s="35">
        <f>COUNTIF('reductions data'!G:G,'reductions workings'!C9)</f>
        <v>0</v>
      </c>
      <c r="E9" s="35">
        <f>D9+0.0004</f>
        <v>4.0000000000000002E-4</v>
      </c>
      <c r="G9" s="15" t="s">
        <v>877</v>
      </c>
      <c r="H9" s="28">
        <f>SUMIF('reductions data'!$G:$G,'reductions workings'!$G9,'reductions data'!$H:$H)</f>
        <v>0</v>
      </c>
      <c r="I9" s="22" t="e">
        <f>H9/H55</f>
        <v>#DIV/0!</v>
      </c>
    </row>
    <row r="10" spans="1:9" ht="15.5" x14ac:dyDescent="0.35">
      <c r="A10" s="23" t="s">
        <v>878</v>
      </c>
      <c r="C10" s="15" t="s">
        <v>878</v>
      </c>
      <c r="D10" s="35">
        <f>COUNTIF('reductions data'!G:G,'reductions workings'!C10)</f>
        <v>0</v>
      </c>
      <c r="E10" s="35">
        <f>D10+0.0005</f>
        <v>5.0000000000000001E-4</v>
      </c>
      <c r="G10" s="15" t="s">
        <v>878</v>
      </c>
      <c r="H10" s="28">
        <f>SUMIF('reductions data'!$G:$G,'reductions workings'!$G10,'reductions data'!$H:$H)</f>
        <v>0</v>
      </c>
      <c r="I10" s="22" t="e">
        <f>H10/H55</f>
        <v>#DIV/0!</v>
      </c>
    </row>
    <row r="11" spans="1:9" ht="15.5" x14ac:dyDescent="0.35">
      <c r="A11" s="23" t="s">
        <v>879</v>
      </c>
      <c r="C11" s="15" t="s">
        <v>879</v>
      </c>
      <c r="D11" s="35">
        <f>COUNTIF('reductions data'!G:G,'reductions workings'!C11)</f>
        <v>0</v>
      </c>
      <c r="E11" s="35">
        <f>D11+0.0006</f>
        <v>5.9999999999999995E-4</v>
      </c>
      <c r="G11" s="15" t="s">
        <v>879</v>
      </c>
      <c r="H11" s="28">
        <f>SUMIF('reductions data'!$G:$G,'reductions workings'!$G11,'reductions data'!$H:$H)</f>
        <v>0</v>
      </c>
      <c r="I11" s="22" t="e">
        <f>H11/H55</f>
        <v>#DIV/0!</v>
      </c>
    </row>
    <row r="12" spans="1:9" ht="15.5" x14ac:dyDescent="0.35">
      <c r="A12" s="23" t="s">
        <v>880</v>
      </c>
      <c r="C12" s="15" t="s">
        <v>880</v>
      </c>
      <c r="D12" s="35">
        <f>COUNTIF('reductions data'!G:G,'reductions workings'!C12)</f>
        <v>0</v>
      </c>
      <c r="E12" s="35">
        <f>D12+0.0006</f>
        <v>5.9999999999999995E-4</v>
      </c>
      <c r="G12" s="15" t="s">
        <v>880</v>
      </c>
      <c r="H12" s="28">
        <f>SUMIF('reductions data'!$G:$G,'reductions workings'!$G12,'reductions data'!$H:$H)</f>
        <v>0</v>
      </c>
      <c r="I12" s="22" t="e">
        <f>H12/H55</f>
        <v>#DIV/0!</v>
      </c>
    </row>
    <row r="13" spans="1:9" ht="15.5" x14ac:dyDescent="0.35">
      <c r="A13" s="23" t="s">
        <v>1238</v>
      </c>
      <c r="C13" s="15" t="s">
        <v>1238</v>
      </c>
      <c r="D13" s="35">
        <f>COUNTIF('reductions data'!G:G,'reductions workings'!C14)</f>
        <v>0</v>
      </c>
      <c r="E13" s="35">
        <f>D13+0.0008</f>
        <v>8.0000000000000004E-4</v>
      </c>
      <c r="G13" s="15" t="s">
        <v>1238</v>
      </c>
      <c r="H13" s="28">
        <f>SUMIF('reductions data'!$G:$G,'reductions workings'!$G14,'reductions data'!$H:$H)</f>
        <v>0</v>
      </c>
      <c r="I13" s="22" t="e">
        <f>H13/H54</f>
        <v>#DIV/0!</v>
      </c>
    </row>
    <row r="14" spans="1:9" ht="15.5" x14ac:dyDescent="0.35">
      <c r="A14" s="23" t="s">
        <v>881</v>
      </c>
      <c r="C14" s="15" t="s">
        <v>881</v>
      </c>
      <c r="D14" s="318">
        <f>COUNTIF('reductions data'!G:G,'reductions workings'!C13)</f>
        <v>0</v>
      </c>
      <c r="E14" s="318">
        <f>D14+0.0008</f>
        <v>8.0000000000000004E-4</v>
      </c>
      <c r="G14" s="15" t="s">
        <v>881</v>
      </c>
      <c r="H14" s="28">
        <f>SUMIF('reductions data'!$G:$G,'reductions workings'!$G13,'reductions data'!$H:$H)</f>
        <v>0</v>
      </c>
      <c r="I14" s="22" t="e">
        <f>H14/H56</f>
        <v>#DIV/0!</v>
      </c>
    </row>
    <row r="15" spans="1:9" ht="15.5" x14ac:dyDescent="0.35">
      <c r="A15" s="23" t="s">
        <v>882</v>
      </c>
      <c r="C15" s="15" t="s">
        <v>882</v>
      </c>
      <c r="D15" s="35">
        <f>COUNTIF('reductions data'!G:G,'reductions workings'!C15)</f>
        <v>0</v>
      </c>
      <c r="E15" s="35">
        <f>D15+0.0009</f>
        <v>8.9999999999999998E-4</v>
      </c>
      <c r="G15" s="15" t="s">
        <v>882</v>
      </c>
      <c r="H15" s="28">
        <f>SUMIF('reductions data'!$G:$G,'reductions workings'!$G15,'reductions data'!$H:$H)</f>
        <v>0</v>
      </c>
      <c r="I15" s="22" t="e">
        <f>H15/H55</f>
        <v>#DIV/0!</v>
      </c>
    </row>
    <row r="16" spans="1:9" ht="15.5" x14ac:dyDescent="0.35">
      <c r="A16" s="23" t="s">
        <v>883</v>
      </c>
      <c r="C16" s="15" t="s">
        <v>883</v>
      </c>
      <c r="D16" s="35">
        <f>COUNTIF('reductions data'!G:G,'reductions workings'!C16)</f>
        <v>0</v>
      </c>
      <c r="E16" s="35">
        <f>D16+0.0009</f>
        <v>8.9999999999999998E-4</v>
      </c>
      <c r="G16" s="15" t="s">
        <v>883</v>
      </c>
      <c r="H16" s="28">
        <f>SUMIF('reductions data'!$G:$G,'reductions workings'!$G16,'reductions data'!$H:$H)</f>
        <v>0</v>
      </c>
      <c r="I16" s="22" t="e">
        <f>H16/H55</f>
        <v>#DIV/0!</v>
      </c>
    </row>
    <row r="17" spans="1:9" ht="15.5" x14ac:dyDescent="0.35">
      <c r="A17" s="23" t="s">
        <v>884</v>
      </c>
      <c r="C17" s="15" t="s">
        <v>884</v>
      </c>
      <c r="D17" s="35">
        <f>COUNTIF('reductions data'!G:G,'reductions workings'!C17)</f>
        <v>0</v>
      </c>
      <c r="E17" s="35">
        <f>D17+0.00011</f>
        <v>1.1E-4</v>
      </c>
      <c r="G17" s="15" t="s">
        <v>884</v>
      </c>
      <c r="H17" s="28">
        <f>SUMIF('reductions data'!$G:$G,'reductions workings'!$G17,'reductions data'!$H:$H)</f>
        <v>0</v>
      </c>
      <c r="I17" s="22" t="e">
        <f>H17/H55</f>
        <v>#DIV/0!</v>
      </c>
    </row>
    <row r="18" spans="1:9" ht="15.5" x14ac:dyDescent="0.35">
      <c r="A18" s="23" t="s">
        <v>888</v>
      </c>
      <c r="C18" s="15" t="s">
        <v>885</v>
      </c>
      <c r="D18" s="35">
        <f>COUNTIF('reductions data'!G:G,'reductions workings'!C18)</f>
        <v>0</v>
      </c>
      <c r="E18" s="35">
        <f>D18+0.00012</f>
        <v>1.2E-4</v>
      </c>
      <c r="G18" s="15" t="s">
        <v>885</v>
      </c>
      <c r="H18" s="28">
        <f>SUMIF('reductions data'!$G:$G,'reductions workings'!$G18,'reductions data'!$H:$H)</f>
        <v>0</v>
      </c>
      <c r="I18" s="22" t="e">
        <f>H18/H55</f>
        <v>#DIV/0!</v>
      </c>
    </row>
    <row r="19" spans="1:9" ht="15.5" x14ac:dyDescent="0.35">
      <c r="A19" s="23" t="s">
        <v>885</v>
      </c>
      <c r="C19" s="15" t="s">
        <v>887</v>
      </c>
      <c r="D19" s="35">
        <f>COUNTIF('reductions data'!G:G,'reductions workings'!C20)</f>
        <v>0</v>
      </c>
      <c r="E19" s="35">
        <f>D19+0.00014</f>
        <v>1.3999999999999999E-4</v>
      </c>
      <c r="G19" s="15" t="s">
        <v>887</v>
      </c>
      <c r="H19" s="28">
        <f>SUMIF('reductions data'!$G:$G,'reductions workings'!$G19,'reductions data'!$H:$H)</f>
        <v>0</v>
      </c>
      <c r="I19" s="22" t="e">
        <f>H19/H55</f>
        <v>#DIV/0!</v>
      </c>
    </row>
    <row r="20" spans="1:9" ht="15.5" x14ac:dyDescent="0.35">
      <c r="A20" s="23" t="s">
        <v>887</v>
      </c>
      <c r="C20" s="15" t="s">
        <v>890</v>
      </c>
      <c r="D20" s="35">
        <f>COUNTIF('reductions data'!G:G,'reductions workings'!C22)</f>
        <v>0</v>
      </c>
      <c r="E20" s="35">
        <f>D20+0.00016</f>
        <v>1.6000000000000001E-4</v>
      </c>
      <c r="G20" s="15" t="s">
        <v>890</v>
      </c>
      <c r="H20" s="28">
        <f>SUMIF('reductions data'!$G:$G,'reductions workings'!$G20,'reductions data'!$H:$H)</f>
        <v>0</v>
      </c>
      <c r="I20" s="22" t="e">
        <f>H20/H55</f>
        <v>#DIV/0!</v>
      </c>
    </row>
    <row r="21" spans="1:9" ht="15.5" x14ac:dyDescent="0.35">
      <c r="A21" s="23" t="s">
        <v>890</v>
      </c>
      <c r="C21" s="15" t="s">
        <v>886</v>
      </c>
      <c r="D21" s="35">
        <f>COUNTIF('reductions data'!G:G,'reductions workings'!C19)</f>
        <v>0</v>
      </c>
      <c r="E21" s="35">
        <f>D21+0.00013</f>
        <v>1.2999999999999999E-4</v>
      </c>
      <c r="G21" s="15" t="s">
        <v>886</v>
      </c>
      <c r="H21" s="28">
        <f>SUMIF('reductions data'!$G:$G,'reductions workings'!$G21,'reductions data'!$H:$H)</f>
        <v>0</v>
      </c>
      <c r="I21" s="22" t="e">
        <f>H21/H55</f>
        <v>#DIV/0!</v>
      </c>
    </row>
    <row r="22" spans="1:9" ht="15.5" x14ac:dyDescent="0.35">
      <c r="A22" s="23" t="s">
        <v>886</v>
      </c>
      <c r="C22" s="15" t="s">
        <v>889</v>
      </c>
      <c r="D22" s="35">
        <f>COUNTIF('reductions data'!G:G,'reductions workings'!C21)</f>
        <v>0</v>
      </c>
      <c r="E22" s="35">
        <f>D22+0.00015</f>
        <v>1.4999999999999999E-4</v>
      </c>
      <c r="G22" s="15" t="s">
        <v>889</v>
      </c>
      <c r="H22" s="28">
        <f>SUMIF('reductions data'!$G:$G,'reductions workings'!$G22,'reductions data'!$H:$H)</f>
        <v>0</v>
      </c>
      <c r="I22" s="22" t="e">
        <f>H22/H55</f>
        <v>#DIV/0!</v>
      </c>
    </row>
    <row r="23" spans="1:9" ht="15.5" x14ac:dyDescent="0.35">
      <c r="A23" s="23" t="s">
        <v>891</v>
      </c>
      <c r="C23" s="15" t="s">
        <v>891</v>
      </c>
      <c r="D23" s="35">
        <f>COUNTIF('reductions data'!G:G,'reductions workings'!C23)</f>
        <v>0</v>
      </c>
      <c r="E23" s="35">
        <f>D23+0.00017</f>
        <v>1.7000000000000001E-4</v>
      </c>
      <c r="G23" s="15" t="s">
        <v>891</v>
      </c>
      <c r="H23" s="28">
        <f>SUMIF('reductions data'!$G:$G,'reductions workings'!$G23,'reductions data'!$H:$H)</f>
        <v>0</v>
      </c>
      <c r="I23" s="22" t="e">
        <f>H23/H55</f>
        <v>#DIV/0!</v>
      </c>
    </row>
    <row r="24" spans="1:9" ht="15.5" x14ac:dyDescent="0.35">
      <c r="A24" s="23" t="s">
        <v>892</v>
      </c>
      <c r="C24" s="15" t="s">
        <v>892</v>
      </c>
      <c r="D24" s="35">
        <f>COUNTIF('reductions data'!G:G,'reductions workings'!C24)</f>
        <v>0</v>
      </c>
      <c r="E24" s="35">
        <f>D24+0.00018</f>
        <v>1.8000000000000001E-4</v>
      </c>
      <c r="G24" s="15" t="s">
        <v>892</v>
      </c>
      <c r="H24" s="28">
        <f>SUMIF('reductions data'!$G:$G,'reductions workings'!$G24,'reductions data'!$H:$H)</f>
        <v>0</v>
      </c>
      <c r="I24" s="22" t="e">
        <f>H24/H55</f>
        <v>#DIV/0!</v>
      </c>
    </row>
    <row r="25" spans="1:9" ht="15.5" x14ac:dyDescent="0.35">
      <c r="A25" s="23" t="s">
        <v>893</v>
      </c>
      <c r="C25" s="15" t="s">
        <v>893</v>
      </c>
      <c r="D25" s="35">
        <f>COUNTIF('reductions data'!G:G,'reductions workings'!C25)</f>
        <v>0</v>
      </c>
      <c r="E25" s="35">
        <f>D25+0.00019</f>
        <v>1.9000000000000001E-4</v>
      </c>
      <c r="G25" s="15" t="s">
        <v>893</v>
      </c>
      <c r="H25" s="28">
        <f>SUMIF('reductions data'!$G:$G,'reductions workings'!$G25,'reductions data'!$H:$H)</f>
        <v>0</v>
      </c>
      <c r="I25" s="22" t="e">
        <f>H25/H55</f>
        <v>#DIV/0!</v>
      </c>
    </row>
    <row r="26" spans="1:9" ht="15.5" x14ac:dyDescent="0.35">
      <c r="A26" s="23" t="s">
        <v>894</v>
      </c>
      <c r="C26" s="15" t="s">
        <v>894</v>
      </c>
      <c r="D26" s="35">
        <f>COUNTIF('reductions data'!G:G,'reductions workings'!C26)</f>
        <v>0</v>
      </c>
      <c r="E26" s="35">
        <f>D26+0.00021</f>
        <v>2.1000000000000001E-4</v>
      </c>
      <c r="G26" s="15" t="s">
        <v>894</v>
      </c>
      <c r="H26" s="28">
        <f>SUMIF('reductions data'!$G:$G,'reductions workings'!$G26,'reductions data'!$H:$H)</f>
        <v>0</v>
      </c>
      <c r="I26" s="22" t="e">
        <f>H26/H55</f>
        <v>#DIV/0!</v>
      </c>
    </row>
    <row r="27" spans="1:9" ht="15.5" x14ac:dyDescent="0.35">
      <c r="A27" s="23" t="s">
        <v>895</v>
      </c>
      <c r="C27" s="15" t="s">
        <v>895</v>
      </c>
      <c r="D27" s="35">
        <f>COUNTIF('reductions data'!G:G,'reductions workings'!C27)</f>
        <v>0</v>
      </c>
      <c r="E27" s="35">
        <f>D27+0.00022</f>
        <v>2.2000000000000001E-4</v>
      </c>
      <c r="G27" s="15" t="s">
        <v>895</v>
      </c>
      <c r="H27" s="28">
        <f>SUMIF('reductions data'!$G:$G,'reductions workings'!$G27,'reductions data'!$H:$H)</f>
        <v>0</v>
      </c>
      <c r="I27" s="22" t="e">
        <f>H27/H55</f>
        <v>#DIV/0!</v>
      </c>
    </row>
    <row r="28" spans="1:9" ht="15.5" x14ac:dyDescent="0.35">
      <c r="A28" s="23" t="s">
        <v>896</v>
      </c>
      <c r="C28" s="15" t="s">
        <v>896</v>
      </c>
      <c r="D28" s="35">
        <f>COUNTIF('reductions data'!G:G,'reductions workings'!C28)</f>
        <v>0</v>
      </c>
      <c r="E28" s="35">
        <f>D28+0.00023</f>
        <v>2.3000000000000001E-4</v>
      </c>
      <c r="G28" s="15" t="s">
        <v>896</v>
      </c>
      <c r="H28" s="28">
        <f>SUMIF('reductions data'!$G:$G,'reductions workings'!$G28,'reductions data'!$H:$H)</f>
        <v>0</v>
      </c>
      <c r="I28" s="22" t="e">
        <f>H28/H55</f>
        <v>#DIV/0!</v>
      </c>
    </row>
    <row r="29" spans="1:9" ht="15.5" x14ac:dyDescent="0.35">
      <c r="A29" s="23" t="s">
        <v>897</v>
      </c>
      <c r="C29" s="15" t="s">
        <v>897</v>
      </c>
      <c r="D29" s="35">
        <f>COUNTIF('reductions data'!G:G,'reductions workings'!C29)</f>
        <v>0</v>
      </c>
      <c r="E29" s="35">
        <f>D29+0.00024</f>
        <v>2.4000000000000001E-4</v>
      </c>
      <c r="G29" s="15" t="s">
        <v>897</v>
      </c>
      <c r="H29" s="28">
        <f>SUMIF('reductions data'!$G:$G,'reductions workings'!$G29,'reductions data'!$H:$H)</f>
        <v>0</v>
      </c>
      <c r="I29" s="22" t="e">
        <f>H29/H55</f>
        <v>#DIV/0!</v>
      </c>
    </row>
    <row r="30" spans="1:9" ht="15.5" x14ac:dyDescent="0.35">
      <c r="A30" s="23" t="s">
        <v>1231</v>
      </c>
      <c r="C30" s="320" t="s">
        <v>1231</v>
      </c>
      <c r="D30" s="395">
        <f>COUNTIF('reductions data'!G:G,'reductions workings'!C34)</f>
        <v>0</v>
      </c>
      <c r="E30" s="35">
        <f t="shared" ref="E30:E36" si="0">D30+0.00032</f>
        <v>3.2000000000000003E-4</v>
      </c>
      <c r="G30" s="320" t="s">
        <v>1231</v>
      </c>
      <c r="H30" s="28">
        <f>SUMIF('reductions data'!$G:$G,'reductions workings'!$G30,'reductions data'!$H:$H)</f>
        <v>0</v>
      </c>
      <c r="I30" s="22" t="e">
        <f>H30/H55</f>
        <v>#DIV/0!</v>
      </c>
    </row>
    <row r="31" spans="1:9" ht="15.5" x14ac:dyDescent="0.35">
      <c r="A31" s="23" t="s">
        <v>1232</v>
      </c>
      <c r="C31" s="320" t="s">
        <v>1232</v>
      </c>
      <c r="D31" s="321">
        <f>COUNTIF('reductions data'!G:G,'reductions workings'!C35)</f>
        <v>0</v>
      </c>
      <c r="E31" s="315">
        <f t="shared" si="0"/>
        <v>3.2000000000000003E-4</v>
      </c>
      <c r="G31" s="320" t="s">
        <v>1232</v>
      </c>
      <c r="H31" s="28">
        <f>SUMIF('reductions data'!$G:$G,'reductions workings'!$G31,'reductions data'!$H:$H)</f>
        <v>0</v>
      </c>
      <c r="I31" s="22" t="e">
        <f>H31/H55</f>
        <v>#DIV/0!</v>
      </c>
    </row>
    <row r="32" spans="1:9" ht="15.5" x14ac:dyDescent="0.35">
      <c r="A32" s="23" t="s">
        <v>1229</v>
      </c>
      <c r="C32" s="320" t="s">
        <v>1229</v>
      </c>
      <c r="D32" s="321">
        <f>COUNTIF('reductions data'!G:G,'reductions workings'!C31)</f>
        <v>0</v>
      </c>
      <c r="E32" s="315">
        <f t="shared" si="0"/>
        <v>3.2000000000000003E-4</v>
      </c>
      <c r="G32" s="320" t="s">
        <v>1229</v>
      </c>
      <c r="H32" s="28">
        <f>SUMIF('reductions data'!$G:$G,'reductions workings'!$G32,'reductions data'!$H:$H)</f>
        <v>0</v>
      </c>
      <c r="I32" s="22" t="e">
        <f>H32/H55</f>
        <v>#DIV/0!</v>
      </c>
    </row>
    <row r="33" spans="1:9" ht="15.5" x14ac:dyDescent="0.35">
      <c r="A33" s="23" t="s">
        <v>1230</v>
      </c>
      <c r="C33" s="320" t="s">
        <v>1230</v>
      </c>
      <c r="D33" s="321">
        <f>COUNTIF('reductions data'!G:G,'reductions workings'!C32)</f>
        <v>0</v>
      </c>
      <c r="E33" s="315">
        <f t="shared" si="0"/>
        <v>3.2000000000000003E-4</v>
      </c>
      <c r="G33" s="320" t="s">
        <v>1230</v>
      </c>
      <c r="H33" s="28">
        <f>SUMIF('reductions data'!$G:$G,'reductions workings'!$G33,'reductions data'!$H:$H)</f>
        <v>0</v>
      </c>
      <c r="I33" s="22" t="e">
        <f>H33/H55</f>
        <v>#DIV/0!</v>
      </c>
    </row>
    <row r="34" spans="1:9" ht="15.5" x14ac:dyDescent="0.35">
      <c r="A34" s="23" t="s">
        <v>1239</v>
      </c>
      <c r="C34" s="320" t="s">
        <v>1239</v>
      </c>
      <c r="D34" s="321">
        <f>COUNTIF('reductions data'!G:G,'reductions workings'!C33)</f>
        <v>0</v>
      </c>
      <c r="E34" s="315">
        <f t="shared" si="0"/>
        <v>3.2000000000000003E-4</v>
      </c>
      <c r="G34" s="320" t="s">
        <v>1239</v>
      </c>
      <c r="H34" s="28">
        <f>SUMIF('reductions data'!$G:$G,'reductions workings'!$G34,'reductions data'!$H:$H)</f>
        <v>0</v>
      </c>
      <c r="I34" s="22" t="e">
        <f>H34/H55</f>
        <v>#DIV/0!</v>
      </c>
    </row>
    <row r="35" spans="1:9" ht="15.5" x14ac:dyDescent="0.35">
      <c r="A35" s="23" t="s">
        <v>1233</v>
      </c>
      <c r="C35" s="320" t="s">
        <v>1233</v>
      </c>
      <c r="D35" s="321">
        <f>COUNTIF('reductions data'!G:G,'reductions workings'!C39)</f>
        <v>0</v>
      </c>
      <c r="E35" s="315">
        <f t="shared" si="0"/>
        <v>3.2000000000000003E-4</v>
      </c>
      <c r="G35" s="320" t="s">
        <v>1233</v>
      </c>
      <c r="H35" s="28">
        <f>SUMIF('reductions data'!$G:$G,'reductions workings'!$G35,'reductions data'!$H:$H)</f>
        <v>0</v>
      </c>
      <c r="I35" s="22" t="e">
        <f>H35/H55</f>
        <v>#DIV/0!</v>
      </c>
    </row>
    <row r="36" spans="1:9" ht="15.5" x14ac:dyDescent="0.35">
      <c r="A36" s="23" t="s">
        <v>1234</v>
      </c>
      <c r="C36" s="320" t="s">
        <v>1234</v>
      </c>
      <c r="D36" s="321">
        <f>COUNTIF('reductions data'!G:G,'reductions workings'!C40)</f>
        <v>0</v>
      </c>
      <c r="E36" s="315">
        <f t="shared" si="0"/>
        <v>3.2000000000000003E-4</v>
      </c>
      <c r="G36" s="320" t="s">
        <v>1234</v>
      </c>
      <c r="H36" s="28">
        <f>SUMIF('reductions data'!$G:$G,'reductions workings'!$G36,'reductions data'!$H:$H)</f>
        <v>0</v>
      </c>
      <c r="I36" s="22" t="e">
        <f>H36/H55</f>
        <v>#DIV/0!</v>
      </c>
    </row>
    <row r="37" spans="1:9" ht="15.5" x14ac:dyDescent="0.35">
      <c r="A37" s="23" t="s">
        <v>899</v>
      </c>
      <c r="C37" s="15" t="s">
        <v>899</v>
      </c>
      <c r="D37" s="321">
        <f>COUNTIF('reductions data'!G:G,'reductions workings'!C41)</f>
        <v>0</v>
      </c>
      <c r="E37" s="315">
        <f>D37+0.00033</f>
        <v>3.3E-4</v>
      </c>
      <c r="G37" s="15" t="s">
        <v>899</v>
      </c>
      <c r="H37" s="28">
        <f>SUMIF('reductions data'!$G:$G,'reductions workings'!$G37,'reductions data'!$H:$H)</f>
        <v>0</v>
      </c>
      <c r="I37" s="22" t="e">
        <f>H37/H55</f>
        <v>#DIV/0!</v>
      </c>
    </row>
    <row r="38" spans="1:9" ht="15.5" x14ac:dyDescent="0.35">
      <c r="A38" s="23" t="s">
        <v>900</v>
      </c>
      <c r="C38" s="15" t="s">
        <v>900</v>
      </c>
      <c r="D38" s="321">
        <f>COUNTIF('reductions data'!G:G,'reductions workings'!C42)</f>
        <v>0</v>
      </c>
      <c r="E38" s="315">
        <f>D38+0.00033</f>
        <v>3.3E-4</v>
      </c>
      <c r="G38" s="15" t="s">
        <v>900</v>
      </c>
      <c r="H38" s="28">
        <f>SUMIF('reductions data'!$G:$G,'reductions workings'!$G38,'reductions data'!$H:$H)</f>
        <v>0</v>
      </c>
      <c r="I38" s="22" t="e">
        <f>H38/H55</f>
        <v>#DIV/0!</v>
      </c>
    </row>
    <row r="39" spans="1:9" ht="15.5" x14ac:dyDescent="0.35">
      <c r="A39" s="23" t="s">
        <v>901</v>
      </c>
      <c r="C39" s="15" t="s">
        <v>901</v>
      </c>
      <c r="D39" s="321">
        <f>COUNTIF('reductions data'!G:G,'reductions workings'!C43)</f>
        <v>0</v>
      </c>
      <c r="E39" s="315">
        <f>D39+0.00033</f>
        <v>3.3E-4</v>
      </c>
      <c r="G39" s="15" t="s">
        <v>901</v>
      </c>
      <c r="H39" s="28">
        <f>SUMIF('reductions data'!$G:$G,'reductions workings'!$G39,'reductions data'!$H:$H)</f>
        <v>0</v>
      </c>
      <c r="I39" s="22" t="e">
        <f>H39/H55</f>
        <v>#DIV/0!</v>
      </c>
    </row>
    <row r="40" spans="1:9" ht="15.5" x14ac:dyDescent="0.35">
      <c r="A40" s="23" t="s">
        <v>1235</v>
      </c>
      <c r="C40" s="320" t="s">
        <v>1235</v>
      </c>
      <c r="D40" s="321">
        <f>COUNTIF('reductions data'!G:G,'reductions workings'!C36)</f>
        <v>0</v>
      </c>
      <c r="E40" s="315">
        <f>D40+0.00032</f>
        <v>3.2000000000000003E-4</v>
      </c>
      <c r="G40" s="320" t="s">
        <v>1235</v>
      </c>
      <c r="H40" s="28">
        <f>SUMIF('reductions data'!$G:$G,'reductions workings'!$G43,'reductions data'!$H:$H)</f>
        <v>0</v>
      </c>
      <c r="I40" s="22" t="e">
        <f>H40/H52</f>
        <v>#DIV/0!</v>
      </c>
    </row>
    <row r="41" spans="1:9" ht="15.5" x14ac:dyDescent="0.35">
      <c r="A41" s="23" t="s">
        <v>1236</v>
      </c>
      <c r="C41" s="320" t="s">
        <v>1236</v>
      </c>
      <c r="D41" s="395">
        <f>COUNTIF('reductions data'!G:G,'reductions workings'!C37)</f>
        <v>0</v>
      </c>
      <c r="E41" s="35">
        <f>D41+0.00032</f>
        <v>3.2000000000000003E-4</v>
      </c>
      <c r="G41" s="320" t="s">
        <v>1236</v>
      </c>
      <c r="H41" s="28">
        <f>SUMIF('reductions data'!$G:$G,'reductions workings'!$G44,'reductions data'!$H:$H)</f>
        <v>0</v>
      </c>
      <c r="I41" s="22" t="e">
        <f>H41/H52</f>
        <v>#DIV/0!</v>
      </c>
    </row>
    <row r="42" spans="1:9" ht="15.5" x14ac:dyDescent="0.35">
      <c r="A42" s="23" t="s">
        <v>1237</v>
      </c>
      <c r="C42" s="320" t="s">
        <v>1240</v>
      </c>
      <c r="D42" s="395">
        <f>COUNTIF('reductions data'!G:G,'reductions workings'!C38)</f>
        <v>0</v>
      </c>
      <c r="E42" s="35">
        <f>D42+0.00032</f>
        <v>3.2000000000000003E-4</v>
      </c>
      <c r="G42" s="320" t="s">
        <v>1240</v>
      </c>
      <c r="H42" s="28">
        <f>SUMIF('reductions data'!$G:$G,'reductions workings'!$G45,'reductions data'!$H:$H)</f>
        <v>0</v>
      </c>
      <c r="I42" s="22" t="e">
        <f>H42/H52</f>
        <v>#DIV/0!</v>
      </c>
    </row>
    <row r="43" spans="1:9" ht="15.5" x14ac:dyDescent="0.35">
      <c r="A43" s="23" t="s">
        <v>902</v>
      </c>
      <c r="C43" s="15" t="s">
        <v>902</v>
      </c>
      <c r="D43" s="35">
        <f>COUNTIF('reductions data'!G:G,'reductions workings'!C44)</f>
        <v>0</v>
      </c>
      <c r="E43" s="35">
        <f>D43+0.00033</f>
        <v>3.3E-4</v>
      </c>
      <c r="G43" s="15" t="s">
        <v>902</v>
      </c>
      <c r="H43" s="28">
        <f>SUMIF('reductions data'!$G:$G,'reductions workings'!$G40,'reductions data'!$H:$H)</f>
        <v>0</v>
      </c>
      <c r="I43" s="22" t="e">
        <f>H43/H58</f>
        <v>#DIV/0!</v>
      </c>
    </row>
    <row r="44" spans="1:9" ht="15.5" x14ac:dyDescent="0.35">
      <c r="A44" s="23" t="s">
        <v>903</v>
      </c>
      <c r="C44" s="15" t="s">
        <v>903</v>
      </c>
      <c r="D44" s="35">
        <f>COUNTIF('reductions data'!G:G,'reductions workings'!C45)</f>
        <v>0</v>
      </c>
      <c r="E44" s="35">
        <f>D44+0.00033</f>
        <v>3.3E-4</v>
      </c>
      <c r="G44" s="15" t="s">
        <v>903</v>
      </c>
      <c r="H44" s="28">
        <f>SUMIF('reductions data'!$G:$G,'reductions workings'!$G41,'reductions data'!$H:$H)</f>
        <v>0</v>
      </c>
      <c r="I44" s="22" t="e">
        <f>H44/H58</f>
        <v>#DIV/0!</v>
      </c>
    </row>
    <row r="45" spans="1:9" ht="15.5" x14ac:dyDescent="0.35">
      <c r="A45" s="23" t="s">
        <v>904</v>
      </c>
      <c r="C45" s="15" t="s">
        <v>904</v>
      </c>
      <c r="D45" s="35">
        <f>COUNTIF('reductions data'!G:G,'reductions workings'!C46)</f>
        <v>0</v>
      </c>
      <c r="E45" s="35">
        <f>D45+0.00033</f>
        <v>3.3E-4</v>
      </c>
      <c r="G45" s="15" t="s">
        <v>904</v>
      </c>
      <c r="H45" s="28">
        <f>SUMIF('reductions data'!$G:$G,'reductions workings'!$G42,'reductions data'!$H:$H)</f>
        <v>0</v>
      </c>
      <c r="I45" s="22" t="e">
        <f>H45/H58</f>
        <v>#DIV/0!</v>
      </c>
    </row>
    <row r="46" spans="1:9" ht="15.5" x14ac:dyDescent="0.35">
      <c r="A46" s="23" t="s">
        <v>898</v>
      </c>
      <c r="C46" s="15" t="s">
        <v>898</v>
      </c>
      <c r="D46" s="35">
        <f>COUNTIF('reductions data'!G:G,'reductions workings'!C30)</f>
        <v>0</v>
      </c>
      <c r="E46" s="35">
        <f>D46+0.00026</f>
        <v>2.5999999999999998E-4</v>
      </c>
      <c r="G46" s="15" t="s">
        <v>898</v>
      </c>
      <c r="H46" s="28">
        <f>SUMIF('reductions data'!$G:$G,'reductions workings'!$G46,'reductions data'!$H:$H)</f>
        <v>0</v>
      </c>
      <c r="I46" s="22" t="e">
        <f>H46/H55</f>
        <v>#DIV/0!</v>
      </c>
    </row>
    <row r="47" spans="1:9" ht="15.5" x14ac:dyDescent="0.35">
      <c r="A47" s="23" t="s">
        <v>905</v>
      </c>
      <c r="C47" s="15" t="s">
        <v>905</v>
      </c>
      <c r="D47" s="35">
        <f>COUNTIF('reductions data'!G:G,'reductions workings'!C47)</f>
        <v>0</v>
      </c>
      <c r="E47" s="35">
        <f>D47+0.00034</f>
        <v>3.4000000000000002E-4</v>
      </c>
      <c r="G47" s="15" t="s">
        <v>905</v>
      </c>
      <c r="H47" s="28">
        <f>SUMIF('reductions data'!$G:$G,'reductions workings'!$G47,'reductions data'!$H:$H)</f>
        <v>0</v>
      </c>
      <c r="I47" s="22" t="e">
        <f>H47/H55</f>
        <v>#DIV/0!</v>
      </c>
    </row>
    <row r="48" spans="1:9" ht="15.5" x14ac:dyDescent="0.35">
      <c r="A48" s="23" t="s">
        <v>906</v>
      </c>
      <c r="C48" s="15" t="s">
        <v>906</v>
      </c>
      <c r="D48" s="35">
        <f>COUNTIF('reductions data'!G:G,'reductions workings'!C48)</f>
        <v>0</v>
      </c>
      <c r="E48" s="35">
        <f>D48+0.00035</f>
        <v>3.5E-4</v>
      </c>
      <c r="G48" s="15" t="s">
        <v>906</v>
      </c>
      <c r="H48" s="28">
        <f>SUMIF('reductions data'!$G:$G,'reductions workings'!$G48,'reductions data'!$H:$H)</f>
        <v>0</v>
      </c>
      <c r="I48" s="22" t="e">
        <f>H48/H55</f>
        <v>#DIV/0!</v>
      </c>
    </row>
    <row r="49" spans="1:9" ht="15.5" x14ac:dyDescent="0.35">
      <c r="A49" s="23" t="s">
        <v>907</v>
      </c>
      <c r="C49" s="15" t="s">
        <v>907</v>
      </c>
      <c r="D49" s="35">
        <f>COUNTIF('reductions data'!G:G,'reductions workings'!C49)</f>
        <v>0</v>
      </c>
      <c r="E49" s="35">
        <f>D49+0.00036</f>
        <v>3.6000000000000002E-4</v>
      </c>
      <c r="G49" s="15" t="s">
        <v>907</v>
      </c>
      <c r="H49" s="28">
        <f>SUMIF('reductions data'!$G:$G,'reductions workings'!$G49,'reductions data'!$H:$H)</f>
        <v>0</v>
      </c>
      <c r="I49" s="22" t="e">
        <f>H49/H55</f>
        <v>#DIV/0!</v>
      </c>
    </row>
    <row r="50" spans="1:9" ht="15.5" x14ac:dyDescent="0.35">
      <c r="A50" s="23" t="s">
        <v>908</v>
      </c>
      <c r="C50" s="15" t="s">
        <v>908</v>
      </c>
      <c r="D50" s="35">
        <f>COUNTIF('reductions data'!G:G,'reductions workings'!C50)</f>
        <v>0</v>
      </c>
      <c r="E50" s="35">
        <f>D50+0.00037</f>
        <v>3.6999999999999999E-4</v>
      </c>
      <c r="G50" s="15" t="s">
        <v>908</v>
      </c>
      <c r="H50" s="28">
        <f>SUMIF('reductions data'!$G:$G,'reductions workings'!$G50,'reductions data'!$H:$H)</f>
        <v>0</v>
      </c>
      <c r="I50" s="22" t="e">
        <f>H50/H55</f>
        <v>#DIV/0!</v>
      </c>
    </row>
    <row r="51" spans="1:9" ht="15.5" x14ac:dyDescent="0.35">
      <c r="A51" s="23" t="s">
        <v>909</v>
      </c>
      <c r="C51" s="15" t="s">
        <v>909</v>
      </c>
      <c r="D51" s="35">
        <f>COUNTIF('reductions data'!G:G,'reductions workings'!C51)</f>
        <v>0</v>
      </c>
      <c r="E51" s="35">
        <f>D51+0.00038</f>
        <v>3.8000000000000002E-4</v>
      </c>
      <c r="G51" s="15" t="s">
        <v>909</v>
      </c>
      <c r="H51" s="28">
        <f>SUMIF('reductions data'!$G:$G,'reductions workings'!$G51,'reductions data'!$H:$H)</f>
        <v>0</v>
      </c>
      <c r="I51" s="22" t="e">
        <f>H51/H55</f>
        <v>#DIV/0!</v>
      </c>
    </row>
    <row r="52" spans="1:9" ht="15.5" x14ac:dyDescent="0.35">
      <c r="A52" s="23" t="s">
        <v>910</v>
      </c>
      <c r="C52" s="15" t="s">
        <v>910</v>
      </c>
      <c r="D52" s="35">
        <f>COUNTIF('reductions data'!G:G,'reductions workings'!C52)</f>
        <v>0</v>
      </c>
      <c r="E52" s="35">
        <f>D52+0.00039</f>
        <v>3.8999999999999999E-4</v>
      </c>
      <c r="G52" s="15" t="s">
        <v>910</v>
      </c>
      <c r="H52" s="28">
        <f>SUMIF('reductions data'!$G:$G,'reductions workings'!$G52,'reductions data'!$H:$H)</f>
        <v>0</v>
      </c>
      <c r="I52" s="22" t="e">
        <f>H52/H55</f>
        <v>#DIV/0!</v>
      </c>
    </row>
    <row r="53" spans="1:9" ht="15.5" x14ac:dyDescent="0.35">
      <c r="A53" s="23" t="s">
        <v>911</v>
      </c>
      <c r="C53" s="15" t="s">
        <v>911</v>
      </c>
      <c r="D53" s="35">
        <f>COUNTIF('reductions data'!G:G,'reductions workings'!C53)</f>
        <v>0</v>
      </c>
      <c r="E53" s="35">
        <f>D53+0.00039</f>
        <v>3.8999999999999999E-4</v>
      </c>
      <c r="G53" s="15" t="s">
        <v>911</v>
      </c>
      <c r="H53" s="28">
        <f>SUMIF('reductions data'!$G:$G,'reductions workings'!$G53,'reductions data'!$H:$H)</f>
        <v>0</v>
      </c>
      <c r="I53" s="22" t="e">
        <f>H53/H55</f>
        <v>#DIV/0!</v>
      </c>
    </row>
    <row r="54" spans="1:9" ht="15.5" x14ac:dyDescent="0.35">
      <c r="A54" s="23" t="s">
        <v>912</v>
      </c>
      <c r="C54" s="15" t="s">
        <v>912</v>
      </c>
      <c r="D54" s="35">
        <f>COUNTIF('reductions data'!G:G,'reductions workings'!C54)</f>
        <v>0</v>
      </c>
      <c r="E54" s="35">
        <f>D54+0.00041</f>
        <v>4.0999999999999999E-4</v>
      </c>
      <c r="G54" s="15" t="s">
        <v>912</v>
      </c>
      <c r="H54" s="28">
        <f>SUMIF('reductions data'!$G:$G,'reductions workings'!$G54,'reductions data'!$H:$H)</f>
        <v>0</v>
      </c>
      <c r="I54" s="22" t="e">
        <f>H54/H55</f>
        <v>#DIV/0!</v>
      </c>
    </row>
    <row r="55" spans="1:9" ht="18" x14ac:dyDescent="0.4">
      <c r="C55" s="26" t="s">
        <v>913</v>
      </c>
      <c r="D55" s="408">
        <f>SUM(D6:D54)</f>
        <v>0</v>
      </c>
      <c r="E55" s="409"/>
      <c r="G55" s="26" t="s">
        <v>914</v>
      </c>
      <c r="H55" s="410">
        <f>SUM(H6:H54)</f>
        <v>0</v>
      </c>
      <c r="I55" s="411"/>
    </row>
    <row r="93" spans="4:9" x14ac:dyDescent="0.3">
      <c r="D93" s="8"/>
      <c r="E93" s="8"/>
      <c r="H93" s="8"/>
      <c r="I93" s="8"/>
    </row>
    <row r="94" spans="4:9" x14ac:dyDescent="0.3">
      <c r="D94" s="8"/>
      <c r="E94" s="8"/>
      <c r="H94" s="8"/>
      <c r="I94" s="8"/>
    </row>
    <row r="95" spans="4:9" x14ac:dyDescent="0.3">
      <c r="D95" s="8"/>
      <c r="E95" s="8"/>
      <c r="H95" s="8"/>
      <c r="I95" s="8"/>
    </row>
    <row r="96" spans="4:9" x14ac:dyDescent="0.3">
      <c r="D96" s="8"/>
      <c r="E96" s="8"/>
      <c r="H96" s="8"/>
      <c r="I96" s="8"/>
    </row>
    <row r="97" spans="4:9" x14ac:dyDescent="0.3">
      <c r="D97" s="8"/>
      <c r="E97" s="8"/>
      <c r="H97" s="8"/>
      <c r="I97" s="8"/>
    </row>
    <row r="98" spans="4:9" x14ac:dyDescent="0.3">
      <c r="D98" s="8"/>
      <c r="E98" s="8"/>
      <c r="H98" s="8"/>
      <c r="I98" s="8"/>
    </row>
    <row r="99" spans="4:9" x14ac:dyDescent="0.3">
      <c r="D99" s="8"/>
      <c r="E99" s="8"/>
      <c r="H99" s="8"/>
      <c r="I99" s="8"/>
    </row>
    <row r="100" spans="4:9" x14ac:dyDescent="0.3">
      <c r="D100" s="8"/>
      <c r="E100" s="8"/>
      <c r="H100" s="8"/>
      <c r="I100" s="8"/>
    </row>
    <row r="101" spans="4:9" x14ac:dyDescent="0.3">
      <c r="D101" s="8"/>
      <c r="E101" s="8"/>
      <c r="H101" s="8"/>
      <c r="I101" s="8"/>
    </row>
    <row r="102" spans="4:9" x14ac:dyDescent="0.3">
      <c r="D102" s="8"/>
      <c r="E102" s="8"/>
      <c r="H102" s="8"/>
      <c r="I102" s="8"/>
    </row>
    <row r="103" spans="4:9" x14ac:dyDescent="0.3">
      <c r="D103" s="8"/>
      <c r="E103" s="8"/>
      <c r="H103" s="8"/>
      <c r="I103" s="8"/>
    </row>
    <row r="104" spans="4:9" x14ac:dyDescent="0.3">
      <c r="D104" s="8"/>
      <c r="E104" s="8"/>
      <c r="H104" s="8"/>
      <c r="I104" s="8"/>
    </row>
    <row r="105" spans="4:9" x14ac:dyDescent="0.3">
      <c r="D105" s="8"/>
      <c r="E105" s="8"/>
      <c r="H105" s="8"/>
      <c r="I105" s="8"/>
    </row>
    <row r="106" spans="4:9" x14ac:dyDescent="0.3">
      <c r="D106" s="8"/>
      <c r="E106" s="8"/>
      <c r="H106" s="8"/>
      <c r="I106" s="8"/>
    </row>
    <row r="121" spans="1:9" x14ac:dyDescent="0.3">
      <c r="A121" s="29"/>
      <c r="C121" s="29"/>
      <c r="D121" s="30"/>
      <c r="E121" s="30"/>
      <c r="G121" s="29"/>
      <c r="H121" s="30"/>
      <c r="I121" s="30"/>
    </row>
    <row r="131" spans="2:11" x14ac:dyDescent="0.3">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showGridLines="0" showRowColHeaders="0" workbookViewId="0">
      <selection sqref="A1:Q1"/>
    </sheetView>
  </sheetViews>
  <sheetFormatPr defaultColWidth="8.81640625" defaultRowHeight="14" x14ac:dyDescent="0.3"/>
  <sheetData>
    <row r="1" spans="1:19" ht="40.5" customHeight="1" x14ac:dyDescent="0.5">
      <c r="A1" s="412" t="s">
        <v>915</v>
      </c>
      <c r="B1" s="412"/>
      <c r="C1" s="412"/>
      <c r="D1" s="412"/>
      <c r="E1" s="412"/>
      <c r="F1" s="412"/>
      <c r="G1" s="412"/>
      <c r="H1" s="412"/>
      <c r="I1" s="412"/>
      <c r="J1" s="412"/>
      <c r="K1" s="412"/>
      <c r="L1" s="412"/>
      <c r="M1" s="412"/>
      <c r="N1" s="412"/>
      <c r="O1" s="412"/>
      <c r="P1" s="412"/>
      <c r="Q1" s="412"/>
      <c r="R1" s="278"/>
      <c r="S1" s="278"/>
    </row>
    <row r="30" spans="1:1" x14ac:dyDescent="0.3">
      <c r="A30" t="s">
        <v>1179</v>
      </c>
    </row>
  </sheetData>
  <mergeCells count="1">
    <mergeCell ref="A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topLeftCell="A94" zoomScale="70" zoomScaleNormal="70" workbookViewId="0">
      <selection activeCell="F33" sqref="F33"/>
    </sheetView>
  </sheetViews>
  <sheetFormatPr defaultColWidth="9.1796875" defaultRowHeight="14" x14ac:dyDescent="0.3"/>
  <cols>
    <col min="2" max="2" width="46.453125" customWidth="1"/>
    <col min="3" max="3" width="14.453125" bestFit="1" customWidth="1"/>
    <col min="4" max="4" width="17.453125" customWidth="1"/>
    <col min="5" max="5" width="14.81640625" customWidth="1"/>
    <col min="6" max="6" width="20.1796875" customWidth="1"/>
    <col min="7" max="7" width="17.453125" customWidth="1"/>
    <col min="8" max="8" width="19.453125" customWidth="1"/>
    <col min="9" max="9" width="16.453125" customWidth="1"/>
    <col min="10" max="10" width="15.453125" customWidth="1"/>
    <col min="11" max="11" width="18" customWidth="1"/>
    <col min="12" max="12" width="16" customWidth="1"/>
    <col min="13" max="13" width="15.453125" customWidth="1"/>
    <col min="21" max="21" width="43.453125" bestFit="1" customWidth="1"/>
  </cols>
  <sheetData>
    <row r="1" spans="1:19" ht="52.5" customHeight="1" x14ac:dyDescent="0.3">
      <c r="A1" s="419" t="s">
        <v>916</v>
      </c>
      <c r="B1" s="419"/>
      <c r="C1" s="419"/>
      <c r="D1" s="419"/>
      <c r="E1" s="419"/>
      <c r="F1" s="419"/>
      <c r="G1" s="419"/>
      <c r="H1" s="419"/>
      <c r="I1" s="419"/>
      <c r="J1" s="419"/>
      <c r="K1" s="419"/>
      <c r="L1" s="419"/>
      <c r="M1" s="419"/>
      <c r="N1" s="240"/>
      <c r="O1" s="240"/>
      <c r="P1" s="240"/>
      <c r="Q1" s="240"/>
      <c r="R1" s="240"/>
      <c r="S1" s="240"/>
    </row>
    <row r="2" spans="1:19" ht="28.5" customHeight="1" x14ac:dyDescent="0.3">
      <c r="A2" s="430"/>
      <c r="B2" s="430"/>
      <c r="C2" s="430"/>
      <c r="D2" s="430"/>
      <c r="E2" s="430"/>
      <c r="F2" s="430"/>
      <c r="G2" s="430"/>
      <c r="H2" s="430"/>
      <c r="I2" s="430"/>
      <c r="J2" s="430"/>
      <c r="K2" s="430"/>
      <c r="L2" s="430"/>
      <c r="M2" s="259"/>
      <c r="N2" s="241"/>
      <c r="O2" s="241"/>
      <c r="P2" s="241"/>
      <c r="Q2" s="241"/>
      <c r="R2" s="241"/>
      <c r="S2" s="241"/>
    </row>
    <row r="4" spans="1:19" ht="36" customHeight="1" x14ac:dyDescent="0.3">
      <c r="B4" s="36" t="s">
        <v>917</v>
      </c>
    </row>
    <row r="5" spans="1:19" ht="39" customHeight="1" x14ac:dyDescent="0.3">
      <c r="B5" s="243" t="s">
        <v>17</v>
      </c>
      <c r="C5" s="40"/>
    </row>
    <row r="6" spans="1:19" x14ac:dyDescent="0.3">
      <c r="H6" s="49"/>
    </row>
    <row r="7" spans="1:19" ht="25" x14ac:dyDescent="0.3">
      <c r="B7" s="280" t="s">
        <v>918</v>
      </c>
      <c r="C7" s="281"/>
      <c r="D7" s="281"/>
      <c r="E7" s="281"/>
      <c r="F7" s="282"/>
    </row>
    <row r="8" spans="1:19" ht="78.75" customHeight="1" x14ac:dyDescent="0.3">
      <c r="B8" s="62"/>
      <c r="C8" s="219" t="s">
        <v>919</v>
      </c>
      <c r="D8" s="63" t="s">
        <v>920</v>
      </c>
      <c r="E8" s="63" t="s">
        <v>921</v>
      </c>
      <c r="F8" s="63" t="s">
        <v>922</v>
      </c>
      <c r="G8" s="64"/>
      <c r="H8" s="219" t="s">
        <v>923</v>
      </c>
      <c r="I8" s="219" t="s">
        <v>924</v>
      </c>
      <c r="J8" s="64"/>
      <c r="K8" s="219" t="s">
        <v>925</v>
      </c>
      <c r="L8" s="219" t="s">
        <v>926</v>
      </c>
    </row>
    <row r="9" spans="1:19" x14ac:dyDescent="0.3">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3">
      <c r="B10" s="229" t="s">
        <v>927</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3">
      <c r="B11" s="68" t="s">
        <v>928</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 x14ac:dyDescent="0.3">
      <c r="B13" s="417" t="s">
        <v>929</v>
      </c>
      <c r="C13" s="418"/>
      <c r="D13" s="418"/>
      <c r="E13" s="418"/>
      <c r="F13" s="418"/>
      <c r="G13" s="418"/>
      <c r="H13" s="418"/>
      <c r="I13" s="418"/>
      <c r="J13" s="418"/>
      <c r="K13" s="418"/>
      <c r="L13" s="418"/>
      <c r="M13" s="418"/>
    </row>
    <row r="14" spans="1:19" ht="63.75" customHeight="1" x14ac:dyDescent="0.3">
      <c r="B14" s="69"/>
      <c r="C14" s="70" t="s">
        <v>930</v>
      </c>
      <c r="D14" s="70" t="s">
        <v>931</v>
      </c>
      <c r="E14" s="70" t="s">
        <v>932</v>
      </c>
      <c r="F14" s="70" t="s">
        <v>933</v>
      </c>
      <c r="G14" s="70" t="s">
        <v>934</v>
      </c>
      <c r="H14" s="70" t="s">
        <v>935</v>
      </c>
      <c r="I14" s="70" t="s">
        <v>936</v>
      </c>
      <c r="J14" s="71" t="s">
        <v>937</v>
      </c>
      <c r="K14" s="70" t="s">
        <v>938</v>
      </c>
      <c r="L14" s="70" t="s">
        <v>939</v>
      </c>
      <c r="M14" s="70" t="s">
        <v>940</v>
      </c>
    </row>
    <row r="15" spans="1:19" ht="20.25" customHeight="1" x14ac:dyDescent="0.3">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3">
      <c r="B16" s="229" t="s">
        <v>941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3">
      <c r="B17" s="62" t="s">
        <v>928</v>
      </c>
      <c r="C17" s="100" t="s">
        <v>942</v>
      </c>
      <c r="D17" s="100" t="s">
        <v>942</v>
      </c>
      <c r="E17" s="101" t="e">
        <f>+E15-E16</f>
        <v>#DIV/0!</v>
      </c>
      <c r="F17" s="100" t="s">
        <v>942</v>
      </c>
      <c r="G17" s="100" t="s">
        <v>942</v>
      </c>
      <c r="H17" s="101" t="e">
        <f>+H15-H16</f>
        <v>#DIV/0!</v>
      </c>
      <c r="I17" s="100" t="s">
        <v>942</v>
      </c>
      <c r="J17" s="101" t="e">
        <f>+J15-J16</f>
        <v>#DIV/0!</v>
      </c>
      <c r="K17" s="100" t="s">
        <v>942</v>
      </c>
      <c r="L17" s="100" t="s">
        <v>942</v>
      </c>
      <c r="M17" s="101" t="e">
        <f>+M15-M16</f>
        <v>#DIV/0!</v>
      </c>
    </row>
    <row r="19" spans="2:13" ht="23" x14ac:dyDescent="0.5">
      <c r="B19" s="413" t="s">
        <v>943</v>
      </c>
      <c r="C19" s="414"/>
      <c r="D19" s="414"/>
      <c r="E19" s="414"/>
      <c r="F19" s="414"/>
      <c r="G19" s="415"/>
      <c r="H19" s="416"/>
    </row>
    <row r="20" spans="2:13" ht="39" x14ac:dyDescent="0.3">
      <c r="B20" s="76"/>
      <c r="C20" s="63" t="s">
        <v>944</v>
      </c>
      <c r="D20" s="63" t="s">
        <v>945</v>
      </c>
      <c r="E20" s="63" t="s">
        <v>946</v>
      </c>
      <c r="F20" s="63" t="s">
        <v>947</v>
      </c>
      <c r="G20" s="219" t="s">
        <v>948</v>
      </c>
      <c r="H20" s="219" t="s">
        <v>949</v>
      </c>
    </row>
    <row r="21" spans="2:13" x14ac:dyDescent="0.3">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3">
      <c r="B22" s="230" t="s">
        <v>941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3">
      <c r="B23" s="83" t="s">
        <v>928</v>
      </c>
      <c r="C23" s="100" t="s">
        <v>942</v>
      </c>
      <c r="D23" s="100" t="s">
        <v>942</v>
      </c>
      <c r="E23" s="100" t="s">
        <v>942</v>
      </c>
      <c r="F23" s="104" t="s">
        <v>942</v>
      </c>
      <c r="G23" s="104" t="e">
        <f>+G21-G22</f>
        <v>#DIV/0!</v>
      </c>
      <c r="H23" s="100" t="s">
        <v>942</v>
      </c>
    </row>
    <row r="26" spans="2:13" ht="23" x14ac:dyDescent="0.5">
      <c r="B26" s="426" t="s">
        <v>950</v>
      </c>
      <c r="C26" s="426"/>
      <c r="D26" s="426"/>
      <c r="E26" s="426"/>
      <c r="F26" s="426"/>
      <c r="G26" s="426"/>
      <c r="H26" s="426"/>
      <c r="I26" s="426"/>
      <c r="J26" s="426"/>
      <c r="K26" s="426"/>
    </row>
    <row r="27" spans="2:13" ht="83.25" customHeight="1" x14ac:dyDescent="0.3">
      <c r="B27" s="84"/>
      <c r="C27" s="219" t="s">
        <v>951</v>
      </c>
      <c r="D27" s="219" t="s">
        <v>952</v>
      </c>
      <c r="E27" s="219" t="s">
        <v>953</v>
      </c>
      <c r="F27" s="219" t="s">
        <v>954</v>
      </c>
      <c r="G27" s="219" t="s">
        <v>955</v>
      </c>
      <c r="H27" s="219" t="s">
        <v>956</v>
      </c>
      <c r="I27" s="219" t="s">
        <v>957</v>
      </c>
      <c r="J27" s="219" t="s">
        <v>958</v>
      </c>
      <c r="K27" s="219" t="s">
        <v>959</v>
      </c>
    </row>
    <row r="28" spans="2:13" x14ac:dyDescent="0.3">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3">
      <c r="B29" s="229" t="s">
        <v>960</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3">
      <c r="B30" s="105" t="s">
        <v>928</v>
      </c>
      <c r="C30" s="100" t="s">
        <v>942</v>
      </c>
      <c r="D30" s="100" t="s">
        <v>942</v>
      </c>
      <c r="E30" s="99" t="e">
        <f>+E28-E29</f>
        <v>#DIV/0!</v>
      </c>
      <c r="F30" s="100" t="s">
        <v>942</v>
      </c>
      <c r="G30" s="100" t="s">
        <v>942</v>
      </c>
      <c r="H30" s="99" t="e">
        <f>+H28-H29</f>
        <v>#DIV/0!</v>
      </c>
      <c r="I30" s="100" t="s">
        <v>942</v>
      </c>
      <c r="J30" s="100" t="s">
        <v>942</v>
      </c>
      <c r="K30" s="99" t="e">
        <f>+K28-K29</f>
        <v>#DIV/0!</v>
      </c>
    </row>
    <row r="32" spans="2:13" ht="37.5" customHeight="1" x14ac:dyDescent="0.45">
      <c r="B32" s="427" t="s">
        <v>961</v>
      </c>
      <c r="C32" s="428"/>
      <c r="D32" s="428"/>
      <c r="F32" s="429" t="s">
        <v>962</v>
      </c>
      <c r="G32" s="429"/>
    </row>
    <row r="33" spans="2:7" ht="88.5" customHeight="1" x14ac:dyDescent="0.3">
      <c r="B33" s="76" t="s">
        <v>963</v>
      </c>
      <c r="C33" s="219" t="s">
        <v>964</v>
      </c>
      <c r="D33" s="219" t="s">
        <v>965</v>
      </c>
      <c r="E33" s="64"/>
      <c r="F33" s="215" t="s">
        <v>966</v>
      </c>
      <c r="G33" s="214">
        <f>COUNTIF('reductions data'!A:A,'divisional &amp; regional overview'!B5)</f>
        <v>0</v>
      </c>
    </row>
    <row r="34" spans="2:7" ht="25" x14ac:dyDescent="0.3">
      <c r="B34" s="112" t="s">
        <v>874</v>
      </c>
      <c r="C34" s="89">
        <f>COUNTIFS('reductions data'!$A:$A,'divisional &amp; regional overview'!$B$5,'reductions data'!$G:$G,'divisional &amp; regional overview'!B34)</f>
        <v>0</v>
      </c>
      <c r="D34" s="90">
        <f>SUMIFS('reductions data'!$H:$H,'reductions data'!$A:$A,$B$5,'reductions data'!$G:$G,'divisional &amp; regional overview'!B34)</f>
        <v>0</v>
      </c>
      <c r="E34" s="64"/>
      <c r="F34" s="215" t="s">
        <v>967</v>
      </c>
      <c r="G34" s="214">
        <f>SUMIF('reductions data'!A:A,B5,'reductions data'!H:H)</f>
        <v>0</v>
      </c>
    </row>
    <row r="35" spans="2:7" ht="25" x14ac:dyDescent="0.3">
      <c r="B35" s="113" t="s">
        <v>876</v>
      </c>
      <c r="C35" s="89">
        <f>COUNTIFS('reductions data'!$A:$A,'divisional &amp; regional overview'!$B$5,'reductions data'!$G:$G,'divisional &amp; regional overview'!B35)</f>
        <v>0</v>
      </c>
      <c r="D35" s="90">
        <f>SUMIFS('reductions data'!$H:$H,'reductions data'!$A:$A,$B$5,'reductions data'!$G:$G,'divisional &amp; regional overview'!B35)</f>
        <v>0</v>
      </c>
      <c r="E35" s="64"/>
      <c r="F35" s="213" t="s">
        <v>968</v>
      </c>
      <c r="G35" s="214">
        <f>SUMIF('capacity data'!A:A,B5,'capacity data'!I:I)</f>
        <v>0</v>
      </c>
    </row>
    <row r="36" spans="2:7" ht="25" x14ac:dyDescent="0.3">
      <c r="B36" s="113" t="s">
        <v>875</v>
      </c>
      <c r="C36" s="89">
        <f>COUNTIFS('reductions data'!$A:$A,'divisional &amp; regional overview'!$B$5,'reductions data'!$G:$G,'divisional &amp; regional overview'!B36)</f>
        <v>0</v>
      </c>
      <c r="D36" s="90">
        <f>SUMIFS('reductions data'!$H:$H,'reductions data'!$A:$A,$B$5,'reductions data'!$G:$G,'divisional &amp; regional overview'!B36)</f>
        <v>0</v>
      </c>
      <c r="E36" s="91"/>
      <c r="F36" s="213" t="s">
        <v>969</v>
      </c>
      <c r="G36" s="92" t="e">
        <f>G34/G35</f>
        <v>#DIV/0!</v>
      </c>
    </row>
    <row r="37" spans="2:7" x14ac:dyDescent="0.3">
      <c r="B37" s="113" t="s">
        <v>877</v>
      </c>
      <c r="C37" s="89">
        <f>COUNTIFS('reductions data'!$A:$A,'divisional &amp; regional overview'!$B$5,'reductions data'!$G:$G,'divisional &amp; regional overview'!B37)</f>
        <v>0</v>
      </c>
      <c r="D37" s="90">
        <f>SUMIFS('reductions data'!$H:$H,'reductions data'!$A:$A,$B$5,'reductions data'!$G:$G,'divisional &amp; regional overview'!B37)</f>
        <v>0</v>
      </c>
      <c r="E37" s="91"/>
      <c r="F37" s="422" t="s">
        <v>970</v>
      </c>
      <c r="G37" s="425" t="e">
        <f>+G36-'div &amp; regional reduction hours'!N18</f>
        <v>#DIV/0!</v>
      </c>
    </row>
    <row r="38" spans="2:7" ht="24" customHeight="1" x14ac:dyDescent="0.3">
      <c r="B38" s="113" t="s">
        <v>878</v>
      </c>
      <c r="C38" s="89">
        <f>COUNTIFS('reductions data'!$A:$A,'divisional &amp; regional overview'!$B$5,'reductions data'!$G:$G,'divisional &amp; regional overview'!B38)</f>
        <v>0</v>
      </c>
      <c r="D38" s="90">
        <f>SUMIFS('reductions data'!$H:$H,'reductions data'!$A:$A,$B$5,'reductions data'!$G:$G,'divisional &amp; regional overview'!B38)</f>
        <v>0</v>
      </c>
      <c r="E38" s="91"/>
      <c r="F38" s="423"/>
      <c r="G38" s="424"/>
    </row>
    <row r="39" spans="2:7" x14ac:dyDescent="0.3">
      <c r="B39" s="113" t="s">
        <v>879</v>
      </c>
      <c r="C39" s="89">
        <f>COUNTIFS('reductions data'!$A:$A,'divisional &amp; regional overview'!$B$5,'reductions data'!$G:$G,'divisional &amp; regional overview'!B39)</f>
        <v>0</v>
      </c>
      <c r="D39" s="90">
        <f>SUMIFS('reductions data'!$H:$H,'reductions data'!$A:$A,$B$5,'reductions data'!$G:$G,'divisional &amp; regional overview'!B39)</f>
        <v>0</v>
      </c>
      <c r="E39" s="91"/>
      <c r="F39" s="424"/>
      <c r="G39" s="424"/>
    </row>
    <row r="40" spans="2:7" x14ac:dyDescent="0.3">
      <c r="B40" s="113" t="s">
        <v>880</v>
      </c>
      <c r="C40" s="89">
        <f>COUNTIFS('reductions data'!$A:$A,'divisional &amp; regional overview'!$B$5,'reductions data'!$G:$G,'divisional &amp; regional overview'!B40)</f>
        <v>0</v>
      </c>
      <c r="D40" s="90">
        <f>SUMIFS('reductions data'!$H:$H,'reductions data'!$A:$A,$B$5,'reductions data'!$G:$G,'divisional &amp; regional overview'!B40)</f>
        <v>0</v>
      </c>
      <c r="E40" s="91"/>
      <c r="F40" s="424"/>
      <c r="G40" s="424"/>
    </row>
    <row r="41" spans="2:7" x14ac:dyDescent="0.3">
      <c r="B41" s="113" t="s">
        <v>881</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3">
      <c r="B42" s="113" t="s">
        <v>1238</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3">
      <c r="B43" s="113" t="s">
        <v>882</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3">
      <c r="B44" s="113" t="s">
        <v>883</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3">
      <c r="B45" s="113" t="s">
        <v>884</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3">
      <c r="B46" s="113" t="s">
        <v>885</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3">
      <c r="B47" s="113" t="s">
        <v>887</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3">
      <c r="B48" s="113" t="s">
        <v>890</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3">
      <c r="B49" s="113" t="s">
        <v>886</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3">
      <c r="B50" s="113" t="s">
        <v>971</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3">
      <c r="B51" s="113" t="s">
        <v>891</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3">
      <c r="B52" s="113" t="s">
        <v>892</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3">
      <c r="B53" s="113" t="s">
        <v>893</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3">
      <c r="B54" s="113" t="s">
        <v>894</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3">
      <c r="B55" s="113" t="s">
        <v>895</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3">
      <c r="B56" s="113" t="s">
        <v>896</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3">
      <c r="B57" s="113" t="s">
        <v>897</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3">
      <c r="B58" s="113" t="s">
        <v>1231</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3">
      <c r="B59" s="113" t="s">
        <v>1232</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3">
      <c r="B60" s="322" t="s">
        <v>1229</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3">
      <c r="B61" s="322" t="s">
        <v>1230</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3">
      <c r="B62" s="322" t="s">
        <v>1239</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3">
      <c r="B63" s="322" t="s">
        <v>1235</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3">
      <c r="B64" s="322" t="s">
        <v>1236</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3">
      <c r="B65" s="322" t="s">
        <v>1240</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3">
      <c r="B66" s="113" t="s">
        <v>1233</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3">
      <c r="B67" s="113" t="s">
        <v>1234</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3">
      <c r="B68" s="113" t="s">
        <v>899</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3">
      <c r="B69" s="113" t="s">
        <v>900</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3">
      <c r="B70" s="113" t="s">
        <v>901</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3">
      <c r="B71" s="113" t="s">
        <v>902</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3">
      <c r="B72" s="113" t="s">
        <v>903</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3">
      <c r="B73" s="113" t="s">
        <v>904</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3">
      <c r="B74" s="113" t="s">
        <v>898</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3">
      <c r="B75" s="113" t="s">
        <v>905</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3">
      <c r="B76" s="113" t="s">
        <v>906</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3">
      <c r="B77" s="113" t="s">
        <v>907</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3">
      <c r="B78" s="113" t="s">
        <v>908</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3">
      <c r="B79" s="113" t="s">
        <v>909</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3">
      <c r="B80" s="113" t="s">
        <v>910</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3">
      <c r="B81" s="113" t="s">
        <v>911</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5.5" x14ac:dyDescent="0.35">
      <c r="B82" s="113" t="s">
        <v>912</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5.5" x14ac:dyDescent="0.35">
      <c r="B83" s="323"/>
      <c r="C83" s="324"/>
      <c r="D83" s="325"/>
      <c r="E83" s="1"/>
      <c r="F83" s="1"/>
    </row>
    <row r="84" spans="2:19" ht="15.5" x14ac:dyDescent="0.35">
      <c r="B84" s="323"/>
      <c r="C84" s="324"/>
      <c r="D84" s="325"/>
      <c r="E84" s="1"/>
      <c r="F84" s="1"/>
    </row>
    <row r="85" spans="2:19" ht="27" customHeight="1" x14ac:dyDescent="0.3">
      <c r="B85" s="21"/>
      <c r="C85" s="431" t="s">
        <v>972</v>
      </c>
      <c r="D85" s="432"/>
      <c r="E85" s="432"/>
      <c r="F85" s="432"/>
      <c r="G85" s="432"/>
      <c r="H85" s="432"/>
      <c r="I85" s="432"/>
      <c r="J85" s="432"/>
      <c r="K85" s="432"/>
      <c r="L85" s="432"/>
      <c r="M85" s="432"/>
      <c r="N85" s="432"/>
      <c r="O85" s="432"/>
      <c r="P85" s="432"/>
      <c r="Q85" s="432"/>
      <c r="R85" s="432"/>
      <c r="S85" s="432"/>
    </row>
    <row r="86" spans="2:19" x14ac:dyDescent="0.3">
      <c r="B86" s="93" t="str">
        <f>B5</f>
        <v>East Midlands Region</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S86" s="38" t="s">
        <v>863</v>
      </c>
    </row>
    <row r="87" spans="2:19" x14ac:dyDescent="0.3">
      <c r="B87" s="75" t="s">
        <v>973</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3">
      <c r="B88" s="75" t="s">
        <v>974</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3">
      <c r="B89" s="75" t="s">
        <v>975</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3">
      <c r="B90" s="110" t="s">
        <v>976</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3">
      <c r="B91" s="21"/>
      <c r="C91" s="21"/>
      <c r="D91" s="21"/>
      <c r="E91" s="21"/>
      <c r="F91" s="21"/>
      <c r="G91" s="21"/>
      <c r="H91" s="21"/>
      <c r="I91" s="21"/>
      <c r="J91" s="21"/>
    </row>
    <row r="92" spans="2:19" ht="21.75" customHeight="1" x14ac:dyDescent="0.3">
      <c r="B92" s="21"/>
      <c r="C92" s="431" t="s">
        <v>977</v>
      </c>
      <c r="D92" s="432"/>
      <c r="E92" s="432"/>
      <c r="F92" s="432"/>
      <c r="G92" s="432"/>
      <c r="H92" s="432"/>
      <c r="I92" s="432"/>
      <c r="J92" s="432"/>
      <c r="K92" s="432"/>
      <c r="L92" s="432"/>
      <c r="M92" s="432"/>
      <c r="N92" s="432"/>
      <c r="O92" s="432"/>
      <c r="P92" s="432"/>
      <c r="Q92" s="432"/>
      <c r="R92" s="432"/>
    </row>
    <row r="93" spans="2:19" x14ac:dyDescent="0.3">
      <c r="B93" s="93" t="str">
        <f>B5</f>
        <v>East Midlands Region</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row>
    <row r="94" spans="2:19" x14ac:dyDescent="0.3">
      <c r="B94" s="75" t="s">
        <v>973</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3">
      <c r="B95" s="75" t="s">
        <v>974</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3">
      <c r="B96" s="75" t="s">
        <v>975</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3">
      <c r="B97" s="110" t="s">
        <v>976</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3">
      <c r="B98" s="21"/>
      <c r="C98" s="21"/>
      <c r="D98" s="21"/>
      <c r="E98" s="21"/>
      <c r="F98" s="21"/>
      <c r="G98" s="21"/>
      <c r="H98" s="21"/>
      <c r="I98" s="21"/>
      <c r="J98" s="21"/>
    </row>
    <row r="99" spans="2:37" ht="23.25" customHeight="1" x14ac:dyDescent="0.35">
      <c r="B99" s="52" t="str">
        <f>B5</f>
        <v>East Midlands Region</v>
      </c>
      <c r="C99" s="431" t="s">
        <v>980</v>
      </c>
      <c r="D99" s="432"/>
      <c r="E99" s="432"/>
      <c r="F99" s="432"/>
      <c r="G99" s="432"/>
      <c r="H99" s="432"/>
      <c r="I99" s="432"/>
      <c r="J99" s="432"/>
      <c r="K99" s="432"/>
      <c r="L99" s="432"/>
      <c r="M99" s="432"/>
      <c r="N99" s="432"/>
      <c r="O99" s="432"/>
      <c r="P99" s="432"/>
      <c r="Q99" s="432"/>
      <c r="R99" s="432"/>
      <c r="U99" s="52" t="str">
        <f>B5</f>
        <v>East Midlands Region</v>
      </c>
      <c r="V99" s="420" t="s">
        <v>981</v>
      </c>
      <c r="W99" s="421"/>
      <c r="X99" s="421"/>
      <c r="Y99" s="421"/>
      <c r="Z99" s="421"/>
      <c r="AA99" s="421"/>
      <c r="AB99" s="421"/>
      <c r="AC99" s="421"/>
      <c r="AD99" s="421"/>
      <c r="AE99" s="421"/>
      <c r="AF99" s="421"/>
      <c r="AG99" s="421"/>
      <c r="AH99" s="421"/>
      <c r="AI99" s="421"/>
      <c r="AJ99" s="421"/>
      <c r="AK99" s="421"/>
    </row>
    <row r="100" spans="2:37" ht="18" x14ac:dyDescent="0.4">
      <c r="B100" s="283"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U100" s="95" t="s">
        <v>983</v>
      </c>
      <c r="V100" s="38" t="s">
        <v>846</v>
      </c>
      <c r="W100" s="38" t="s">
        <v>847</v>
      </c>
      <c r="X100" s="38" t="s">
        <v>848</v>
      </c>
      <c r="Y100" s="38" t="s">
        <v>849</v>
      </c>
      <c r="Z100" s="38" t="s">
        <v>850</v>
      </c>
      <c r="AA100" s="38" t="s">
        <v>851</v>
      </c>
      <c r="AB100" s="38" t="s">
        <v>852</v>
      </c>
      <c r="AC100" s="38" t="s">
        <v>853</v>
      </c>
      <c r="AD100" s="38" t="s">
        <v>854</v>
      </c>
      <c r="AE100" s="38" t="s">
        <v>855</v>
      </c>
      <c r="AF100" s="38" t="s">
        <v>856</v>
      </c>
      <c r="AG100" s="38" t="s">
        <v>857</v>
      </c>
      <c r="AH100" s="38" t="s">
        <v>858</v>
      </c>
      <c r="AI100" s="38" t="s">
        <v>859</v>
      </c>
      <c r="AJ100" s="38" t="s">
        <v>860</v>
      </c>
      <c r="AK100" s="38" t="s">
        <v>861</v>
      </c>
    </row>
    <row r="101" spans="2:37" x14ac:dyDescent="0.3">
      <c r="B101" s="96" t="s">
        <v>979</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979</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3">
      <c r="B102" s="97" t="s">
        <v>984</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984</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3">
      <c r="B103" s="97" t="s">
        <v>985</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985</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3">
      <c r="B104" s="98" t="s">
        <v>986</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986</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3">
      <c r="B105" s="21"/>
    </row>
    <row r="106" spans="2:37" ht="25.5" customHeight="1" x14ac:dyDescent="0.4">
      <c r="B106" s="52" t="str">
        <f>B5</f>
        <v>East Midlands Region</v>
      </c>
      <c r="C106" s="433" t="s">
        <v>987</v>
      </c>
      <c r="D106" s="434"/>
      <c r="E106" s="434"/>
      <c r="F106" s="434"/>
      <c r="G106" s="434"/>
      <c r="H106" s="434"/>
      <c r="I106" s="434"/>
      <c r="J106" s="434"/>
      <c r="K106" s="434"/>
      <c r="L106" s="434"/>
      <c r="M106" s="434"/>
      <c r="N106" s="434"/>
      <c r="O106" s="434"/>
      <c r="P106" s="434"/>
      <c r="Q106" s="434"/>
      <c r="R106" s="434"/>
      <c r="S106" s="40"/>
      <c r="U106" s="52" t="str">
        <f>B5</f>
        <v>East Midlands Region</v>
      </c>
      <c r="V106" s="420" t="s">
        <v>981</v>
      </c>
      <c r="W106" s="421"/>
      <c r="X106" s="421"/>
      <c r="Y106" s="421"/>
      <c r="Z106" s="421"/>
      <c r="AA106" s="421"/>
      <c r="AB106" s="421"/>
      <c r="AC106" s="421"/>
      <c r="AD106" s="421"/>
      <c r="AE106" s="421"/>
      <c r="AF106" s="421"/>
      <c r="AG106" s="421"/>
      <c r="AH106" s="421"/>
      <c r="AI106" s="421"/>
      <c r="AJ106" s="421"/>
      <c r="AK106" s="421"/>
    </row>
    <row r="107" spans="2:37" ht="18" x14ac:dyDescent="0.4">
      <c r="B107" s="283" t="s">
        <v>982</v>
      </c>
      <c r="C107" s="38" t="s">
        <v>846</v>
      </c>
      <c r="D107" s="38" t="s">
        <v>847</v>
      </c>
      <c r="E107" s="38" t="s">
        <v>848</v>
      </c>
      <c r="F107" s="38" t="s">
        <v>849</v>
      </c>
      <c r="G107" s="38" t="s">
        <v>850</v>
      </c>
      <c r="H107" s="38" t="s">
        <v>851</v>
      </c>
      <c r="I107" s="38" t="s">
        <v>852</v>
      </c>
      <c r="J107" s="38" t="s">
        <v>853</v>
      </c>
      <c r="K107" s="38" t="s">
        <v>854</v>
      </c>
      <c r="L107" s="38" t="s">
        <v>855</v>
      </c>
      <c r="M107" s="38" t="s">
        <v>856</v>
      </c>
      <c r="N107" s="38" t="s">
        <v>857</v>
      </c>
      <c r="O107" s="38" t="s">
        <v>858</v>
      </c>
      <c r="P107" s="38" t="s">
        <v>859</v>
      </c>
      <c r="Q107" s="38" t="s">
        <v>860</v>
      </c>
      <c r="R107" s="38" t="s">
        <v>861</v>
      </c>
      <c r="S107" s="40"/>
      <c r="U107" s="95" t="s">
        <v>983</v>
      </c>
      <c r="V107" s="38" t="s">
        <v>846</v>
      </c>
      <c r="W107" s="38" t="s">
        <v>847</v>
      </c>
      <c r="X107" s="38" t="s">
        <v>848</v>
      </c>
      <c r="Y107" s="38" t="s">
        <v>849</v>
      </c>
      <c r="Z107" s="38" t="s">
        <v>850</v>
      </c>
      <c r="AA107" s="38" t="s">
        <v>851</v>
      </c>
      <c r="AB107" s="38" t="s">
        <v>852</v>
      </c>
      <c r="AC107" s="38" t="s">
        <v>853</v>
      </c>
      <c r="AD107" s="38" t="s">
        <v>854</v>
      </c>
      <c r="AE107" s="38" t="s">
        <v>855</v>
      </c>
      <c r="AF107" s="38" t="s">
        <v>856</v>
      </c>
      <c r="AG107" s="38" t="s">
        <v>857</v>
      </c>
      <c r="AH107" s="38" t="s">
        <v>858</v>
      </c>
      <c r="AI107" s="38" t="s">
        <v>859</v>
      </c>
      <c r="AJ107" s="38" t="s">
        <v>860</v>
      </c>
      <c r="AK107" s="38" t="s">
        <v>861</v>
      </c>
    </row>
    <row r="108" spans="2:37" x14ac:dyDescent="0.3">
      <c r="B108" s="96" t="s">
        <v>979</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979</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3">
      <c r="B109" s="97" t="s">
        <v>984</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984</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3">
      <c r="B110" s="97" t="s">
        <v>985</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985</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3">
      <c r="B111" s="98" t="s">
        <v>986</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986</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3">
      <c r="B112" s="21"/>
    </row>
    <row r="113" spans="2:37" ht="25.5" customHeight="1" x14ac:dyDescent="0.4">
      <c r="B113" s="52" t="str">
        <f>B5</f>
        <v>East Midlands Region</v>
      </c>
      <c r="C113" s="433" t="s">
        <v>988</v>
      </c>
      <c r="D113" s="434"/>
      <c r="E113" s="434"/>
      <c r="F113" s="434"/>
      <c r="G113" s="434"/>
      <c r="H113" s="434"/>
      <c r="I113" s="434"/>
      <c r="J113" s="434"/>
      <c r="K113" s="434"/>
      <c r="L113" s="434"/>
      <c r="M113" s="434"/>
      <c r="N113" s="434"/>
      <c r="O113" s="434"/>
      <c r="P113" s="434"/>
      <c r="Q113" s="434"/>
      <c r="R113" s="434"/>
      <c r="U113" s="52" t="str">
        <f>B5</f>
        <v>East Midlands Region</v>
      </c>
      <c r="V113" s="420" t="s">
        <v>981</v>
      </c>
      <c r="W113" s="421"/>
      <c r="X113" s="421"/>
      <c r="Y113" s="421"/>
      <c r="Z113" s="421"/>
      <c r="AA113" s="421"/>
      <c r="AB113" s="421"/>
      <c r="AC113" s="421"/>
      <c r="AD113" s="421"/>
      <c r="AE113" s="421"/>
      <c r="AF113" s="421"/>
      <c r="AG113" s="421"/>
      <c r="AH113" s="421"/>
      <c r="AI113" s="421"/>
      <c r="AJ113" s="421"/>
      <c r="AK113" s="421"/>
    </row>
    <row r="114" spans="2:37" ht="18" x14ac:dyDescent="0.4">
      <c r="B114" s="283" t="s">
        <v>982</v>
      </c>
      <c r="C114" s="38" t="s">
        <v>846</v>
      </c>
      <c r="D114" s="38" t="s">
        <v>847</v>
      </c>
      <c r="E114" s="38" t="s">
        <v>848</v>
      </c>
      <c r="F114" s="38" t="s">
        <v>849</v>
      </c>
      <c r="G114" s="38" t="s">
        <v>850</v>
      </c>
      <c r="H114" s="38" t="s">
        <v>851</v>
      </c>
      <c r="I114" s="38" t="s">
        <v>852</v>
      </c>
      <c r="J114" s="38" t="s">
        <v>853</v>
      </c>
      <c r="K114" s="38" t="s">
        <v>854</v>
      </c>
      <c r="L114" s="38" t="s">
        <v>855</v>
      </c>
      <c r="M114" s="38" t="s">
        <v>856</v>
      </c>
      <c r="N114" s="38" t="s">
        <v>857</v>
      </c>
      <c r="O114" s="38" t="s">
        <v>858</v>
      </c>
      <c r="P114" s="38" t="s">
        <v>859</v>
      </c>
      <c r="Q114" s="38" t="s">
        <v>860</v>
      </c>
      <c r="R114" s="38" t="s">
        <v>861</v>
      </c>
      <c r="U114" s="95" t="s">
        <v>983</v>
      </c>
      <c r="V114" s="38" t="s">
        <v>846</v>
      </c>
      <c r="W114" s="38" t="s">
        <v>847</v>
      </c>
      <c r="X114" s="38" t="s">
        <v>848</v>
      </c>
      <c r="Y114" s="38" t="s">
        <v>849</v>
      </c>
      <c r="Z114" s="38" t="s">
        <v>850</v>
      </c>
      <c r="AA114" s="38" t="s">
        <v>851</v>
      </c>
      <c r="AB114" s="38" t="s">
        <v>852</v>
      </c>
      <c r="AC114" s="38" t="s">
        <v>853</v>
      </c>
      <c r="AD114" s="38" t="s">
        <v>854</v>
      </c>
      <c r="AE114" s="38" t="s">
        <v>855</v>
      </c>
      <c r="AF114" s="38" t="s">
        <v>856</v>
      </c>
      <c r="AG114" s="38" t="s">
        <v>857</v>
      </c>
      <c r="AH114" s="38" t="s">
        <v>858</v>
      </c>
      <c r="AI114" s="38" t="s">
        <v>859</v>
      </c>
      <c r="AJ114" s="38" t="s">
        <v>860</v>
      </c>
      <c r="AK114" s="38" t="s">
        <v>861</v>
      </c>
    </row>
    <row r="115" spans="2:37" x14ac:dyDescent="0.3">
      <c r="B115" s="96" t="s">
        <v>979</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979</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3">
      <c r="B116" s="97" t="s">
        <v>984</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984</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3">
      <c r="B117" s="97" t="s">
        <v>985</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985</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3">
      <c r="B118" s="98" t="s">
        <v>986</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986</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3">
      <c r="B119" s="21"/>
    </row>
    <row r="120" spans="2:37" ht="21.75" customHeight="1" x14ac:dyDescent="0.4">
      <c r="B120" s="52" t="str">
        <f>B5</f>
        <v>East Midlands Region</v>
      </c>
      <c r="C120" s="433" t="s">
        <v>989</v>
      </c>
      <c r="D120" s="434"/>
      <c r="E120" s="434"/>
      <c r="F120" s="434"/>
      <c r="G120" s="434"/>
      <c r="H120" s="434"/>
      <c r="I120" s="434"/>
      <c r="J120" s="434"/>
      <c r="K120" s="434"/>
      <c r="L120" s="434"/>
      <c r="M120" s="434"/>
      <c r="N120" s="434"/>
      <c r="O120" s="434"/>
      <c r="P120" s="434"/>
      <c r="Q120" s="434"/>
      <c r="R120" s="434"/>
      <c r="U120" s="52" t="str">
        <f>B5</f>
        <v>East Midlands Region</v>
      </c>
      <c r="V120" s="420" t="s">
        <v>981</v>
      </c>
      <c r="W120" s="421"/>
      <c r="X120" s="421"/>
      <c r="Y120" s="421"/>
      <c r="Z120" s="421"/>
      <c r="AA120" s="421"/>
      <c r="AB120" s="421"/>
      <c r="AC120" s="421"/>
      <c r="AD120" s="421"/>
      <c r="AE120" s="421"/>
      <c r="AF120" s="421"/>
      <c r="AG120" s="421"/>
      <c r="AH120" s="421"/>
      <c r="AI120" s="421"/>
      <c r="AJ120" s="421"/>
      <c r="AK120" s="421"/>
    </row>
    <row r="121" spans="2:37" ht="18" x14ac:dyDescent="0.4">
      <c r="B121" s="283" t="s">
        <v>982</v>
      </c>
      <c r="C121" s="38" t="s">
        <v>846</v>
      </c>
      <c r="D121" s="38" t="s">
        <v>847</v>
      </c>
      <c r="E121" s="38" t="s">
        <v>848</v>
      </c>
      <c r="F121" s="38" t="s">
        <v>849</v>
      </c>
      <c r="G121" s="38" t="s">
        <v>850</v>
      </c>
      <c r="H121" s="38" t="s">
        <v>851</v>
      </c>
      <c r="I121" s="38" t="s">
        <v>852</v>
      </c>
      <c r="J121" s="38" t="s">
        <v>853</v>
      </c>
      <c r="K121" s="38" t="s">
        <v>854</v>
      </c>
      <c r="L121" s="38" t="s">
        <v>855</v>
      </c>
      <c r="M121" s="38" t="s">
        <v>856</v>
      </c>
      <c r="N121" s="38" t="s">
        <v>857</v>
      </c>
      <c r="O121" s="38" t="s">
        <v>858</v>
      </c>
      <c r="P121" s="38" t="s">
        <v>859</v>
      </c>
      <c r="Q121" s="38" t="s">
        <v>860</v>
      </c>
      <c r="R121" s="38" t="s">
        <v>861</v>
      </c>
      <c r="U121" s="95" t="s">
        <v>983</v>
      </c>
      <c r="V121" s="38" t="s">
        <v>846</v>
      </c>
      <c r="W121" s="38" t="s">
        <v>847</v>
      </c>
      <c r="X121" s="38" t="s">
        <v>848</v>
      </c>
      <c r="Y121" s="38" t="s">
        <v>849</v>
      </c>
      <c r="Z121" s="38" t="s">
        <v>850</v>
      </c>
      <c r="AA121" s="38" t="s">
        <v>851</v>
      </c>
      <c r="AB121" s="38" t="s">
        <v>852</v>
      </c>
      <c r="AC121" s="38" t="s">
        <v>853</v>
      </c>
      <c r="AD121" s="38" t="s">
        <v>854</v>
      </c>
      <c r="AE121" s="38" t="s">
        <v>855</v>
      </c>
      <c r="AF121" s="38" t="s">
        <v>856</v>
      </c>
      <c r="AG121" s="38" t="s">
        <v>857</v>
      </c>
      <c r="AH121" s="38" t="s">
        <v>858</v>
      </c>
      <c r="AI121" s="38" t="s">
        <v>859</v>
      </c>
      <c r="AJ121" s="38" t="s">
        <v>860</v>
      </c>
      <c r="AK121" s="38" t="s">
        <v>861</v>
      </c>
    </row>
    <row r="122" spans="2:37" x14ac:dyDescent="0.3">
      <c r="B122" s="96" t="s">
        <v>979</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979</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3">
      <c r="B123" s="97" t="s">
        <v>984</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984</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3">
      <c r="B124" s="97" t="s">
        <v>985</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985</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3">
      <c r="B125" s="98" t="s">
        <v>986</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986</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C120:R120"/>
    <mergeCell ref="C113:R113"/>
    <mergeCell ref="C106:R106"/>
    <mergeCell ref="V113:AK113"/>
    <mergeCell ref="V120:AK120"/>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zoomScale="75" zoomScaleNormal="75" workbookViewId="0">
      <selection activeCell="H15" sqref="H15:M15"/>
    </sheetView>
  </sheetViews>
  <sheetFormatPr defaultColWidth="9.1796875" defaultRowHeight="14" x14ac:dyDescent="0.3"/>
  <cols>
    <col min="2" max="2" width="48.453125" customWidth="1"/>
    <col min="3" max="3" width="14.81640625" customWidth="1"/>
    <col min="4" max="4" width="15.81640625" customWidth="1"/>
    <col min="5" max="5" width="14.81640625" customWidth="1"/>
    <col min="6" max="6" width="17.1796875" customWidth="1"/>
    <col min="7" max="7" width="11.453125" customWidth="1"/>
    <col min="8" max="8" width="24.453125" customWidth="1"/>
    <col min="9" max="9" width="20.453125" customWidth="1"/>
    <col min="10" max="10" width="18" customWidth="1"/>
    <col min="11" max="11" width="20.26953125" customWidth="1"/>
    <col min="12" max="12" width="16.26953125" customWidth="1"/>
    <col min="13" max="13" width="21.26953125" customWidth="1"/>
    <col min="14" max="14" width="23.81640625" customWidth="1"/>
    <col min="21" max="21" width="9.81640625" hidden="1" customWidth="1"/>
    <col min="22" max="22" width="43.7265625" hidden="1" customWidth="1"/>
    <col min="23" max="26" width="9.1796875" hidden="1" customWidth="1"/>
    <col min="27" max="27" width="0" hidden="1" customWidth="1"/>
  </cols>
  <sheetData>
    <row r="1" spans="1:26" ht="51.75" customHeight="1" x14ac:dyDescent="0.3">
      <c r="A1" s="435" t="s">
        <v>990</v>
      </c>
      <c r="B1" s="435"/>
      <c r="C1" s="435"/>
      <c r="D1" s="435"/>
      <c r="E1" s="435"/>
      <c r="F1" s="435"/>
      <c r="G1" s="435"/>
      <c r="H1" s="435"/>
      <c r="I1" s="435"/>
      <c r="J1" s="435"/>
      <c r="K1" s="435"/>
      <c r="L1" s="435"/>
      <c r="M1" s="244"/>
      <c r="N1" s="244"/>
      <c r="O1" s="244"/>
      <c r="P1" s="244"/>
      <c r="Q1" s="244"/>
      <c r="R1" s="244"/>
      <c r="S1" s="244"/>
    </row>
    <row r="2" spans="1:26" ht="28.5" customHeight="1" x14ac:dyDescent="0.3">
      <c r="A2" s="430"/>
      <c r="B2" s="430"/>
      <c r="C2" s="430"/>
      <c r="D2" s="430"/>
      <c r="E2" s="430"/>
      <c r="F2" s="430"/>
      <c r="G2" s="430"/>
      <c r="H2" s="430"/>
      <c r="I2" s="430"/>
      <c r="J2" s="430"/>
      <c r="K2" s="430"/>
      <c r="L2" s="430"/>
      <c r="M2" s="241"/>
      <c r="N2" s="241"/>
      <c r="O2" s="241"/>
      <c r="P2" s="241"/>
      <c r="Q2" s="241"/>
      <c r="R2" s="241"/>
      <c r="S2" s="241"/>
    </row>
    <row r="4" spans="1:26" ht="36" customHeight="1" x14ac:dyDescent="0.3">
      <c r="B4" s="36" t="s">
        <v>917</v>
      </c>
      <c r="H4" s="36"/>
      <c r="S4" s="317"/>
      <c r="V4" s="309" t="s">
        <v>1223</v>
      </c>
      <c r="W4" s="309" cm="1">
        <f t="array" ref="W4">SUM(SUMIFS('capacity data'!K:K,'capacity data'!A:A,B5,'capacity data'!E:E,{"PO","PSO"}))</f>
        <v>0</v>
      </c>
      <c r="X4" s="316"/>
      <c r="Y4" s="309" t="s">
        <v>1226</v>
      </c>
      <c r="Z4" s="309" cm="1">
        <f t="array" ref="Z4">SUM(SUMIFS('capacity data'!K:K,'capacity data'!E:E,{"PO","PSO"}))</f>
        <v>0</v>
      </c>
    </row>
    <row r="5" spans="1:26" ht="38.25" customHeight="1" x14ac:dyDescent="0.3">
      <c r="B5" s="242" t="s">
        <v>21</v>
      </c>
      <c r="C5" s="40"/>
      <c r="H5" s="40"/>
      <c r="I5" s="40"/>
      <c r="S5" s="317"/>
      <c r="V5" s="310" t="s">
        <v>1224</v>
      </c>
      <c r="W5" s="309" cm="1">
        <f t="array" ref="W5">SUM(SUMIFS('capacity data'!I:I,'capacity data'!A:A,B5,'capacity data'!E:E,{"PO","PSO"}))-SUM((SUMIFS('capacity data'!J:J,'capacity data'!A:A,B5,'capacity data'!E:E,{"PO","PSO"})))</f>
        <v>0</v>
      </c>
      <c r="X5" s="316"/>
      <c r="Y5" s="310" t="s">
        <v>1227</v>
      </c>
      <c r="Z5" s="309" cm="1">
        <f t="array" ref="Z5">SUM(SUMIFS('capacity data'!I:I,'capacity data'!E:E,{"PO","PSO"}))-SUM((SUMIFS('capacity data'!J:J,'capacity data'!E:E,{"PO","PSO"})))</f>
        <v>0</v>
      </c>
    </row>
    <row r="6" spans="1:26" ht="38.25" customHeight="1" x14ac:dyDescent="0.3">
      <c r="C6" s="40"/>
      <c r="S6" s="317"/>
      <c r="V6" s="309" t="s">
        <v>1225</v>
      </c>
      <c r="W6" s="309">
        <f>W5/37</f>
        <v>0</v>
      </c>
      <c r="X6" s="316"/>
      <c r="Y6" s="309" t="s">
        <v>1225</v>
      </c>
      <c r="Z6" s="309">
        <f>Z5/37</f>
        <v>0</v>
      </c>
    </row>
    <row r="7" spans="1:26" ht="28" customHeight="1" x14ac:dyDescent="0.3">
      <c r="B7" s="297" t="s">
        <v>991</v>
      </c>
      <c r="C7" s="281"/>
      <c r="D7" s="281"/>
      <c r="E7" s="281"/>
      <c r="F7" s="280"/>
      <c r="H7" s="438" t="s">
        <v>992</v>
      </c>
      <c r="I7" s="439"/>
      <c r="J7" s="439"/>
      <c r="K7" s="439"/>
      <c r="L7" s="439"/>
      <c r="M7" s="439"/>
      <c r="N7" s="439"/>
      <c r="O7" s="317"/>
      <c r="P7" s="317"/>
      <c r="Q7" s="317"/>
      <c r="R7" s="317"/>
      <c r="S7" s="317"/>
    </row>
    <row r="8" spans="1:26" ht="43.5" customHeight="1" x14ac:dyDescent="0.3">
      <c r="B8" s="62"/>
      <c r="C8" s="219" t="s">
        <v>993</v>
      </c>
      <c r="D8" s="219" t="s">
        <v>994</v>
      </c>
      <c r="E8" s="219" t="s">
        <v>995</v>
      </c>
      <c r="F8" s="219" t="s">
        <v>996</v>
      </c>
      <c r="G8" s="64"/>
      <c r="H8" s="62"/>
      <c r="I8" s="219" t="s">
        <v>997</v>
      </c>
      <c r="J8" s="63" t="s">
        <v>998</v>
      </c>
      <c r="K8" s="63" t="s">
        <v>999</v>
      </c>
      <c r="L8" s="63" t="s">
        <v>1000</v>
      </c>
      <c r="M8" s="219" t="s">
        <v>1001</v>
      </c>
      <c r="N8" s="219" t="s">
        <v>1222</v>
      </c>
      <c r="O8" s="64"/>
      <c r="P8" s="64"/>
      <c r="Q8" s="64"/>
      <c r="R8" s="64"/>
      <c r="S8" s="64"/>
      <c r="T8" s="64"/>
    </row>
    <row r="9" spans="1:26" ht="20.25" customHeight="1" x14ac:dyDescent="0.3">
      <c r="B9" s="306"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6"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3" t="e" cm="1">
        <f t="array" ref="M9">SUM(SUMIFS('capacity data'!F:F, 'capacity data'!E:E, {"PO","PSO"},'capacity data'!F:F, "&lt;&gt;0", 'capacity data'!A:A, B5)) / SUM(COUNTIFS('capacity data'!E:E, {"PO","PSO"},'capacity data'!F:F, "&lt;&gt;0",'capacity data'!A:A, B5))</f>
        <v>#DIV/0!</v>
      </c>
      <c r="N9" s="311" t="e">
        <f>W4/W6</f>
        <v>#DIV/0!</v>
      </c>
      <c r="O9" s="64"/>
      <c r="P9" s="64"/>
      <c r="Q9" s="64"/>
      <c r="R9" s="64"/>
      <c r="S9" s="64"/>
      <c r="T9" s="64"/>
    </row>
    <row r="10" spans="1:26" ht="18" customHeight="1" x14ac:dyDescent="0.3">
      <c r="B10" s="229" t="s">
        <v>1002</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1002</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3" t="e" cm="1">
        <f t="array" ref="M10">SUM(SUMIFS('capacity data'!F:F,'capacity data'!E:E,{"PO","PSO"},'capacity data'!F:F,"&lt;&gt;0"))/SUM(COUNTIFS('capacity data'!E:E,{"PO","PSO"},'capacity data'!F:F,"&lt;&gt;0"))</f>
        <v>#DIV/0!</v>
      </c>
      <c r="N10" s="311" t="e">
        <f>Z4/Z6</f>
        <v>#DIV/0!</v>
      </c>
      <c r="O10" s="64"/>
      <c r="P10" s="64"/>
      <c r="Q10" s="64"/>
      <c r="R10" s="64"/>
      <c r="S10" s="64"/>
      <c r="T10" s="64"/>
    </row>
    <row r="11" spans="1:26" ht="17.25" customHeight="1" x14ac:dyDescent="0.3">
      <c r="B11" s="68" t="s">
        <v>928</v>
      </c>
      <c r="C11" s="235" t="e">
        <f>C9-C10</f>
        <v>#DIV/0!</v>
      </c>
      <c r="D11" s="235" t="e">
        <f t="shared" ref="D11:F11" si="0">D9-D10</f>
        <v>#DIV/0!</v>
      </c>
      <c r="E11" s="235" t="e">
        <f t="shared" si="0"/>
        <v>#DIV/0!</v>
      </c>
      <c r="F11" s="235" t="e">
        <f t="shared" si="0"/>
        <v>#DIV/0!</v>
      </c>
      <c r="G11" s="64"/>
      <c r="H11" s="68" t="s">
        <v>928</v>
      </c>
      <c r="I11" s="102" t="e">
        <f>I9-I10</f>
        <v>#DIV/0!</v>
      </c>
      <c r="J11" s="102" t="e">
        <f t="shared" ref="J11:K11" si="1">J9-J10</f>
        <v>#DIV/0!</v>
      </c>
      <c r="K11" s="102" t="e">
        <f t="shared" si="1"/>
        <v>#DIV/0!</v>
      </c>
      <c r="L11" s="102" t="e">
        <f>L9-L10</f>
        <v>#DIV/0!</v>
      </c>
      <c r="M11" s="102" t="e">
        <f>M9-M10</f>
        <v>#DIV/0!</v>
      </c>
      <c r="N11" s="312" t="e">
        <f>N9-N10</f>
        <v>#DIV/0!</v>
      </c>
      <c r="O11" s="64"/>
      <c r="P11" s="64"/>
      <c r="Q11" s="64"/>
      <c r="R11" s="64"/>
      <c r="S11" s="64"/>
      <c r="T11" s="64"/>
    </row>
    <row r="12" spans="1:26" ht="17.25" customHeight="1" x14ac:dyDescent="0.3">
      <c r="B12" s="64"/>
      <c r="C12" s="64"/>
      <c r="D12" s="238"/>
      <c r="E12" s="238"/>
      <c r="F12" s="238"/>
      <c r="G12" s="64"/>
      <c r="H12" s="64"/>
      <c r="I12" s="64"/>
      <c r="J12" s="64"/>
      <c r="K12" s="64"/>
      <c r="L12" s="64"/>
      <c r="M12" s="64"/>
      <c r="N12" s="64"/>
      <c r="O12" s="64"/>
      <c r="P12" s="64"/>
      <c r="Q12" s="64"/>
      <c r="R12" s="64"/>
      <c r="S12" s="238"/>
      <c r="T12" s="238"/>
      <c r="U12" s="238"/>
      <c r="V12" s="238"/>
    </row>
    <row r="13" spans="1:26" ht="17.25" customHeight="1" x14ac:dyDescent="0.3">
      <c r="B13" s="64"/>
      <c r="C13" s="64"/>
      <c r="D13" s="238"/>
      <c r="E13" s="238"/>
      <c r="F13" s="238"/>
      <c r="G13" s="64"/>
      <c r="H13" s="64"/>
      <c r="I13" s="64"/>
      <c r="J13" s="64"/>
      <c r="K13" s="64"/>
      <c r="L13" s="64"/>
      <c r="M13" s="64"/>
      <c r="N13" s="64"/>
      <c r="O13" s="64"/>
      <c r="P13" s="64"/>
      <c r="Q13" s="64"/>
      <c r="R13" s="64"/>
      <c r="S13" s="238"/>
      <c r="T13" s="238"/>
      <c r="U13" s="238"/>
      <c r="V13" s="238"/>
    </row>
    <row r="14" spans="1:26" ht="25" customHeight="1" x14ac:dyDescent="0.3">
      <c r="B14" s="297" t="s">
        <v>1003</v>
      </c>
      <c r="C14" s="295"/>
      <c r="D14" s="295"/>
      <c r="E14" s="295"/>
      <c r="F14" s="294"/>
      <c r="G14" s="64"/>
      <c r="H14" s="64"/>
      <c r="I14" s="64"/>
      <c r="J14" s="238"/>
      <c r="K14" s="238"/>
      <c r="L14" s="238"/>
      <c r="M14" s="238"/>
      <c r="N14" s="238"/>
      <c r="O14" s="64"/>
      <c r="P14" s="64"/>
      <c r="Q14" s="64"/>
      <c r="R14" s="238"/>
      <c r="S14" s="238"/>
      <c r="T14" s="238"/>
      <c r="U14" s="238"/>
      <c r="V14" s="238"/>
    </row>
    <row r="15" spans="1:26" ht="39.75" customHeight="1" x14ac:dyDescent="0.3">
      <c r="B15" s="62"/>
      <c r="C15" s="219" t="s">
        <v>993</v>
      </c>
      <c r="D15" s="219" t="s">
        <v>994</v>
      </c>
      <c r="E15" s="219" t="s">
        <v>995</v>
      </c>
      <c r="F15" s="219" t="s">
        <v>996</v>
      </c>
      <c r="G15" s="64"/>
      <c r="H15" s="438" t="s">
        <v>1004</v>
      </c>
      <c r="I15" s="439"/>
      <c r="J15" s="439"/>
      <c r="K15" s="439"/>
      <c r="L15" s="439"/>
      <c r="M15" s="439"/>
      <c r="N15" s="238"/>
      <c r="O15" s="64"/>
      <c r="P15" s="64"/>
      <c r="Q15" s="64"/>
      <c r="R15" s="238"/>
      <c r="S15" s="238"/>
      <c r="T15" s="238"/>
      <c r="U15" s="238"/>
      <c r="V15" s="238"/>
    </row>
    <row r="16" spans="1:26" ht="17.25" customHeight="1" x14ac:dyDescent="0.3">
      <c r="B16" s="306"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7" t="str">
        <f>B5</f>
        <v>London</v>
      </c>
      <c r="I16" s="219" t="s">
        <v>975</v>
      </c>
      <c r="J16" s="219" t="s">
        <v>974</v>
      </c>
      <c r="K16" s="219" t="s">
        <v>973</v>
      </c>
      <c r="L16" s="219" t="s">
        <v>1321</v>
      </c>
      <c r="M16" s="219" t="s">
        <v>976</v>
      </c>
      <c r="N16" s="238"/>
      <c r="O16" s="238"/>
      <c r="P16" s="64"/>
      <c r="Q16" s="64"/>
      <c r="R16" s="64"/>
      <c r="S16" s="238"/>
      <c r="T16" s="238"/>
      <c r="U16" s="238"/>
      <c r="V16" s="238"/>
      <c r="W16" s="238"/>
    </row>
    <row r="17" spans="2:23" ht="17.25" customHeight="1" x14ac:dyDescent="0.3">
      <c r="B17" s="229" t="s">
        <v>1002</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1005</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25" customHeight="1" x14ac:dyDescent="0.3">
      <c r="B18" s="68" t="s">
        <v>928</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25" customHeight="1" x14ac:dyDescent="0.3">
      <c r="B19" s="64"/>
      <c r="C19" s="238"/>
      <c r="D19" s="64"/>
      <c r="E19" s="64"/>
      <c r="F19" s="64"/>
      <c r="G19" s="64"/>
      <c r="H19" s="64"/>
      <c r="I19" s="64"/>
      <c r="J19" s="64"/>
      <c r="K19" s="64"/>
      <c r="L19" s="64"/>
      <c r="M19" s="64"/>
      <c r="N19" s="64"/>
      <c r="O19" s="64"/>
      <c r="P19" s="64"/>
      <c r="Q19" s="64"/>
      <c r="R19" s="238"/>
      <c r="S19" s="238"/>
      <c r="T19" s="238"/>
      <c r="U19" s="238"/>
      <c r="V19" s="238"/>
    </row>
    <row r="20" spans="2:23" ht="32.25" customHeight="1" x14ac:dyDescent="0.3">
      <c r="B20" s="297" t="s">
        <v>1006</v>
      </c>
      <c r="C20" s="295"/>
      <c r="D20" s="295"/>
      <c r="E20" s="295"/>
      <c r="F20" s="294"/>
      <c r="G20" s="64"/>
      <c r="H20" s="296"/>
      <c r="I20" s="64"/>
      <c r="J20" s="64"/>
      <c r="K20" s="64"/>
      <c r="L20" s="64"/>
      <c r="M20" s="64"/>
      <c r="N20" s="64"/>
      <c r="O20" s="64"/>
      <c r="P20" s="64"/>
      <c r="Q20" s="64"/>
      <c r="R20" s="64"/>
      <c r="S20" s="64"/>
      <c r="T20" s="64"/>
    </row>
    <row r="21" spans="2:23" ht="43.5" customHeight="1" x14ac:dyDescent="0.3">
      <c r="B21" s="62"/>
      <c r="C21" s="219" t="s">
        <v>993</v>
      </c>
      <c r="D21" s="219" t="s">
        <v>994</v>
      </c>
      <c r="E21" s="219" t="s">
        <v>995</v>
      </c>
      <c r="F21" s="219" t="s">
        <v>996</v>
      </c>
      <c r="G21" s="64"/>
      <c r="H21" s="64"/>
      <c r="I21" s="64"/>
      <c r="J21" s="64"/>
      <c r="K21" s="64"/>
      <c r="L21" s="64"/>
      <c r="M21" s="64"/>
      <c r="N21" s="64"/>
      <c r="O21" s="64"/>
      <c r="P21" s="64"/>
      <c r="Q21" s="64"/>
      <c r="R21" s="64"/>
      <c r="S21" s="64"/>
      <c r="T21" s="64"/>
    </row>
    <row r="22" spans="2:23" ht="15" customHeight="1" x14ac:dyDescent="0.3">
      <c r="B22" s="306"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3">
      <c r="B23" s="229" t="s">
        <v>1002</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3">
      <c r="B24" s="68" t="s">
        <v>928</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3">
      <c r="B25" s="64"/>
      <c r="C25" s="64"/>
      <c r="D25" s="64"/>
      <c r="E25" s="64"/>
      <c r="F25" s="64"/>
      <c r="G25" s="64"/>
      <c r="H25" s="64"/>
      <c r="I25" s="64"/>
      <c r="J25" s="238"/>
      <c r="K25" s="238"/>
      <c r="L25" s="238"/>
      <c r="M25" s="238"/>
      <c r="N25" s="238"/>
      <c r="O25" s="64"/>
      <c r="P25" s="64"/>
      <c r="Q25" s="64"/>
      <c r="R25" s="64"/>
      <c r="S25" s="64"/>
      <c r="T25" s="64"/>
    </row>
    <row r="26" spans="2:23" ht="28.5" customHeight="1" x14ac:dyDescent="0.3">
      <c r="B26" s="297" t="s">
        <v>1007</v>
      </c>
      <c r="C26" s="295"/>
      <c r="D26" s="295"/>
      <c r="E26" s="295"/>
      <c r="F26" s="294"/>
      <c r="G26" s="64"/>
      <c r="H26" s="64"/>
      <c r="I26" s="64"/>
      <c r="J26" s="238"/>
      <c r="K26" s="238"/>
      <c r="L26" s="238"/>
      <c r="M26" s="238"/>
      <c r="N26" s="238"/>
      <c r="O26" s="64"/>
      <c r="P26" s="64"/>
      <c r="Q26" s="64"/>
      <c r="R26" s="64"/>
      <c r="S26" s="64"/>
      <c r="T26" s="64"/>
    </row>
    <row r="27" spans="2:23" ht="49" customHeight="1" x14ac:dyDescent="0.3">
      <c r="B27" s="306" t="str">
        <f>B5</f>
        <v>London</v>
      </c>
      <c r="C27" s="219" t="s">
        <v>993</v>
      </c>
      <c r="D27" s="219" t="s">
        <v>994</v>
      </c>
      <c r="E27" s="219" t="s">
        <v>995</v>
      </c>
      <c r="F27" s="219" t="s">
        <v>996</v>
      </c>
      <c r="G27" s="64"/>
      <c r="H27" s="64"/>
      <c r="I27" s="64"/>
      <c r="J27" s="238"/>
      <c r="K27" s="238"/>
      <c r="L27" s="238"/>
      <c r="M27" s="238"/>
      <c r="N27" s="238"/>
      <c r="O27" s="64"/>
      <c r="P27" s="64"/>
      <c r="Q27" s="64"/>
      <c r="R27" s="64"/>
      <c r="S27" s="64"/>
      <c r="T27" s="64"/>
    </row>
    <row r="28" spans="2:23" ht="15" customHeight="1" x14ac:dyDescent="0.3">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3">
      <c r="B29" s="229" t="s">
        <v>1002</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3">
      <c r="B30" s="68" t="s">
        <v>928</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3">
      <c r="B31" s="64"/>
      <c r="C31" s="64"/>
      <c r="D31" s="64"/>
      <c r="E31" s="64"/>
      <c r="F31" s="64"/>
      <c r="G31" s="64"/>
      <c r="H31" s="64"/>
      <c r="I31" s="64"/>
      <c r="J31" s="238"/>
      <c r="K31" s="238"/>
      <c r="L31" s="238"/>
      <c r="M31" s="238"/>
      <c r="N31" s="238"/>
      <c r="O31" s="64"/>
      <c r="P31" s="64"/>
      <c r="Q31" s="64"/>
      <c r="R31" s="64"/>
      <c r="S31" s="64"/>
      <c r="T31" s="64"/>
    </row>
    <row r="32" spans="2:23" ht="15" customHeight="1" x14ac:dyDescent="0.3">
      <c r="B32" s="64"/>
      <c r="C32" s="64"/>
      <c r="D32" s="64"/>
      <c r="E32" s="64"/>
      <c r="F32" s="64"/>
      <c r="G32" s="64"/>
      <c r="H32" s="64"/>
      <c r="I32" s="64"/>
      <c r="J32" s="238"/>
      <c r="K32" s="238"/>
      <c r="L32" s="238"/>
      <c r="M32" s="238"/>
      <c r="N32" s="238"/>
      <c r="O32" s="64"/>
      <c r="P32" s="64"/>
      <c r="Q32" s="64"/>
      <c r="R32" s="64"/>
      <c r="S32" s="64"/>
      <c r="T32" s="64"/>
    </row>
    <row r="33" spans="2:20" ht="15.75" customHeight="1" x14ac:dyDescent="0.3">
      <c r="B33" s="64"/>
      <c r="C33" s="64"/>
      <c r="D33" s="64"/>
      <c r="E33" s="64"/>
      <c r="F33" s="64"/>
      <c r="G33" s="64"/>
      <c r="H33" s="64"/>
      <c r="I33" s="64"/>
      <c r="J33" s="64"/>
      <c r="K33" s="64"/>
      <c r="L33" s="64"/>
      <c r="M33" s="64"/>
      <c r="N33" s="64"/>
      <c r="O33" s="64"/>
      <c r="P33" s="64"/>
      <c r="Q33" s="64"/>
      <c r="R33" s="64"/>
      <c r="S33" s="64"/>
      <c r="T33" s="64"/>
    </row>
    <row r="34" spans="2:20" ht="29.25" customHeight="1" x14ac:dyDescent="0.3">
      <c r="B34" s="367" t="str">
        <f>B5</f>
        <v>London</v>
      </c>
      <c r="C34" s="436" t="s">
        <v>989</v>
      </c>
      <c r="D34" s="437"/>
      <c r="E34" s="437"/>
      <c r="F34" s="437"/>
      <c r="G34" s="437"/>
      <c r="H34" s="437"/>
      <c r="I34" s="437"/>
      <c r="J34" s="437"/>
      <c r="K34" s="437"/>
      <c r="L34" s="437"/>
      <c r="M34" s="437"/>
      <c r="N34" s="437"/>
      <c r="O34" s="437"/>
      <c r="P34" s="437"/>
      <c r="Q34" s="437"/>
      <c r="R34" s="437"/>
      <c r="S34" s="437"/>
      <c r="T34" s="437"/>
    </row>
    <row r="35" spans="2:20" x14ac:dyDescent="0.3">
      <c r="B35" s="368" t="s">
        <v>983</v>
      </c>
      <c r="C35" s="288" t="s">
        <v>846</v>
      </c>
      <c r="D35" s="288" t="s">
        <v>847</v>
      </c>
      <c r="E35" s="288" t="s">
        <v>848</v>
      </c>
      <c r="F35" s="288" t="s">
        <v>849</v>
      </c>
      <c r="G35" s="288" t="s">
        <v>850</v>
      </c>
      <c r="H35" s="288" t="s">
        <v>851</v>
      </c>
      <c r="I35" s="288" t="s">
        <v>852</v>
      </c>
      <c r="J35" s="288" t="s">
        <v>853</v>
      </c>
      <c r="K35" s="288" t="s">
        <v>854</v>
      </c>
      <c r="L35" s="288" t="s">
        <v>855</v>
      </c>
      <c r="M35" s="288" t="s">
        <v>856</v>
      </c>
      <c r="N35" s="288" t="s">
        <v>857</v>
      </c>
      <c r="O35" s="288" t="s">
        <v>858</v>
      </c>
      <c r="P35" s="288" t="s">
        <v>859</v>
      </c>
      <c r="Q35" s="288" t="s">
        <v>860</v>
      </c>
      <c r="R35" s="288" t="s">
        <v>861</v>
      </c>
      <c r="S35" s="288" t="s">
        <v>1008</v>
      </c>
      <c r="T35" s="288" t="s">
        <v>941</v>
      </c>
    </row>
    <row r="36" spans="2:20" x14ac:dyDescent="0.3">
      <c r="B36" s="365" t="s">
        <v>979</v>
      </c>
      <c r="C36" s="366">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3">
      <c r="B37" s="365" t="s">
        <v>984</v>
      </c>
      <c r="C37" s="366">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3">
      <c r="B38" s="365" t="s">
        <v>985</v>
      </c>
      <c r="C38" s="366">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3">
      <c r="B39" s="365" t="s">
        <v>986</v>
      </c>
      <c r="C39" s="366">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3">
      <c r="B40" s="144" t="s">
        <v>1320</v>
      </c>
      <c r="C40" s="366">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3">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3">
      <c r="B42" s="367" t="str">
        <f>B5</f>
        <v>London</v>
      </c>
      <c r="C42" s="436" t="s">
        <v>1009</v>
      </c>
      <c r="D42" s="437"/>
      <c r="E42" s="437"/>
      <c r="F42" s="437"/>
      <c r="G42" s="437"/>
      <c r="H42" s="437"/>
      <c r="I42" s="437"/>
      <c r="J42" s="437"/>
      <c r="K42" s="437"/>
      <c r="L42" s="437"/>
      <c r="M42" s="437"/>
      <c r="N42" s="437"/>
      <c r="O42" s="437"/>
      <c r="P42" s="437"/>
      <c r="Q42" s="437"/>
      <c r="R42" s="437"/>
      <c r="S42" s="437"/>
      <c r="T42" s="437"/>
    </row>
    <row r="43" spans="2:20" x14ac:dyDescent="0.3">
      <c r="B43" s="368" t="s">
        <v>983</v>
      </c>
      <c r="C43" s="288" t="s">
        <v>846</v>
      </c>
      <c r="D43" s="288" t="s">
        <v>847</v>
      </c>
      <c r="E43" s="288" t="s">
        <v>848</v>
      </c>
      <c r="F43" s="288" t="s">
        <v>849</v>
      </c>
      <c r="G43" s="288" t="s">
        <v>850</v>
      </c>
      <c r="H43" s="288" t="s">
        <v>851</v>
      </c>
      <c r="I43" s="288" t="s">
        <v>852</v>
      </c>
      <c r="J43" s="288" t="s">
        <v>853</v>
      </c>
      <c r="K43" s="288" t="s">
        <v>854</v>
      </c>
      <c r="L43" s="288" t="s">
        <v>855</v>
      </c>
      <c r="M43" s="288" t="s">
        <v>856</v>
      </c>
      <c r="N43" s="288" t="s">
        <v>857</v>
      </c>
      <c r="O43" s="288" t="s">
        <v>858</v>
      </c>
      <c r="P43" s="288" t="s">
        <v>859</v>
      </c>
      <c r="Q43" s="288" t="s">
        <v>860</v>
      </c>
      <c r="R43" s="288" t="s">
        <v>861</v>
      </c>
      <c r="S43" s="288" t="s">
        <v>1008</v>
      </c>
      <c r="T43" s="288" t="s">
        <v>941</v>
      </c>
    </row>
    <row r="44" spans="2:20" x14ac:dyDescent="0.3">
      <c r="B44" s="365" t="s">
        <v>979</v>
      </c>
      <c r="C44" s="366">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3">
      <c r="B45" s="365" t="s">
        <v>984</v>
      </c>
      <c r="C45" s="366">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3">
      <c r="B46" s="365" t="s">
        <v>985</v>
      </c>
      <c r="C46" s="366">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3">
      <c r="B47" s="365" t="s">
        <v>986</v>
      </c>
      <c r="C47" s="366">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3">
      <c r="B48" s="144" t="s">
        <v>1320</v>
      </c>
      <c r="C48" s="366">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3">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3">
      <c r="B50" s="298" t="str">
        <f>B5</f>
        <v>London</v>
      </c>
      <c r="C50" s="436" t="s">
        <v>1010</v>
      </c>
      <c r="D50" s="437"/>
      <c r="E50" s="437"/>
      <c r="F50" s="437"/>
      <c r="G50" s="437"/>
      <c r="H50" s="437"/>
      <c r="I50" s="437"/>
      <c r="J50" s="437"/>
      <c r="K50" s="437"/>
      <c r="L50" s="437"/>
      <c r="M50" s="437"/>
      <c r="N50" s="437"/>
      <c r="O50" s="437"/>
      <c r="P50" s="437"/>
      <c r="Q50" s="437"/>
      <c r="R50" s="437"/>
      <c r="S50" s="437"/>
      <c r="T50" s="437"/>
    </row>
    <row r="51" spans="2:20" x14ac:dyDescent="0.3">
      <c r="B51" s="95" t="s">
        <v>983</v>
      </c>
      <c r="C51" s="288" t="s">
        <v>846</v>
      </c>
      <c r="D51" s="288" t="s">
        <v>847</v>
      </c>
      <c r="E51" s="288" t="s">
        <v>848</v>
      </c>
      <c r="F51" s="288" t="s">
        <v>849</v>
      </c>
      <c r="G51" s="288" t="s">
        <v>850</v>
      </c>
      <c r="H51" s="288" t="s">
        <v>851</v>
      </c>
      <c r="I51" s="288" t="s">
        <v>852</v>
      </c>
      <c r="J51" s="288" t="s">
        <v>853</v>
      </c>
      <c r="K51" s="288" t="s">
        <v>854</v>
      </c>
      <c r="L51" s="288" t="s">
        <v>855</v>
      </c>
      <c r="M51" s="288" t="s">
        <v>856</v>
      </c>
      <c r="N51" s="288" t="s">
        <v>857</v>
      </c>
      <c r="O51" s="288" t="s">
        <v>858</v>
      </c>
      <c r="P51" s="288" t="s">
        <v>859</v>
      </c>
      <c r="Q51" s="288" t="s">
        <v>860</v>
      </c>
      <c r="R51" s="288" t="s">
        <v>861</v>
      </c>
      <c r="S51" s="288" t="s">
        <v>1008</v>
      </c>
      <c r="T51" s="288" t="s">
        <v>941</v>
      </c>
    </row>
    <row r="52" spans="2:20" x14ac:dyDescent="0.3">
      <c r="B52" s="365" t="s">
        <v>979</v>
      </c>
      <c r="C52" s="366">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3">
      <c r="B53" s="365" t="s">
        <v>984</v>
      </c>
      <c r="C53" s="366">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3">
      <c r="B54" s="365" t="s">
        <v>985</v>
      </c>
      <c r="C54" s="366">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75" customHeight="1" x14ac:dyDescent="0.3">
      <c r="B55" s="365" t="s">
        <v>986</v>
      </c>
      <c r="C55" s="366">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3">
      <c r="B56" s="144" t="s">
        <v>1320</v>
      </c>
      <c r="C56" s="366">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75" customHeight="1" x14ac:dyDescent="0.3">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3">
      <c r="B58" s="298" t="str">
        <f>B5</f>
        <v>London</v>
      </c>
      <c r="C58" s="436" t="s">
        <v>1011</v>
      </c>
      <c r="D58" s="437"/>
      <c r="E58" s="437"/>
      <c r="F58" s="437"/>
      <c r="G58" s="437"/>
      <c r="H58" s="437"/>
      <c r="I58" s="437"/>
      <c r="J58" s="437"/>
      <c r="K58" s="437"/>
      <c r="L58" s="437"/>
      <c r="M58" s="437"/>
      <c r="N58" s="437"/>
      <c r="O58" s="437"/>
      <c r="P58" s="437"/>
      <c r="Q58" s="437"/>
      <c r="R58" s="437"/>
      <c r="S58" s="437"/>
      <c r="T58" s="437"/>
    </row>
    <row r="59" spans="2:20" x14ac:dyDescent="0.3">
      <c r="B59" s="95" t="s">
        <v>983</v>
      </c>
      <c r="C59" s="288" t="s">
        <v>846</v>
      </c>
      <c r="D59" s="288" t="s">
        <v>847</v>
      </c>
      <c r="E59" s="288" t="s">
        <v>848</v>
      </c>
      <c r="F59" s="288" t="s">
        <v>849</v>
      </c>
      <c r="G59" s="288" t="s">
        <v>850</v>
      </c>
      <c r="H59" s="288" t="s">
        <v>851</v>
      </c>
      <c r="I59" s="288" t="s">
        <v>852</v>
      </c>
      <c r="J59" s="288" t="s">
        <v>853</v>
      </c>
      <c r="K59" s="288" t="s">
        <v>854</v>
      </c>
      <c r="L59" s="288" t="s">
        <v>855</v>
      </c>
      <c r="M59" s="288" t="s">
        <v>856</v>
      </c>
      <c r="N59" s="288" t="s">
        <v>857</v>
      </c>
      <c r="O59" s="288" t="s">
        <v>858</v>
      </c>
      <c r="P59" s="288" t="s">
        <v>859</v>
      </c>
      <c r="Q59" s="288" t="s">
        <v>860</v>
      </c>
      <c r="R59" s="288" t="s">
        <v>861</v>
      </c>
      <c r="S59" s="288" t="s">
        <v>1008</v>
      </c>
      <c r="T59" s="288" t="s">
        <v>941</v>
      </c>
    </row>
    <row r="60" spans="2:20" x14ac:dyDescent="0.3">
      <c r="B60" s="364" t="s">
        <v>979</v>
      </c>
      <c r="C60" s="366">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3">
      <c r="B61" s="365" t="s">
        <v>984</v>
      </c>
      <c r="C61" s="366">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3">
      <c r="B62" s="365" t="s">
        <v>985</v>
      </c>
      <c r="C62" s="366">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3">
      <c r="B63" s="365" t="s">
        <v>986</v>
      </c>
      <c r="C63" s="366">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3">
      <c r="B64" s="144" t="s">
        <v>1320</v>
      </c>
      <c r="C64" s="366">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3">
      <c r="B65" s="171"/>
      <c r="C65" s="237"/>
      <c r="D65" s="237"/>
      <c r="E65" s="237"/>
      <c r="F65" s="237"/>
      <c r="G65" s="237"/>
      <c r="H65" s="237"/>
      <c r="I65" s="237"/>
      <c r="J65" s="237"/>
      <c r="K65" s="237"/>
      <c r="L65" s="237"/>
      <c r="M65" s="237"/>
      <c r="N65" s="237"/>
      <c r="O65" s="237"/>
      <c r="P65" s="237"/>
      <c r="Q65" s="237"/>
      <c r="R65" s="237"/>
      <c r="S65" s="237"/>
      <c r="T65" s="64"/>
    </row>
    <row r="66" spans="2:20" x14ac:dyDescent="0.3">
      <c r="B66" s="64"/>
      <c r="C66" s="64"/>
      <c r="D66" s="64"/>
      <c r="E66" s="64"/>
      <c r="F66" s="64"/>
      <c r="G66" s="64"/>
      <c r="H66" s="64"/>
      <c r="I66" s="64"/>
      <c r="J66" s="64"/>
      <c r="K66" s="64"/>
      <c r="L66" s="64"/>
      <c r="M66" s="64"/>
      <c r="N66" s="64"/>
      <c r="O66" s="64"/>
      <c r="P66" s="64"/>
      <c r="Q66" s="64"/>
      <c r="R66" s="64"/>
      <c r="S66" s="64"/>
      <c r="T66" s="64"/>
    </row>
    <row r="67" spans="2:20" ht="27.75" customHeight="1" x14ac:dyDescent="0.3">
      <c r="B67" s="298" t="str">
        <f>B5</f>
        <v>London</v>
      </c>
      <c r="C67" s="436" t="s">
        <v>1012</v>
      </c>
      <c r="D67" s="437"/>
      <c r="E67" s="437"/>
      <c r="F67" s="437"/>
      <c r="G67" s="437"/>
      <c r="H67" s="437"/>
      <c r="I67" s="437"/>
      <c r="J67" s="437"/>
      <c r="K67" s="437"/>
      <c r="L67" s="437"/>
      <c r="M67" s="437"/>
      <c r="N67" s="437"/>
      <c r="O67" s="437"/>
      <c r="P67" s="437"/>
      <c r="Q67" s="437"/>
      <c r="R67" s="437"/>
      <c r="S67" s="437"/>
      <c r="T67" s="64"/>
    </row>
    <row r="68" spans="2:20" x14ac:dyDescent="0.3">
      <c r="B68" s="95" t="s">
        <v>983</v>
      </c>
      <c r="C68" s="288" t="s">
        <v>846</v>
      </c>
      <c r="D68" s="288" t="s">
        <v>847</v>
      </c>
      <c r="E68" s="288" t="s">
        <v>848</v>
      </c>
      <c r="F68" s="288" t="s">
        <v>849</v>
      </c>
      <c r="G68" s="288" t="s">
        <v>850</v>
      </c>
      <c r="H68" s="288" t="s">
        <v>851</v>
      </c>
      <c r="I68" s="288" t="s">
        <v>852</v>
      </c>
      <c r="J68" s="288" t="s">
        <v>853</v>
      </c>
      <c r="K68" s="288" t="s">
        <v>854</v>
      </c>
      <c r="L68" s="288" t="s">
        <v>855</v>
      </c>
      <c r="M68" s="288" t="s">
        <v>856</v>
      </c>
      <c r="N68" s="288" t="s">
        <v>857</v>
      </c>
      <c r="O68" s="288" t="s">
        <v>858</v>
      </c>
      <c r="P68" s="288" t="s">
        <v>859</v>
      </c>
      <c r="Q68" s="288" t="s">
        <v>860</v>
      </c>
      <c r="R68" s="288" t="s">
        <v>861</v>
      </c>
      <c r="S68" s="288" t="s">
        <v>1008</v>
      </c>
      <c r="T68" s="64"/>
    </row>
    <row r="69" spans="2:20" x14ac:dyDescent="0.3">
      <c r="B69" s="364" t="s">
        <v>979</v>
      </c>
      <c r="C69" s="369"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3">
      <c r="B70" s="365" t="s">
        <v>984</v>
      </c>
      <c r="C70" s="369"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3">
      <c r="B71" s="365" t="s">
        <v>985</v>
      </c>
      <c r="C71" s="369"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3">
      <c r="B72" s="365" t="s">
        <v>986</v>
      </c>
      <c r="C72" s="369"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3">
      <c r="B73" s="144" t="s">
        <v>1320</v>
      </c>
      <c r="C73" s="369"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topLeftCell="A25" zoomScale="70" zoomScaleNormal="70" workbookViewId="0">
      <selection activeCell="C62" sqref="C62"/>
    </sheetView>
  </sheetViews>
  <sheetFormatPr defaultColWidth="8.81640625" defaultRowHeight="14" x14ac:dyDescent="0.3"/>
  <cols>
    <col min="2" max="2" width="48.81640625" customWidth="1"/>
    <col min="3" max="3" width="19.1796875" customWidth="1"/>
    <col min="4" max="4" width="20.453125" bestFit="1" customWidth="1"/>
    <col min="5" max="5" width="14.81640625" customWidth="1"/>
    <col min="6" max="6" width="17.1796875" customWidth="1"/>
    <col min="7" max="7" width="12" customWidth="1"/>
    <col min="8" max="8" width="40.81640625" customWidth="1"/>
    <col min="9" max="9" width="15.453125" customWidth="1"/>
    <col min="10" max="10" width="20.453125" customWidth="1"/>
    <col min="11" max="11" width="18.7265625" customWidth="1"/>
    <col min="12" max="12" width="16.81640625" customWidth="1"/>
    <col min="13" max="13" width="17.81640625" bestFit="1" customWidth="1"/>
    <col min="14" max="14" width="17.1796875" bestFit="1" customWidth="1"/>
    <col min="17" max="17" width="10" bestFit="1" customWidth="1"/>
    <col min="19" max="19" width="10.453125" customWidth="1"/>
    <col min="21" max="21" width="11.1796875" bestFit="1" customWidth="1"/>
    <col min="22" max="22" width="11.7265625" hidden="1" customWidth="1"/>
    <col min="23" max="23" width="13.1796875" hidden="1" customWidth="1"/>
  </cols>
  <sheetData>
    <row r="1" spans="1:23" ht="65.25" customHeight="1" x14ac:dyDescent="0.3">
      <c r="A1" s="440" t="s">
        <v>1013</v>
      </c>
      <c r="B1" s="440"/>
      <c r="C1" s="440"/>
      <c r="D1" s="440"/>
      <c r="E1" s="440"/>
      <c r="F1" s="440"/>
      <c r="G1" s="440"/>
      <c r="H1" s="440"/>
      <c r="I1" s="440"/>
      <c r="J1" s="440"/>
      <c r="K1" s="440"/>
      <c r="L1" s="440"/>
      <c r="M1" s="440"/>
      <c r="N1" s="252"/>
      <c r="O1" s="252"/>
      <c r="P1" s="252"/>
      <c r="Q1" s="252"/>
      <c r="R1" s="252"/>
      <c r="S1" s="252"/>
    </row>
    <row r="2" spans="1:23" ht="37.5" customHeight="1" x14ac:dyDescent="0.3">
      <c r="A2" s="430"/>
      <c r="B2" s="430"/>
      <c r="C2" s="430"/>
      <c r="D2" s="430"/>
      <c r="E2" s="430"/>
      <c r="F2" s="430"/>
      <c r="G2" s="430"/>
      <c r="H2" s="430"/>
      <c r="I2" s="430"/>
      <c r="J2" s="430"/>
      <c r="K2" s="430"/>
      <c r="L2" s="430"/>
      <c r="M2" s="430"/>
      <c r="N2" s="241"/>
      <c r="O2" s="241"/>
      <c r="P2" s="241"/>
      <c r="Q2" s="241"/>
      <c r="R2" s="241"/>
      <c r="S2" s="241"/>
    </row>
    <row r="4" spans="1:23" ht="33" customHeight="1" x14ac:dyDescent="0.3">
      <c r="B4" s="302" t="s">
        <v>1014</v>
      </c>
    </row>
    <row r="5" spans="1:23" ht="35.25" customHeight="1" x14ac:dyDescent="0.3">
      <c r="B5" s="242" t="s">
        <v>21</v>
      </c>
      <c r="F5" s="40"/>
      <c r="L5" s="40"/>
      <c r="V5" s="309" t="s">
        <v>1223</v>
      </c>
      <c r="W5" s="309" cm="1">
        <f t="array" ref="W5">SUM(SUMIFS('capacity data'!K:K,'capacity data'!B:B,B6,'capacity data'!E:E,{"PO","PSO"}))</f>
        <v>0</v>
      </c>
    </row>
    <row r="6" spans="1:23" ht="39.75" customHeight="1" x14ac:dyDescent="0.3">
      <c r="B6" s="300" t="s">
        <v>220</v>
      </c>
      <c r="V6" s="310" t="s">
        <v>1224</v>
      </c>
      <c r="W6" s="309" cm="1">
        <f t="array" ref="W6">SUM(SUMIFS('capacity data'!I:I,'capacity data'!B:B,B6,'capacity data'!E:E,{"PO","PSO"}))-SUM((SUMIFS('capacity data'!J:J,'capacity data'!B:B,B6,'capacity data'!E:E,{"PO","PSO"})))</f>
        <v>0</v>
      </c>
    </row>
    <row r="7" spans="1:23" ht="24" customHeight="1" x14ac:dyDescent="0.3">
      <c r="V7" s="309" t="s">
        <v>1225</v>
      </c>
      <c r="W7" s="309">
        <f>W6/37</f>
        <v>0</v>
      </c>
    </row>
    <row r="8" spans="1:23" x14ac:dyDescent="0.3">
      <c r="F8" s="238"/>
    </row>
    <row r="9" spans="1:23" ht="23" x14ac:dyDescent="0.3">
      <c r="B9" s="284" t="s">
        <v>991</v>
      </c>
      <c r="C9" s="285"/>
      <c r="D9" s="285"/>
      <c r="E9" s="285"/>
      <c r="F9" s="286"/>
      <c r="H9" s="443" t="s">
        <v>1015</v>
      </c>
      <c r="I9" s="444"/>
      <c r="J9" s="444"/>
      <c r="K9" s="444"/>
      <c r="L9" s="444"/>
      <c r="M9" s="444"/>
      <c r="N9" s="444"/>
    </row>
    <row r="10" spans="1:23" ht="51" customHeight="1" x14ac:dyDescent="0.3">
      <c r="B10" s="62"/>
      <c r="C10" s="219" t="s">
        <v>993</v>
      </c>
      <c r="D10" s="219" t="s">
        <v>994</v>
      </c>
      <c r="E10" s="219" t="s">
        <v>995</v>
      </c>
      <c r="F10" s="219" t="s">
        <v>1016</v>
      </c>
      <c r="H10" s="62"/>
      <c r="I10" s="219" t="s">
        <v>997</v>
      </c>
      <c r="J10" s="63" t="s">
        <v>998</v>
      </c>
      <c r="K10" s="63" t="s">
        <v>999</v>
      </c>
      <c r="L10" s="63" t="s">
        <v>1017</v>
      </c>
      <c r="M10" s="219" t="s">
        <v>1001</v>
      </c>
      <c r="N10" s="219" t="s">
        <v>1222</v>
      </c>
    </row>
    <row r="11" spans="1:23" x14ac:dyDescent="0.3">
      <c r="B11" s="299"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299"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3" t="e" cm="1">
        <f t="array" ref="M11">SUM(SUMIFS('capacity data'!F:F, 'capacity data'!E:E, {"PO","PSO"},'capacity data'!F:F, "&lt;&gt;0", 'capacity data'!B:B, B6)) / SUM(COUNTIFS('capacity data'!E:E, {"PO","PSO"},'capacity data'!F:F, "&lt;&gt;0",'capacity data'!B:B, B6))</f>
        <v>#DIV/0!</v>
      </c>
      <c r="N11" s="313" t="e">
        <f>W5/W7</f>
        <v>#DIV/0!</v>
      </c>
    </row>
    <row r="12" spans="1:23" x14ac:dyDescent="0.3">
      <c r="B12" s="229" t="s">
        <v>1002</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1002</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3" t="e" cm="1">
        <f t="array" ref="M12">SUM(SUMIFS('capacity data'!F:F,'capacity data'!E:E,{"PO","PSO"},'capacity data'!F:F,"&lt;&gt;0"))/SUM(COUNTIFS('capacity data'!E:E,{"PO","PSO"},'capacity data'!F:F,"&lt;&gt;0"))</f>
        <v>#DIV/0!</v>
      </c>
      <c r="N12" s="311" t="e">
        <f>'HMIP caseload divisional'!N10</f>
        <v>#DIV/0!</v>
      </c>
    </row>
    <row r="13" spans="1:23" x14ac:dyDescent="0.3">
      <c r="B13" s="68" t="s">
        <v>1018</v>
      </c>
      <c r="C13" s="235" t="e">
        <f>C11-C12</f>
        <v>#DIV/0!</v>
      </c>
      <c r="D13" s="235" t="e">
        <f t="shared" ref="D13:F13" si="0">D11-D12</f>
        <v>#DIV/0!</v>
      </c>
      <c r="E13" s="235" t="e">
        <f t="shared" si="0"/>
        <v>#DIV/0!</v>
      </c>
      <c r="F13" s="235" t="e">
        <f t="shared" si="0"/>
        <v>#DIV/0!</v>
      </c>
      <c r="H13" s="68" t="s">
        <v>1018</v>
      </c>
      <c r="I13" s="102" t="e">
        <f>+I11-I12</f>
        <v>#DIV/0!</v>
      </c>
      <c r="J13" s="102" t="str">
        <f>IFERROR(+J11-J12,"N/A")</f>
        <v>N/A</v>
      </c>
      <c r="K13" s="102" t="str">
        <f>IFERROR(+K11-K12,"N/A")</f>
        <v>N/A</v>
      </c>
      <c r="L13" s="102" t="e">
        <f>+L11-L12</f>
        <v>#DIV/0!</v>
      </c>
      <c r="M13" s="102" t="e">
        <f>(M11-M12)</f>
        <v>#DIV/0!</v>
      </c>
      <c r="N13" s="312" t="e">
        <f>(N11-N12)</f>
        <v>#DIV/0!</v>
      </c>
    </row>
    <row r="14" spans="1:23" x14ac:dyDescent="0.3">
      <c r="C14" s="238"/>
      <c r="D14" s="238"/>
      <c r="E14" s="238"/>
      <c r="F14" s="238"/>
    </row>
    <row r="16" spans="1:23" ht="23" x14ac:dyDescent="0.3">
      <c r="B16" s="284" t="s">
        <v>1003</v>
      </c>
      <c r="C16" s="285"/>
      <c r="D16" s="285"/>
      <c r="E16" s="285"/>
      <c r="F16" s="286"/>
      <c r="H16" s="438" t="s">
        <v>1019</v>
      </c>
      <c r="I16" s="439"/>
      <c r="J16" s="439"/>
      <c r="K16" s="439"/>
      <c r="L16" s="439"/>
      <c r="M16" s="439"/>
    </row>
    <row r="17" spans="2:13" ht="50.25" customHeight="1" x14ac:dyDescent="0.3">
      <c r="B17" s="62"/>
      <c r="C17" s="219" t="s">
        <v>993</v>
      </c>
      <c r="D17" s="219" t="s">
        <v>994</v>
      </c>
      <c r="E17" s="219" t="s">
        <v>995</v>
      </c>
      <c r="F17" s="219" t="s">
        <v>1016</v>
      </c>
      <c r="H17" s="299" t="str">
        <f>B6</f>
        <v>Hackney and City</v>
      </c>
      <c r="I17" s="219" t="s">
        <v>975</v>
      </c>
      <c r="J17" s="219" t="s">
        <v>974</v>
      </c>
      <c r="K17" s="219" t="s">
        <v>973</v>
      </c>
      <c r="L17" s="219" t="s">
        <v>1321</v>
      </c>
      <c r="M17" s="219" t="s">
        <v>976</v>
      </c>
    </row>
    <row r="18" spans="2:13" x14ac:dyDescent="0.3">
      <c r="B18" s="299"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1005</v>
      </c>
      <c r="I18" s="234">
        <f>SUM(T47:T50)</f>
        <v>0</v>
      </c>
      <c r="J18" s="234">
        <f>SUM(T55:T58)</f>
        <v>0</v>
      </c>
      <c r="K18" s="234">
        <f>SUM(T63:T66)</f>
        <v>0</v>
      </c>
      <c r="L18" s="234">
        <f>T43</f>
        <v>0</v>
      </c>
      <c r="M18" s="234">
        <f>SUM(I18:L18)</f>
        <v>0</v>
      </c>
    </row>
    <row r="19" spans="2:13" x14ac:dyDescent="0.3">
      <c r="B19" s="229" t="s">
        <v>1002</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3">
      <c r="B20" s="68" t="s">
        <v>1018</v>
      </c>
      <c r="C20" s="235" t="e">
        <f>C18-C19</f>
        <v>#DIV/0!</v>
      </c>
      <c r="D20" s="235" t="e">
        <f t="shared" ref="D20:F20" si="1">D18-D19</f>
        <v>#DIV/0!</v>
      </c>
      <c r="E20" s="235" t="e">
        <f t="shared" si="1"/>
        <v>#DIV/0!</v>
      </c>
      <c r="F20" s="235" t="e">
        <f t="shared" si="1"/>
        <v>#DIV/0!</v>
      </c>
    </row>
    <row r="21" spans="2:13" x14ac:dyDescent="0.3">
      <c r="C21" s="238"/>
      <c r="D21" s="238"/>
      <c r="E21" s="238"/>
      <c r="F21" s="238"/>
    </row>
    <row r="22" spans="2:13" ht="23" x14ac:dyDescent="0.3">
      <c r="B22" s="280" t="s">
        <v>1006</v>
      </c>
      <c r="C22" s="287"/>
      <c r="D22" s="287"/>
      <c r="E22" s="287"/>
      <c r="F22" s="286"/>
    </row>
    <row r="23" spans="2:13" ht="57.75" customHeight="1" x14ac:dyDescent="0.3">
      <c r="B23" s="62"/>
      <c r="C23" s="219" t="s">
        <v>993</v>
      </c>
      <c r="D23" s="219" t="s">
        <v>994</v>
      </c>
      <c r="E23" s="219" t="s">
        <v>995</v>
      </c>
      <c r="F23" s="219" t="s">
        <v>1016</v>
      </c>
    </row>
    <row r="24" spans="2:13" x14ac:dyDescent="0.3">
      <c r="B24" s="299"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3">
      <c r="B25" s="229" t="s">
        <v>1002</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3">
      <c r="B26" s="68" t="s">
        <v>1018</v>
      </c>
      <c r="C26" s="235" t="e">
        <f>C24-C25</f>
        <v>#DIV/0!</v>
      </c>
      <c r="D26" s="235" t="e">
        <f t="shared" ref="D26:F26" si="2">D24-D25</f>
        <v>#DIV/0!</v>
      </c>
      <c r="E26" s="235" t="e">
        <f t="shared" si="2"/>
        <v>#DIV/0!</v>
      </c>
      <c r="F26" s="235" t="e">
        <f t="shared" si="2"/>
        <v>#DIV/0!</v>
      </c>
    </row>
    <row r="28" spans="2:13" ht="23" x14ac:dyDescent="0.3">
      <c r="B28" s="280" t="s">
        <v>1020</v>
      </c>
      <c r="C28" s="287"/>
      <c r="D28" s="287"/>
      <c r="E28" s="287"/>
      <c r="F28" s="286"/>
    </row>
    <row r="29" spans="2:13" ht="54" customHeight="1" x14ac:dyDescent="0.3">
      <c r="B29" s="62"/>
      <c r="C29" s="219" t="s">
        <v>993</v>
      </c>
      <c r="D29" s="219" t="s">
        <v>994</v>
      </c>
      <c r="E29" s="219" t="s">
        <v>995</v>
      </c>
      <c r="F29" s="219" t="s">
        <v>1016</v>
      </c>
    </row>
    <row r="30" spans="2:13" x14ac:dyDescent="0.3">
      <c r="B30" s="299"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3">
      <c r="B31" s="229" t="s">
        <v>1002</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3">
      <c r="B32" s="68" t="s">
        <v>1018</v>
      </c>
      <c r="C32" s="235" t="e">
        <f>C30-C31</f>
        <v>#DIV/0!</v>
      </c>
      <c r="D32" s="235" t="e">
        <f t="shared" ref="D32:F32" si="3">D30-D31</f>
        <v>#DIV/0!</v>
      </c>
      <c r="E32" s="235" t="e">
        <f t="shared" si="3"/>
        <v>#DIV/0!</v>
      </c>
      <c r="F32" s="235" t="e">
        <f t="shared" si="3"/>
        <v>#DIV/0!</v>
      </c>
    </row>
    <row r="33" spans="2:21" x14ac:dyDescent="0.3">
      <c r="B33" s="238"/>
      <c r="C33" s="238"/>
      <c r="D33" s="238"/>
      <c r="E33" s="238"/>
      <c r="F33" s="238"/>
    </row>
    <row r="34" spans="2:21" x14ac:dyDescent="0.3">
      <c r="B34" s="238"/>
      <c r="C34" s="238"/>
      <c r="D34" s="238"/>
      <c r="E34" s="238"/>
      <c r="F34" s="238"/>
    </row>
    <row r="35" spans="2:21" ht="14.25" customHeight="1" x14ac:dyDescent="0.3"/>
    <row r="36" spans="2:21" ht="14.25" customHeight="1" x14ac:dyDescent="0.3"/>
    <row r="37" spans="2:21" ht="42" customHeight="1" x14ac:dyDescent="0.3">
      <c r="B37" s="301" t="str">
        <f>B6</f>
        <v>Hackney and City</v>
      </c>
      <c r="C37" s="442" t="s">
        <v>989</v>
      </c>
      <c r="D37" s="442"/>
      <c r="E37" s="442"/>
      <c r="F37" s="442"/>
      <c r="G37" s="442"/>
      <c r="H37" s="442"/>
      <c r="I37" s="442"/>
      <c r="J37" s="442"/>
      <c r="K37" s="442"/>
      <c r="L37" s="442"/>
      <c r="M37" s="442"/>
      <c r="N37" s="442"/>
      <c r="O37" s="442"/>
      <c r="P37" s="442"/>
      <c r="Q37" s="442"/>
      <c r="R37" s="442"/>
      <c r="S37" s="442"/>
      <c r="T37" s="442"/>
    </row>
    <row r="38" spans="2:21" ht="19.5" customHeight="1" x14ac:dyDescent="0.3">
      <c r="B38" s="39" t="s">
        <v>983</v>
      </c>
      <c r="C38" s="39" t="s">
        <v>846</v>
      </c>
      <c r="D38" s="39" t="s">
        <v>847</v>
      </c>
      <c r="E38" s="39" t="s">
        <v>848</v>
      </c>
      <c r="F38" s="39" t="s">
        <v>849</v>
      </c>
      <c r="G38" s="39" t="s">
        <v>850</v>
      </c>
      <c r="H38" s="39" t="s">
        <v>851</v>
      </c>
      <c r="I38" s="39" t="s">
        <v>852</v>
      </c>
      <c r="J38" s="39" t="s">
        <v>853</v>
      </c>
      <c r="K38" s="39" t="s">
        <v>854</v>
      </c>
      <c r="L38" s="39" t="s">
        <v>855</v>
      </c>
      <c r="M38" s="39" t="s">
        <v>856</v>
      </c>
      <c r="N38" s="39" t="s">
        <v>857</v>
      </c>
      <c r="O38" s="39" t="s">
        <v>858</v>
      </c>
      <c r="P38" s="39" t="s">
        <v>859</v>
      </c>
      <c r="Q38" s="39" t="s">
        <v>860</v>
      </c>
      <c r="R38" s="39" t="s">
        <v>861</v>
      </c>
      <c r="S38" s="39" t="s">
        <v>1008</v>
      </c>
      <c r="T38" s="39" t="s">
        <v>941</v>
      </c>
    </row>
    <row r="39" spans="2:21" ht="14.25" customHeight="1" x14ac:dyDescent="0.3">
      <c r="B39" s="75" t="s">
        <v>979</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3">
      <c r="B40" s="75" t="s">
        <v>984</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3">
      <c r="B41" s="75" t="s">
        <v>985</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3">
      <c r="B42" s="75" t="s">
        <v>986</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3">
      <c r="B43" s="75" t="s">
        <v>1320</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3">
      <c r="B44" s="171"/>
      <c r="C44" s="171"/>
      <c r="D44" s="171"/>
      <c r="E44" s="171"/>
      <c r="F44" s="171"/>
      <c r="G44" s="171"/>
      <c r="H44" s="171"/>
      <c r="I44" s="171"/>
      <c r="J44" s="171"/>
      <c r="K44" s="171"/>
      <c r="L44" s="171"/>
      <c r="M44" s="171"/>
      <c r="N44" s="171"/>
      <c r="O44" s="171"/>
      <c r="P44" s="171"/>
      <c r="Q44" s="171"/>
      <c r="R44" s="171"/>
    </row>
    <row r="45" spans="2:21" ht="36.75" customHeight="1" x14ac:dyDescent="0.3">
      <c r="B45" s="301" t="str">
        <f>$B$6</f>
        <v>Hackney and City</v>
      </c>
      <c r="C45" s="441" t="s">
        <v>1009</v>
      </c>
      <c r="D45" s="437"/>
      <c r="E45" s="437"/>
      <c r="F45" s="437"/>
      <c r="G45" s="437"/>
      <c r="H45" s="437"/>
      <c r="I45" s="437"/>
      <c r="J45" s="437"/>
      <c r="K45" s="437"/>
      <c r="L45" s="437"/>
      <c r="M45" s="437"/>
      <c r="N45" s="437"/>
      <c r="O45" s="437"/>
      <c r="P45" s="437"/>
      <c r="Q45" s="437"/>
      <c r="R45" s="437"/>
      <c r="S45" s="437"/>
      <c r="T45" s="437"/>
    </row>
    <row r="46" spans="2:21" ht="18" customHeight="1" x14ac:dyDescent="0.3">
      <c r="B46" s="95" t="s">
        <v>983</v>
      </c>
      <c r="C46" s="38" t="s">
        <v>846</v>
      </c>
      <c r="D46" s="38" t="s">
        <v>847</v>
      </c>
      <c r="E46" s="38" t="s">
        <v>848</v>
      </c>
      <c r="F46" s="38" t="s">
        <v>849</v>
      </c>
      <c r="G46" s="38" t="s">
        <v>850</v>
      </c>
      <c r="H46" s="38" t="s">
        <v>851</v>
      </c>
      <c r="I46" s="38" t="s">
        <v>852</v>
      </c>
      <c r="J46" s="38" t="s">
        <v>853</v>
      </c>
      <c r="K46" s="38" t="s">
        <v>854</v>
      </c>
      <c r="L46" s="38" t="s">
        <v>855</v>
      </c>
      <c r="M46" s="38" t="s">
        <v>856</v>
      </c>
      <c r="N46" s="38" t="s">
        <v>857</v>
      </c>
      <c r="O46" s="38" t="s">
        <v>858</v>
      </c>
      <c r="P46" s="38" t="s">
        <v>859</v>
      </c>
      <c r="Q46" s="38" t="s">
        <v>860</v>
      </c>
      <c r="R46" s="38" t="s">
        <v>861</v>
      </c>
      <c r="S46" s="38" t="s">
        <v>1008</v>
      </c>
      <c r="T46" s="38" t="s">
        <v>941</v>
      </c>
    </row>
    <row r="47" spans="2:21" ht="14.25" customHeight="1" x14ac:dyDescent="0.3">
      <c r="B47" s="75" t="s">
        <v>979</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3">
      <c r="B48" s="75" t="s">
        <v>984</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3">
      <c r="B49" s="75" t="s">
        <v>985</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3">
      <c r="B50" s="75" t="s">
        <v>986</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3">
      <c r="B51" s="75" t="s">
        <v>1320</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3">
      <c r="B52" s="171"/>
      <c r="C52" s="171"/>
      <c r="D52" s="171"/>
      <c r="E52" s="171"/>
      <c r="F52" s="171"/>
      <c r="G52" s="171"/>
      <c r="H52" s="171"/>
      <c r="I52" s="171"/>
      <c r="J52" s="171"/>
      <c r="K52" s="171"/>
      <c r="L52" s="171"/>
      <c r="M52" s="171"/>
      <c r="N52" s="171"/>
      <c r="O52" s="171"/>
      <c r="P52" s="171"/>
      <c r="Q52" s="171"/>
      <c r="R52" s="171"/>
      <c r="T52" s="239"/>
    </row>
    <row r="53" spans="2:21" ht="44.25" customHeight="1" x14ac:dyDescent="0.3">
      <c r="B53" s="301" t="str">
        <f>$B$6</f>
        <v>Hackney and City</v>
      </c>
      <c r="C53" s="441" t="s">
        <v>1010</v>
      </c>
      <c r="D53" s="437"/>
      <c r="E53" s="437"/>
      <c r="F53" s="437"/>
      <c r="G53" s="437"/>
      <c r="H53" s="437"/>
      <c r="I53" s="437"/>
      <c r="J53" s="437"/>
      <c r="K53" s="437"/>
      <c r="L53" s="437"/>
      <c r="M53" s="437"/>
      <c r="N53" s="437"/>
      <c r="O53" s="437"/>
      <c r="P53" s="437"/>
      <c r="Q53" s="437"/>
      <c r="R53" s="437"/>
      <c r="S53" s="437"/>
      <c r="T53" s="437"/>
    </row>
    <row r="54" spans="2:21" ht="21.75" customHeight="1" x14ac:dyDescent="0.3">
      <c r="B54" s="95" t="s">
        <v>983</v>
      </c>
      <c r="C54" s="38" t="s">
        <v>846</v>
      </c>
      <c r="D54" s="38" t="s">
        <v>847</v>
      </c>
      <c r="E54" s="38" t="s">
        <v>848</v>
      </c>
      <c r="F54" s="38" t="s">
        <v>849</v>
      </c>
      <c r="G54" s="38" t="s">
        <v>850</v>
      </c>
      <c r="H54" s="38" t="s">
        <v>851</v>
      </c>
      <c r="I54" s="38" t="s">
        <v>852</v>
      </c>
      <c r="J54" s="38" t="s">
        <v>853</v>
      </c>
      <c r="K54" s="38" t="s">
        <v>854</v>
      </c>
      <c r="L54" s="38" t="s">
        <v>855</v>
      </c>
      <c r="M54" s="38" t="s">
        <v>856</v>
      </c>
      <c r="N54" s="38" t="s">
        <v>857</v>
      </c>
      <c r="O54" s="38" t="s">
        <v>858</v>
      </c>
      <c r="P54" s="38" t="s">
        <v>859</v>
      </c>
      <c r="Q54" s="38" t="s">
        <v>860</v>
      </c>
      <c r="R54" s="38" t="s">
        <v>861</v>
      </c>
      <c r="S54" s="38" t="s">
        <v>1008</v>
      </c>
      <c r="T54" s="38" t="s">
        <v>941</v>
      </c>
    </row>
    <row r="55" spans="2:21" ht="14.25" customHeight="1" x14ac:dyDescent="0.3">
      <c r="B55" s="75" t="s">
        <v>979</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3">
      <c r="B56" s="75" t="s">
        <v>984</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3">
      <c r="B57" s="75" t="s">
        <v>985</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25" customHeight="1" x14ac:dyDescent="0.3">
      <c r="B58" s="75" t="s">
        <v>986</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25" customHeight="1" x14ac:dyDescent="0.3">
      <c r="B59" s="75" t="s">
        <v>1320</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3">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3">
      <c r="B61" s="301" t="str">
        <f>$B$6</f>
        <v>Hackney and City</v>
      </c>
      <c r="C61" s="441" t="s">
        <v>1011</v>
      </c>
      <c r="D61" s="437"/>
      <c r="E61" s="437"/>
      <c r="F61" s="437"/>
      <c r="G61" s="437"/>
      <c r="H61" s="437"/>
      <c r="I61" s="437"/>
      <c r="J61" s="437"/>
      <c r="K61" s="437"/>
      <c r="L61" s="437"/>
      <c r="M61" s="437"/>
      <c r="N61" s="437"/>
      <c r="O61" s="437"/>
      <c r="P61" s="437"/>
      <c r="Q61" s="437"/>
      <c r="R61" s="437"/>
      <c r="S61" s="437"/>
      <c r="T61" s="437"/>
    </row>
    <row r="62" spans="2:21" ht="19.5" customHeight="1" x14ac:dyDescent="0.3">
      <c r="B62" s="95" t="s">
        <v>983</v>
      </c>
      <c r="C62" s="38" t="s">
        <v>846</v>
      </c>
      <c r="D62" s="38" t="s">
        <v>847</v>
      </c>
      <c r="E62" s="38" t="s">
        <v>848</v>
      </c>
      <c r="F62" s="38" t="s">
        <v>849</v>
      </c>
      <c r="G62" s="38" t="s">
        <v>850</v>
      </c>
      <c r="H62" s="38" t="s">
        <v>851</v>
      </c>
      <c r="I62" s="38" t="s">
        <v>852</v>
      </c>
      <c r="J62" s="38" t="s">
        <v>853</v>
      </c>
      <c r="K62" s="38" t="s">
        <v>854</v>
      </c>
      <c r="L62" s="38" t="s">
        <v>855</v>
      </c>
      <c r="M62" s="38" t="s">
        <v>856</v>
      </c>
      <c r="N62" s="38" t="s">
        <v>857</v>
      </c>
      <c r="O62" s="38" t="s">
        <v>858</v>
      </c>
      <c r="P62" s="38" t="s">
        <v>859</v>
      </c>
      <c r="Q62" s="38" t="s">
        <v>860</v>
      </c>
      <c r="R62" s="38" t="s">
        <v>861</v>
      </c>
      <c r="S62" s="38" t="s">
        <v>1008</v>
      </c>
      <c r="T62" s="38" t="s">
        <v>941</v>
      </c>
    </row>
    <row r="63" spans="2:21" ht="14.25" customHeight="1" x14ac:dyDescent="0.3">
      <c r="B63" s="75" t="s">
        <v>979</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3">
      <c r="B64" s="75" t="s">
        <v>984</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3">
      <c r="B65" s="75" t="s">
        <v>985</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3">
      <c r="B66" s="75" t="s">
        <v>986</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3">
      <c r="B67" s="75" t="s">
        <v>1320</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3">
      <c r="T68" s="239"/>
    </row>
    <row r="69" spans="2:21" ht="39" customHeight="1" x14ac:dyDescent="0.3">
      <c r="B69" s="301" t="str">
        <f>$B$6</f>
        <v>Hackney and City</v>
      </c>
      <c r="C69" s="441" t="s">
        <v>1012</v>
      </c>
      <c r="D69" s="437"/>
      <c r="E69" s="437"/>
      <c r="F69" s="437"/>
      <c r="G69" s="437"/>
      <c r="H69" s="437"/>
      <c r="I69" s="437"/>
      <c r="J69" s="437"/>
      <c r="K69" s="437"/>
      <c r="L69" s="437"/>
      <c r="M69" s="437"/>
      <c r="N69" s="437"/>
      <c r="O69" s="437"/>
      <c r="P69" s="437"/>
      <c r="Q69" s="437"/>
      <c r="R69" s="437"/>
      <c r="S69" s="437"/>
    </row>
    <row r="70" spans="2:21" ht="23.25" customHeight="1" x14ac:dyDescent="0.3">
      <c r="B70" s="95" t="s">
        <v>983</v>
      </c>
      <c r="C70" s="38" t="s">
        <v>846</v>
      </c>
      <c r="D70" s="38" t="s">
        <v>847</v>
      </c>
      <c r="E70" s="38" t="s">
        <v>848</v>
      </c>
      <c r="F70" s="38" t="s">
        <v>849</v>
      </c>
      <c r="G70" s="38" t="s">
        <v>850</v>
      </c>
      <c r="H70" s="38" t="s">
        <v>851</v>
      </c>
      <c r="I70" s="38" t="s">
        <v>852</v>
      </c>
      <c r="J70" s="38" t="s">
        <v>853</v>
      </c>
      <c r="K70" s="38" t="s">
        <v>854</v>
      </c>
      <c r="L70" s="38" t="s">
        <v>855</v>
      </c>
      <c r="M70" s="38" t="s">
        <v>856</v>
      </c>
      <c r="N70" s="38" t="s">
        <v>857</v>
      </c>
      <c r="O70" s="38" t="s">
        <v>858</v>
      </c>
      <c r="P70" s="38" t="s">
        <v>859</v>
      </c>
      <c r="Q70" s="38" t="s">
        <v>860</v>
      </c>
      <c r="R70" s="38" t="s">
        <v>861</v>
      </c>
      <c r="S70" s="38" t="s">
        <v>1008</v>
      </c>
    </row>
    <row r="71" spans="2:21" x14ac:dyDescent="0.3">
      <c r="B71" s="75" t="s">
        <v>979</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3">
      <c r="B72" s="75" t="s">
        <v>984</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3">
      <c r="B73" s="75" t="s">
        <v>985</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3">
      <c r="B74" s="75" t="s">
        <v>986</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3">
      <c r="B75" s="75" t="s">
        <v>1320</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activeCell="C63" sqref="C63"/>
    </sheetView>
  </sheetViews>
  <sheetFormatPr defaultColWidth="8.81640625" defaultRowHeight="14" x14ac:dyDescent="0.3"/>
  <cols>
    <col min="2" max="2" width="46.7265625" customWidth="1"/>
    <col min="3" max="3" width="19.1796875" customWidth="1"/>
    <col min="4" max="4" width="20.453125" bestFit="1" customWidth="1"/>
    <col min="5" max="5" width="14.81640625" customWidth="1"/>
    <col min="6" max="6" width="17.1796875" customWidth="1"/>
    <col min="7" max="7" width="18.453125" customWidth="1"/>
    <col min="8" max="8" width="19.1796875" customWidth="1"/>
    <col min="9" max="9" width="15.453125" customWidth="1"/>
    <col min="10" max="10" width="20.453125" customWidth="1"/>
    <col min="11" max="11" width="26.453125" bestFit="1" customWidth="1"/>
    <col min="12" max="12" width="16.81640625" customWidth="1"/>
    <col min="13" max="13" width="17.81640625" bestFit="1" customWidth="1"/>
    <col min="14" max="14" width="8.453125" bestFit="1" customWidth="1"/>
    <col min="17" max="17" width="10" bestFit="1" customWidth="1"/>
    <col min="21" max="21" width="51.81640625" bestFit="1" customWidth="1"/>
  </cols>
  <sheetData>
    <row r="1" spans="1:19" ht="45.75" customHeight="1" x14ac:dyDescent="0.6">
      <c r="A1" s="435" t="s">
        <v>1021</v>
      </c>
      <c r="B1" s="435"/>
      <c r="C1" s="435"/>
      <c r="D1" s="435"/>
      <c r="E1" s="435"/>
      <c r="F1" s="435"/>
      <c r="G1" s="435"/>
      <c r="H1" s="435"/>
      <c r="I1" s="435"/>
      <c r="J1" s="435"/>
      <c r="K1" s="435"/>
      <c r="L1" s="435"/>
      <c r="M1" s="435"/>
      <c r="N1" s="279"/>
      <c r="O1" s="279"/>
      <c r="P1" s="279"/>
      <c r="Q1" s="279"/>
      <c r="R1" s="279"/>
      <c r="S1" s="279"/>
    </row>
    <row r="2" spans="1:19" ht="37.5" customHeight="1" x14ac:dyDescent="0.3">
      <c r="A2" s="430"/>
      <c r="B2" s="430"/>
      <c r="C2" s="430"/>
      <c r="D2" s="430"/>
      <c r="E2" s="430"/>
      <c r="F2" s="430"/>
      <c r="G2" s="430"/>
      <c r="H2" s="430"/>
      <c r="I2" s="430"/>
      <c r="J2" s="430"/>
      <c r="K2" s="430"/>
      <c r="L2" s="430"/>
      <c r="M2" s="430"/>
      <c r="N2" s="241"/>
      <c r="O2" s="241"/>
      <c r="P2" s="241"/>
      <c r="Q2" s="241"/>
      <c r="R2" s="241"/>
      <c r="S2" s="241"/>
    </row>
    <row r="4" spans="1:19" ht="57" customHeight="1" x14ac:dyDescent="0.3">
      <c r="B4" s="36" t="s">
        <v>1022</v>
      </c>
    </row>
    <row r="5" spans="1:19" ht="24" customHeight="1" x14ac:dyDescent="0.3">
      <c r="B5" s="54" t="s">
        <v>21</v>
      </c>
      <c r="F5" s="40"/>
    </row>
    <row r="6" spans="1:19" ht="32.25" customHeight="1" x14ac:dyDescent="0.3">
      <c r="B6" s="55" t="s">
        <v>238</v>
      </c>
    </row>
    <row r="8" spans="1:19" ht="23" x14ac:dyDescent="0.3">
      <c r="B8" s="450" t="s">
        <v>918</v>
      </c>
      <c r="C8" s="451"/>
      <c r="D8" s="451"/>
      <c r="E8" s="451"/>
      <c r="F8" s="452"/>
    </row>
    <row r="9" spans="1:19" ht="52" x14ac:dyDescent="0.3">
      <c r="B9" s="329" t="str">
        <f>B6</f>
        <v>Hammersmith, Fulham, Kensington, Chelsea and Westminster</v>
      </c>
      <c r="C9" s="219" t="s">
        <v>919</v>
      </c>
      <c r="D9" s="63" t="s">
        <v>920</v>
      </c>
      <c r="E9" s="63" t="s">
        <v>921</v>
      </c>
      <c r="F9" s="63" t="s">
        <v>1023</v>
      </c>
      <c r="H9" s="219" t="s">
        <v>1024</v>
      </c>
      <c r="I9" s="219" t="s">
        <v>924</v>
      </c>
      <c r="J9" s="64"/>
      <c r="K9" s="219" t="s">
        <v>925</v>
      </c>
      <c r="L9" s="219" t="s">
        <v>926</v>
      </c>
    </row>
    <row r="10" spans="1:19" x14ac:dyDescent="0.3">
      <c r="B10" s="336"/>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3">
      <c r="B11" s="106" t="s">
        <v>927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3">
      <c r="B12" s="119" t="s">
        <v>1018</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3">
      <c r="B14" s="329" t="str">
        <f>B6</f>
        <v>Hammersmith, Fulham, Kensington, Chelsea and Westminster</v>
      </c>
      <c r="C14" s="70" t="s">
        <v>930</v>
      </c>
      <c r="D14" s="70" t="s">
        <v>931</v>
      </c>
      <c r="E14" s="70" t="s">
        <v>932</v>
      </c>
      <c r="F14" s="70" t="s">
        <v>933</v>
      </c>
      <c r="G14" s="70" t="s">
        <v>934</v>
      </c>
      <c r="H14" s="70" t="s">
        <v>935</v>
      </c>
      <c r="I14" s="70" t="s">
        <v>936</v>
      </c>
      <c r="J14" s="71" t="s">
        <v>937</v>
      </c>
      <c r="K14" s="70" t="s">
        <v>938</v>
      </c>
      <c r="L14" s="70" t="s">
        <v>939</v>
      </c>
      <c r="M14" s="70" t="s">
        <v>940</v>
      </c>
    </row>
    <row r="15" spans="1:19" ht="27.75" customHeight="1" x14ac:dyDescent="0.3">
      <c r="B15" s="330"/>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3">
      <c r="B16" s="106" t="s">
        <v>1025</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3">
      <c r="B17" s="105" t="s">
        <v>1018</v>
      </c>
      <c r="C17" s="100" t="s">
        <v>942</v>
      </c>
      <c r="D17" s="100" t="s">
        <v>942</v>
      </c>
      <c r="E17" s="101" t="e">
        <f>+E15-E16</f>
        <v>#DIV/0!</v>
      </c>
      <c r="F17" s="100" t="s">
        <v>942</v>
      </c>
      <c r="G17" s="100" t="s">
        <v>942</v>
      </c>
      <c r="H17" s="101" t="str">
        <f>IFERROR(+H15-H16,"N/A")</f>
        <v>N/A</v>
      </c>
      <c r="I17" s="100" t="s">
        <v>942</v>
      </c>
      <c r="J17" s="101" t="str">
        <f>IFERROR(+J15-J16,"N/A")</f>
        <v>N/A</v>
      </c>
      <c r="K17" s="100" t="s">
        <v>942</v>
      </c>
      <c r="L17" s="100" t="s">
        <v>942</v>
      </c>
      <c r="M17" s="101" t="str">
        <f>IFERROR(+M15-M16,"N/A")</f>
        <v>N/A</v>
      </c>
    </row>
    <row r="19" spans="2:13" ht="23" x14ac:dyDescent="0.3">
      <c r="B19" s="450" t="s">
        <v>943</v>
      </c>
      <c r="C19" s="451"/>
      <c r="D19" s="451"/>
      <c r="E19" s="451"/>
      <c r="F19" s="452"/>
      <c r="G19" s="453"/>
      <c r="H19" s="454"/>
    </row>
    <row r="20" spans="2:13" ht="51" customHeight="1" x14ac:dyDescent="0.3">
      <c r="B20" s="76"/>
      <c r="C20" s="63" t="s">
        <v>1026</v>
      </c>
      <c r="D20" s="63" t="s">
        <v>1027</v>
      </c>
      <c r="E20" s="63" t="s">
        <v>1028</v>
      </c>
      <c r="F20" s="63" t="s">
        <v>947</v>
      </c>
      <c r="G20" s="219" t="s">
        <v>1029</v>
      </c>
      <c r="H20" s="219" t="s">
        <v>1030</v>
      </c>
    </row>
    <row r="21" spans="2:13" ht="25.5" x14ac:dyDescent="0.3">
      <c r="B21" s="335"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3">
      <c r="B22" s="79" t="s">
        <v>1025</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3">
      <c r="B23" s="116" t="s">
        <v>1018</v>
      </c>
      <c r="C23" s="100" t="s">
        <v>942</v>
      </c>
      <c r="D23" s="100" t="s">
        <v>942</v>
      </c>
      <c r="E23" s="100" t="s">
        <v>942</v>
      </c>
      <c r="F23" s="104" t="s">
        <v>942</v>
      </c>
      <c r="G23" s="104" t="e">
        <f>+G21-G22</f>
        <v>#DIV/0!</v>
      </c>
      <c r="H23" s="100" t="s">
        <v>942</v>
      </c>
    </row>
    <row r="26" spans="2:13" ht="23" x14ac:dyDescent="0.3">
      <c r="B26" s="450" t="s">
        <v>950</v>
      </c>
      <c r="C26" s="451"/>
      <c r="D26" s="451"/>
      <c r="E26" s="451"/>
      <c r="F26" s="452"/>
      <c r="G26" s="453"/>
      <c r="H26" s="454"/>
      <c r="I26" s="453"/>
      <c r="J26" s="454"/>
      <c r="K26" s="454"/>
    </row>
    <row r="27" spans="2:13" ht="53.25" customHeight="1" x14ac:dyDescent="0.3">
      <c r="B27" s="84"/>
      <c r="C27" s="219" t="s">
        <v>951</v>
      </c>
      <c r="D27" s="219" t="s">
        <v>952</v>
      </c>
      <c r="E27" s="219" t="s">
        <v>953</v>
      </c>
      <c r="F27" s="219" t="s">
        <v>954</v>
      </c>
      <c r="G27" s="219" t="s">
        <v>955</v>
      </c>
      <c r="H27" s="219" t="s">
        <v>956</v>
      </c>
      <c r="I27" s="219" t="s">
        <v>957</v>
      </c>
      <c r="J27" s="219" t="s">
        <v>958</v>
      </c>
      <c r="K27" s="219" t="s">
        <v>959</v>
      </c>
    </row>
    <row r="28" spans="2:13" ht="25.5" x14ac:dyDescent="0.3">
      <c r="B28" s="335"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3">
      <c r="B29" s="106" t="s">
        <v>1031</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3">
      <c r="B30" s="105" t="s">
        <v>1018</v>
      </c>
      <c r="C30" s="100" t="s">
        <v>942</v>
      </c>
      <c r="D30" s="100" t="s">
        <v>942</v>
      </c>
      <c r="E30" s="99" t="e">
        <f>+E28-E29</f>
        <v>#DIV/0!</v>
      </c>
      <c r="F30" s="100" t="s">
        <v>942</v>
      </c>
      <c r="G30" s="100" t="s">
        <v>942</v>
      </c>
      <c r="H30" s="99" t="str">
        <f>IFERROR(+H28-H29,"N/A")</f>
        <v>N/A</v>
      </c>
      <c r="I30" s="100" t="s">
        <v>942</v>
      </c>
      <c r="J30" s="100" t="s">
        <v>942</v>
      </c>
      <c r="K30" s="99" t="str">
        <f>IFERROR(+K28-K29,"N/A")</f>
        <v>N/A</v>
      </c>
    </row>
    <row r="32" spans="2:13" ht="37.5" customHeight="1" x14ac:dyDescent="0.3">
      <c r="B32" s="463" t="s">
        <v>1032</v>
      </c>
      <c r="C32" s="464"/>
      <c r="D32" s="464"/>
      <c r="F32" s="465" t="s">
        <v>1033</v>
      </c>
      <c r="G32" s="466"/>
    </row>
    <row r="33" spans="1:7" ht="60.75" customHeight="1" x14ac:dyDescent="0.3">
      <c r="B33" s="76" t="s">
        <v>1034</v>
      </c>
      <c r="C33" s="219" t="s">
        <v>1035</v>
      </c>
      <c r="D33" s="219" t="s">
        <v>1036</v>
      </c>
      <c r="E33" s="64"/>
      <c r="F33" s="215" t="s">
        <v>1037</v>
      </c>
      <c r="G33" s="214">
        <f>COUNTIFS('reductions data'!B:B,'cluster overview'!B6,'reductions data'!K:K,"ACTIVE")</f>
        <v>0</v>
      </c>
    </row>
    <row r="34" spans="1:7" x14ac:dyDescent="0.3">
      <c r="B34" s="112" t="s">
        <v>874</v>
      </c>
      <c r="C34" s="89">
        <f>COUNTIFS('reductions data'!B:B,'cluster overview'!$B$6,'reductions data'!G:G,'cluster overview'!B34)</f>
        <v>0</v>
      </c>
      <c r="D34" s="90">
        <f>SUMIFS('reductions data'!H:H,'reductions data'!B:B,'cluster overview'!$B$6,'reductions data'!$G:$G,'cluster overview'!B34)</f>
        <v>0</v>
      </c>
      <c r="E34" s="64"/>
      <c r="F34" s="461" t="s">
        <v>1038</v>
      </c>
      <c r="G34" s="462">
        <f>SUMIF('reductions data'!B:B,'cluster overview'!B6,'reductions data'!H:H)</f>
        <v>0</v>
      </c>
    </row>
    <row r="35" spans="1:7" x14ac:dyDescent="0.3">
      <c r="B35" s="113" t="s">
        <v>876</v>
      </c>
      <c r="C35" s="89">
        <f>COUNTIFS('reductions data'!B:B,'cluster overview'!$B$6,'reductions data'!G:G,'cluster overview'!B35)</f>
        <v>0</v>
      </c>
      <c r="D35" s="90">
        <f>SUMIFS('reductions data'!H:H,'reductions data'!B:B,'cluster overview'!$B$6,'reductions data'!$G:$G,'cluster overview'!B35)</f>
        <v>0</v>
      </c>
      <c r="E35" s="64"/>
      <c r="F35" s="424"/>
      <c r="G35" s="424"/>
    </row>
    <row r="36" spans="1:7" x14ac:dyDescent="0.3">
      <c r="B36" s="113" t="s">
        <v>875</v>
      </c>
      <c r="C36" s="89">
        <f>COUNTIFS('reductions data'!B:B,'cluster overview'!$B$6,'reductions data'!G:G,'cluster overview'!B36)</f>
        <v>0</v>
      </c>
      <c r="D36" s="90">
        <f>SUMIFS('reductions data'!H:H,'reductions data'!B:B,'cluster overview'!$B$6,'reductions data'!$G:$G,'cluster overview'!B36)</f>
        <v>0</v>
      </c>
      <c r="E36" s="91"/>
      <c r="F36" s="424"/>
      <c r="G36" s="424"/>
    </row>
    <row r="37" spans="1:7" x14ac:dyDescent="0.3">
      <c r="B37" s="113" t="s">
        <v>877</v>
      </c>
      <c r="C37" s="89">
        <f>COUNTIFS('reductions data'!B:B,'cluster overview'!$B$6,'reductions data'!G:G,'cluster overview'!B37)</f>
        <v>0</v>
      </c>
      <c r="D37" s="90">
        <f>SUMIFS('reductions data'!H:H,'reductions data'!B:B,'cluster overview'!$B$6,'reductions data'!$G:$G,'cluster overview'!B37)</f>
        <v>0</v>
      </c>
      <c r="E37" s="91"/>
      <c r="F37" s="467" t="s">
        <v>1039</v>
      </c>
      <c r="G37" s="462">
        <f>SUMIF('capacity data'!B:B,'cluster overview'!B6,'capacity data'!I:I)</f>
        <v>0</v>
      </c>
    </row>
    <row r="38" spans="1:7" x14ac:dyDescent="0.3">
      <c r="B38" s="113" t="s">
        <v>878</v>
      </c>
      <c r="C38" s="89">
        <f>COUNTIFS('reductions data'!B:B,'cluster overview'!$B$6,'reductions data'!G:G,'cluster overview'!B38)</f>
        <v>0</v>
      </c>
      <c r="D38" s="90">
        <f>SUMIFS('reductions data'!H:H,'reductions data'!B:B,'cluster overview'!$B$6,'reductions data'!$G:$G,'cluster overview'!B38)</f>
        <v>0</v>
      </c>
      <c r="E38" s="91"/>
      <c r="F38" s="424"/>
      <c r="G38" s="424"/>
    </row>
    <row r="39" spans="1:7" x14ac:dyDescent="0.3">
      <c r="B39" s="113" t="s">
        <v>879</v>
      </c>
      <c r="C39" s="89">
        <f>COUNTIFS('reductions data'!B:B,'cluster overview'!$B$6,'reductions data'!G:G,'cluster overview'!B39)</f>
        <v>0</v>
      </c>
      <c r="D39" s="90">
        <f>SUMIFS('reductions data'!H:H,'reductions data'!B:B,'cluster overview'!$B$6,'reductions data'!$G:$G,'cluster overview'!B39)</f>
        <v>0</v>
      </c>
      <c r="E39" s="91"/>
      <c r="F39" s="424"/>
      <c r="G39" s="424"/>
    </row>
    <row r="40" spans="1:7" x14ac:dyDescent="0.3">
      <c r="B40" s="113" t="s">
        <v>880</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3">
      <c r="A41" s="91"/>
      <c r="B41" s="113" t="s">
        <v>881</v>
      </c>
      <c r="C41" s="89">
        <f>COUNTIFS('reductions data'!B:B,'cluster overview'!$B$6,'reductions data'!G:G,'cluster overview'!B41)</f>
        <v>0</v>
      </c>
      <c r="D41" s="90">
        <f>SUMIFS('reductions data'!H:H,'reductions data'!B:B,'cluster overview'!$B$6,'reductions data'!$G:$G,'cluster overview'!B41)</f>
        <v>0</v>
      </c>
      <c r="E41" s="91"/>
      <c r="F41" s="468" t="s">
        <v>1040</v>
      </c>
      <c r="G41" s="470" t="e">
        <f>G34/G37</f>
        <v>#DIV/0!</v>
      </c>
    </row>
    <row r="42" spans="1:7" ht="15.75" customHeight="1" x14ac:dyDescent="0.3">
      <c r="A42" s="91"/>
      <c r="B42" s="113" t="s">
        <v>1238</v>
      </c>
      <c r="C42" s="89">
        <f>COUNTIFS('reductions data'!B:B,'cluster overview'!$B$6,'reductions data'!G:G,'cluster overview'!B42)</f>
        <v>0</v>
      </c>
      <c r="D42" s="90">
        <f>SUMIFS('reductions data'!H:H,'reductions data'!B:B,'cluster overview'!$B$6,'reductions data'!$G:$G,'cluster overview'!B42)</f>
        <v>0</v>
      </c>
      <c r="E42" s="91"/>
      <c r="F42" s="469"/>
      <c r="G42" s="471"/>
    </row>
    <row r="43" spans="1:7" x14ac:dyDescent="0.3">
      <c r="B43" s="113" t="s">
        <v>882</v>
      </c>
      <c r="C43" s="89">
        <f>COUNTIFS('reductions data'!B:B,'cluster overview'!$B$6,'reductions data'!G:G,'cluster overview'!B43)</f>
        <v>0</v>
      </c>
      <c r="D43" s="90">
        <f>SUMIFS('reductions data'!H:H,'reductions data'!B:B,'cluster overview'!$B$6,'reductions data'!$G:$G,'cluster overview'!B43)</f>
        <v>0</v>
      </c>
      <c r="E43" s="91"/>
      <c r="F43" s="456"/>
      <c r="G43" s="459"/>
    </row>
    <row r="44" spans="1:7" x14ac:dyDescent="0.3">
      <c r="B44" s="113" t="s">
        <v>883</v>
      </c>
      <c r="C44" s="89">
        <f>COUNTIFS('reductions data'!B:B,'cluster overview'!$B$6,'reductions data'!G:G,'cluster overview'!B44)</f>
        <v>0</v>
      </c>
      <c r="D44" s="90">
        <f>SUMIFS('reductions data'!H:H,'reductions data'!B:B,'cluster overview'!$B$6,'reductions data'!$G:$G,'cluster overview'!B44)</f>
        <v>0</v>
      </c>
      <c r="E44" s="91"/>
      <c r="F44" s="456"/>
      <c r="G44" s="459"/>
    </row>
    <row r="45" spans="1:7" x14ac:dyDescent="0.3">
      <c r="B45" s="113" t="s">
        <v>884</v>
      </c>
      <c r="C45" s="89">
        <f>COUNTIFS('reductions data'!B:B,'cluster overview'!$B$6,'reductions data'!G:G,'cluster overview'!B45)</f>
        <v>0</v>
      </c>
      <c r="D45" s="90">
        <f>SUMIFS('reductions data'!H:H,'reductions data'!B:B,'cluster overview'!$B$6,'reductions data'!$G:$G,'cluster overview'!B45)</f>
        <v>0</v>
      </c>
      <c r="E45" s="91"/>
      <c r="F45" s="456"/>
      <c r="G45" s="459"/>
    </row>
    <row r="46" spans="1:7" x14ac:dyDescent="0.3">
      <c r="B46" s="113" t="s">
        <v>885</v>
      </c>
      <c r="C46" s="89">
        <f>COUNTIFS('reductions data'!B:B,'cluster overview'!$B$6,'reductions data'!G:G,'cluster overview'!B46)</f>
        <v>0</v>
      </c>
      <c r="D46" s="90">
        <f>SUMIFS('reductions data'!H:H,'reductions data'!B:B,'cluster overview'!$B$6,'reductions data'!$G:$G,'cluster overview'!B46)</f>
        <v>0</v>
      </c>
      <c r="E46" s="91"/>
      <c r="F46" s="457"/>
      <c r="G46" s="460"/>
    </row>
    <row r="47" spans="1:7" ht="15.75" customHeight="1" x14ac:dyDescent="0.3">
      <c r="B47" s="113" t="s">
        <v>887</v>
      </c>
      <c r="C47" s="89">
        <f>COUNTIFS('reductions data'!B:B,'cluster overview'!$B$6,'reductions data'!G:G,'cluster overview'!B47)</f>
        <v>0</v>
      </c>
      <c r="D47" s="90">
        <f>SUMIFS('reductions data'!H:H,'reductions data'!B:B,'cluster overview'!$B$6,'reductions data'!$G:$G,'cluster overview'!B47)</f>
        <v>0</v>
      </c>
      <c r="E47" s="91"/>
      <c r="F47" s="455" t="s">
        <v>1041</v>
      </c>
      <c r="G47" s="458" t="e">
        <f>+G41-'div &amp; regional reduction hours'!N18</f>
        <v>#DIV/0!</v>
      </c>
    </row>
    <row r="48" spans="1:7" x14ac:dyDescent="0.3">
      <c r="B48" s="113" t="s">
        <v>890</v>
      </c>
      <c r="C48" s="89">
        <f>COUNTIFS('reductions data'!B:B,'cluster overview'!$B$6,'reductions data'!G:G,'cluster overview'!B48)</f>
        <v>0</v>
      </c>
      <c r="D48" s="90">
        <f>SUMIFS('reductions data'!H:H,'reductions data'!B:B,'cluster overview'!$B$6,'reductions data'!$G:$G,'cluster overview'!B48)</f>
        <v>0</v>
      </c>
      <c r="E48" s="91"/>
      <c r="F48" s="456"/>
      <c r="G48" s="459"/>
    </row>
    <row r="49" spans="2:7" x14ac:dyDescent="0.3">
      <c r="B49" s="113" t="s">
        <v>886</v>
      </c>
      <c r="C49" s="89">
        <f>COUNTIFS('reductions data'!B:B,'cluster overview'!$B$6,'reductions data'!G:G,'cluster overview'!B49)</f>
        <v>0</v>
      </c>
      <c r="D49" s="90">
        <f>SUMIFS('reductions data'!H:H,'reductions data'!B:B,'cluster overview'!$B$6,'reductions data'!$G:$G,'cluster overview'!B49)</f>
        <v>0</v>
      </c>
      <c r="E49" s="91"/>
      <c r="F49" s="456"/>
      <c r="G49" s="459"/>
    </row>
    <row r="50" spans="2:7" x14ac:dyDescent="0.3">
      <c r="B50" s="113" t="s">
        <v>971</v>
      </c>
      <c r="C50" s="89">
        <f>COUNTIFS('reductions data'!B:B,'cluster overview'!$B$6,'reductions data'!G:G,'cluster overview'!B50)</f>
        <v>0</v>
      </c>
      <c r="D50" s="90">
        <f>SUMIFS('reductions data'!H:H,'reductions data'!B:B,'cluster overview'!$B$6,'reductions data'!$G:$G,'cluster overview'!B50)</f>
        <v>0</v>
      </c>
      <c r="E50" s="91"/>
      <c r="F50" s="456"/>
      <c r="G50" s="459"/>
    </row>
    <row r="51" spans="2:7" x14ac:dyDescent="0.3">
      <c r="B51" s="113" t="s">
        <v>891</v>
      </c>
      <c r="C51" s="89">
        <f>COUNTIFS('reductions data'!B:B,'cluster overview'!$B$6,'reductions data'!G:G,'cluster overview'!B51)</f>
        <v>0</v>
      </c>
      <c r="D51" s="90">
        <f>SUMIFS('reductions data'!H:H,'reductions data'!B:B,'cluster overview'!$B$6,'reductions data'!$G:$G,'cluster overview'!B51)</f>
        <v>0</v>
      </c>
      <c r="E51" s="91"/>
      <c r="F51" s="457"/>
      <c r="G51" s="460"/>
    </row>
    <row r="52" spans="2:7" x14ac:dyDescent="0.3">
      <c r="B52" s="113" t="s">
        <v>892</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3">
      <c r="B53" s="113" t="s">
        <v>893</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3">
      <c r="B54" s="113" t="s">
        <v>894</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3">
      <c r="B55" s="113" t="s">
        <v>895</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3">
      <c r="B56" s="113" t="s">
        <v>896</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3">
      <c r="B57" s="113" t="s">
        <v>897</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3">
      <c r="B58" s="113" t="s">
        <v>1231</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3">
      <c r="B59" s="113" t="s">
        <v>1232</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3">
      <c r="B60" s="322" t="s">
        <v>1229</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3">
      <c r="B61" s="322" t="s">
        <v>1230</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3">
      <c r="B62" s="322" t="s">
        <v>1239</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3">
      <c r="B63" s="322" t="s">
        <v>1235</v>
      </c>
      <c r="C63" s="327">
        <f>COUNTIFS('reductions data'!B:B,'cluster overview'!$B$6,'reductions data'!G:G,'cluster overview'!B63)</f>
        <v>0</v>
      </c>
      <c r="D63" s="90">
        <f>SUMIFS('reductions data'!H:H,'reductions data'!B:B,'cluster overview'!$B$6,'reductions data'!$G:$G,'cluster overview'!B63)</f>
        <v>0</v>
      </c>
      <c r="E63" s="91"/>
      <c r="F63" s="91"/>
      <c r="G63" s="64"/>
    </row>
    <row r="64" spans="2:7" x14ac:dyDescent="0.3">
      <c r="B64" s="322" t="s">
        <v>1236</v>
      </c>
      <c r="C64" s="327">
        <f>COUNTIFS('reductions data'!B:B,'cluster overview'!$B$6,'reductions data'!G:G,'cluster overview'!B64)</f>
        <v>0</v>
      </c>
      <c r="D64" s="90">
        <f>SUMIFS('reductions data'!H:H,'reductions data'!B:B,'cluster overview'!$B$6,'reductions data'!$G:$G,'cluster overview'!B64)</f>
        <v>0</v>
      </c>
      <c r="E64" s="91"/>
      <c r="F64" s="91"/>
      <c r="G64" s="64"/>
    </row>
    <row r="65" spans="2:7" x14ac:dyDescent="0.3">
      <c r="B65" s="322" t="s">
        <v>1240</v>
      </c>
      <c r="C65" s="327">
        <f>COUNTIFS('reductions data'!B:B,'cluster overview'!$B$6,'reductions data'!G:G,'cluster overview'!B65)</f>
        <v>0</v>
      </c>
      <c r="D65" s="90">
        <f>SUMIFS('reductions data'!H:H,'reductions data'!B:B,'cluster overview'!$B$6,'reductions data'!$G:$G,'cluster overview'!B65)</f>
        <v>0</v>
      </c>
      <c r="E65" s="91"/>
      <c r="F65" s="91"/>
      <c r="G65" s="64"/>
    </row>
    <row r="66" spans="2:7" x14ac:dyDescent="0.3">
      <c r="B66" s="112" t="s">
        <v>1233</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3">
      <c r="B67" s="113" t="s">
        <v>1234</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3">
      <c r="B68" s="113" t="s">
        <v>899</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3">
      <c r="B69" s="113" t="s">
        <v>900</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3">
      <c r="B70" s="113" t="s">
        <v>901</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3">
      <c r="B71" s="113" t="s">
        <v>902</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3">
      <c r="B72" s="113" t="s">
        <v>903</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3">
      <c r="B73" s="113" t="s">
        <v>904</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3">
      <c r="B74" s="113" t="s">
        <v>898</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3">
      <c r="B75" s="113" t="s">
        <v>905</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3">
      <c r="B76" s="113" t="s">
        <v>906</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3">
      <c r="B77" s="113" t="s">
        <v>907</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3">
      <c r="B78" s="113" t="s">
        <v>908</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3">
      <c r="B79" s="113" t="s">
        <v>909</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3">
      <c r="B80" s="113" t="s">
        <v>910</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3">
      <c r="B81" s="113" t="s">
        <v>911</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3">
      <c r="B82" s="113" t="s">
        <v>912</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3">
      <c r="B83" s="91"/>
      <c r="C83" s="91"/>
      <c r="D83" s="91"/>
      <c r="E83" s="91"/>
      <c r="F83" s="91"/>
      <c r="G83" s="64"/>
    </row>
    <row r="84" spans="2:19" ht="15.5" x14ac:dyDescent="0.3">
      <c r="B84" s="58"/>
      <c r="C84" s="56"/>
      <c r="D84" s="57"/>
      <c r="E84" s="91"/>
      <c r="F84" s="91"/>
      <c r="G84" s="64"/>
    </row>
    <row r="85" spans="2:19" ht="15.5" x14ac:dyDescent="0.3">
      <c r="B85" s="58"/>
      <c r="C85" s="56"/>
      <c r="D85" s="57"/>
      <c r="E85" s="91"/>
      <c r="F85" s="91"/>
      <c r="G85" s="64"/>
    </row>
    <row r="86" spans="2:19" ht="20" x14ac:dyDescent="0.3">
      <c r="B86" s="449" t="s">
        <v>1042</v>
      </c>
      <c r="C86" s="449"/>
      <c r="D86" s="449"/>
      <c r="E86" s="449"/>
      <c r="F86" s="449"/>
      <c r="G86" s="449"/>
      <c r="H86" s="449"/>
      <c r="I86" s="449"/>
      <c r="J86" s="449"/>
      <c r="K86" s="449"/>
      <c r="L86" s="449"/>
      <c r="M86" s="449"/>
      <c r="N86" s="449"/>
      <c r="O86" s="449"/>
      <c r="P86" s="449"/>
      <c r="Q86" s="449"/>
      <c r="R86" s="449"/>
      <c r="S86" s="449"/>
    </row>
    <row r="87" spans="2:19" ht="25.5" x14ac:dyDescent="0.3">
      <c r="B87" s="334" t="str">
        <f>B6</f>
        <v>Hammersmith, Fulham, Kensington, Chelsea and Westminster</v>
      </c>
      <c r="C87" s="38" t="s">
        <v>846</v>
      </c>
      <c r="D87" s="38" t="s">
        <v>847</v>
      </c>
      <c r="E87" s="38" t="s">
        <v>848</v>
      </c>
      <c r="F87" s="38" t="s">
        <v>849</v>
      </c>
      <c r="G87" s="38" t="s">
        <v>850</v>
      </c>
      <c r="H87" s="38" t="s">
        <v>851</v>
      </c>
      <c r="I87" s="38" t="s">
        <v>852</v>
      </c>
      <c r="J87" s="38" t="s">
        <v>853</v>
      </c>
      <c r="K87" s="38" t="s">
        <v>854</v>
      </c>
      <c r="L87" s="38" t="s">
        <v>855</v>
      </c>
      <c r="M87" s="38" t="s">
        <v>856</v>
      </c>
      <c r="N87" s="38" t="s">
        <v>857</v>
      </c>
      <c r="O87" s="38" t="s">
        <v>858</v>
      </c>
      <c r="P87" s="38" t="s">
        <v>859</v>
      </c>
      <c r="Q87" s="38" t="s">
        <v>860</v>
      </c>
      <c r="R87" s="38" t="s">
        <v>861</v>
      </c>
      <c r="S87" s="38" t="s">
        <v>976</v>
      </c>
    </row>
    <row r="88" spans="2:19" x14ac:dyDescent="0.3">
      <c r="B88" s="75" t="s">
        <v>973</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3">
      <c r="B89" s="75" t="s">
        <v>974</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3">
      <c r="B90" s="75" t="s">
        <v>975</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3">
      <c r="B91" s="110" t="s">
        <v>976</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35">
      <c r="E92" s="1"/>
      <c r="F92" s="1"/>
    </row>
    <row r="93" spans="2:19" ht="20" x14ac:dyDescent="0.3">
      <c r="B93" s="449" t="s">
        <v>1043</v>
      </c>
      <c r="C93" s="449"/>
      <c r="D93" s="449"/>
      <c r="E93" s="449"/>
      <c r="F93" s="449"/>
      <c r="G93" s="449"/>
      <c r="H93" s="449"/>
      <c r="I93" s="449"/>
      <c r="J93" s="449"/>
      <c r="K93" s="449"/>
      <c r="L93" s="449"/>
      <c r="M93" s="449"/>
      <c r="N93" s="449"/>
      <c r="O93" s="449"/>
      <c r="P93" s="449"/>
      <c r="Q93" s="449"/>
      <c r="R93" s="449"/>
    </row>
    <row r="94" spans="2:19" ht="25.5" x14ac:dyDescent="0.3">
      <c r="B94" s="334" t="str">
        <f>B6</f>
        <v>Hammersmith, Fulham, Kensington, Chelsea and Westminster</v>
      </c>
      <c r="C94" s="38" t="s">
        <v>846</v>
      </c>
      <c r="D94" s="38" t="s">
        <v>847</v>
      </c>
      <c r="E94" s="38" t="s">
        <v>848</v>
      </c>
      <c r="F94" s="38" t="s">
        <v>849</v>
      </c>
      <c r="G94" s="38" t="s">
        <v>850</v>
      </c>
      <c r="H94" s="38" t="s">
        <v>851</v>
      </c>
      <c r="I94" s="38" t="s">
        <v>852</v>
      </c>
      <c r="J94" s="38" t="s">
        <v>853</v>
      </c>
      <c r="K94" s="38" t="s">
        <v>854</v>
      </c>
      <c r="L94" s="38" t="s">
        <v>855</v>
      </c>
      <c r="M94" s="38" t="s">
        <v>856</v>
      </c>
      <c r="N94" s="38" t="s">
        <v>857</v>
      </c>
      <c r="O94" s="38" t="s">
        <v>858</v>
      </c>
      <c r="P94" s="38" t="s">
        <v>859</v>
      </c>
      <c r="Q94" s="38" t="s">
        <v>860</v>
      </c>
      <c r="R94" s="38" t="s">
        <v>861</v>
      </c>
    </row>
    <row r="95" spans="2:19" x14ac:dyDescent="0.3">
      <c r="B95" s="75" t="s">
        <v>973</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3">
      <c r="B96" s="75" t="s">
        <v>974</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3">
      <c r="B97" s="75" t="s">
        <v>975</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3">
      <c r="B98" s="110" t="s">
        <v>976</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3"/>
    <row r="102" spans="2:37" ht="26" x14ac:dyDescent="0.35">
      <c r="B102" s="334" t="str">
        <f>B6</f>
        <v>Hammersmith, Fulham, Kensington, Chelsea and Westminster</v>
      </c>
      <c r="C102" s="448" t="s">
        <v>980</v>
      </c>
      <c r="D102" s="449"/>
      <c r="E102" s="449"/>
      <c r="F102" s="449"/>
      <c r="G102" s="449"/>
      <c r="H102" s="449"/>
      <c r="I102" s="449"/>
      <c r="J102" s="449"/>
      <c r="K102" s="449"/>
      <c r="L102" s="449"/>
      <c r="M102" s="449"/>
      <c r="N102" s="449"/>
      <c r="O102" s="449"/>
      <c r="P102" s="449"/>
      <c r="Q102" s="449"/>
      <c r="R102" s="449"/>
      <c r="U102" s="114" t="str">
        <f>B6</f>
        <v>Hammersmith, Fulham, Kensington, Chelsea and Westminster</v>
      </c>
      <c r="V102" s="445" t="s">
        <v>1341</v>
      </c>
      <c r="W102" s="446"/>
      <c r="X102" s="446"/>
      <c r="Y102" s="446"/>
      <c r="Z102" s="446"/>
      <c r="AA102" s="446"/>
      <c r="AB102" s="446"/>
      <c r="AC102" s="446"/>
      <c r="AD102" s="446"/>
      <c r="AE102" s="446"/>
      <c r="AF102" s="446"/>
      <c r="AG102" s="446"/>
      <c r="AH102" s="446"/>
      <c r="AI102" s="446"/>
      <c r="AJ102" s="446"/>
      <c r="AK102" s="447"/>
    </row>
    <row r="103" spans="2:37" ht="15.75" customHeight="1" x14ac:dyDescent="0.3">
      <c r="B103" s="398"/>
      <c r="C103" s="38" t="s">
        <v>846</v>
      </c>
      <c r="D103" s="38" t="s">
        <v>847</v>
      </c>
      <c r="E103" s="38" t="s">
        <v>848</v>
      </c>
      <c r="F103" s="38" t="s">
        <v>849</v>
      </c>
      <c r="G103" s="38" t="s">
        <v>850</v>
      </c>
      <c r="H103" s="38" t="s">
        <v>851</v>
      </c>
      <c r="I103" s="38" t="s">
        <v>852</v>
      </c>
      <c r="J103" s="38" t="s">
        <v>853</v>
      </c>
      <c r="K103" s="38" t="s">
        <v>854</v>
      </c>
      <c r="L103" s="38" t="s">
        <v>855</v>
      </c>
      <c r="M103" s="38" t="s">
        <v>856</v>
      </c>
      <c r="N103" s="38" t="s">
        <v>857</v>
      </c>
      <c r="O103" s="38" t="s">
        <v>858</v>
      </c>
      <c r="P103" s="38" t="s">
        <v>859</v>
      </c>
      <c r="Q103" s="38" t="s">
        <v>860</v>
      </c>
      <c r="R103" s="38" t="s">
        <v>861</v>
      </c>
      <c r="U103" s="95" t="s">
        <v>983</v>
      </c>
      <c r="V103" s="38" t="s">
        <v>846</v>
      </c>
      <c r="W103" s="38" t="s">
        <v>847</v>
      </c>
      <c r="X103" s="38" t="s">
        <v>848</v>
      </c>
      <c r="Y103" s="38" t="s">
        <v>849</v>
      </c>
      <c r="Z103" s="38" t="s">
        <v>850</v>
      </c>
      <c r="AA103" s="38" t="s">
        <v>851</v>
      </c>
      <c r="AB103" s="38" t="s">
        <v>852</v>
      </c>
      <c r="AC103" s="38" t="s">
        <v>853</v>
      </c>
      <c r="AD103" s="38" t="s">
        <v>854</v>
      </c>
      <c r="AE103" s="38" t="s">
        <v>855</v>
      </c>
      <c r="AF103" s="38" t="s">
        <v>856</v>
      </c>
      <c r="AG103" s="38" t="s">
        <v>857</v>
      </c>
      <c r="AH103" s="38" t="s">
        <v>858</v>
      </c>
      <c r="AI103" s="38" t="s">
        <v>859</v>
      </c>
      <c r="AJ103" s="38" t="s">
        <v>860</v>
      </c>
      <c r="AK103" s="38" t="s">
        <v>861</v>
      </c>
    </row>
    <row r="104" spans="2:37" ht="14.25" customHeight="1" x14ac:dyDescent="0.3">
      <c r="B104" s="75" t="s">
        <v>979</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979</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3">
      <c r="B105" s="75" t="s">
        <v>984</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984</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3">
      <c r="B106" s="75" t="s">
        <v>985</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985</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3">
      <c r="B107" s="75" t="s">
        <v>986</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986</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3">
      <c r="B108" s="21"/>
    </row>
    <row r="109" spans="2:37" ht="14.25" customHeight="1" x14ac:dyDescent="0.35">
      <c r="B109" s="334" t="str">
        <f>B6</f>
        <v>Hammersmith, Fulham, Kensington, Chelsea and Westminster</v>
      </c>
      <c r="C109" s="448" t="s">
        <v>987</v>
      </c>
      <c r="D109" s="449"/>
      <c r="E109" s="449"/>
      <c r="F109" s="449"/>
      <c r="G109" s="449"/>
      <c r="H109" s="449"/>
      <c r="I109" s="449"/>
      <c r="J109" s="449"/>
      <c r="K109" s="449"/>
      <c r="L109" s="449"/>
      <c r="M109" s="449"/>
      <c r="N109" s="449"/>
      <c r="O109" s="449"/>
      <c r="P109" s="449"/>
      <c r="Q109" s="449"/>
      <c r="R109" s="449"/>
      <c r="U109" s="114" t="str">
        <f>B6</f>
        <v>Hammersmith, Fulham, Kensington, Chelsea and Westminster</v>
      </c>
      <c r="V109" s="445" t="s">
        <v>1342</v>
      </c>
      <c r="W109" s="446"/>
      <c r="X109" s="446"/>
      <c r="Y109" s="446"/>
      <c r="Z109" s="446"/>
      <c r="AA109" s="446"/>
      <c r="AB109" s="446"/>
      <c r="AC109" s="446"/>
      <c r="AD109" s="446"/>
      <c r="AE109" s="446"/>
      <c r="AF109" s="446"/>
      <c r="AG109" s="446"/>
      <c r="AH109" s="446"/>
      <c r="AI109" s="446"/>
      <c r="AJ109" s="446"/>
      <c r="AK109" s="447"/>
    </row>
    <row r="110" spans="2:37" ht="14.25" customHeight="1" x14ac:dyDescent="0.3">
      <c r="B110" s="95" t="s">
        <v>982</v>
      </c>
      <c r="C110" s="38" t="s">
        <v>846</v>
      </c>
      <c r="D110" s="38" t="s">
        <v>847</v>
      </c>
      <c r="E110" s="38" t="s">
        <v>848</v>
      </c>
      <c r="F110" s="38" t="s">
        <v>849</v>
      </c>
      <c r="G110" s="38" t="s">
        <v>850</v>
      </c>
      <c r="H110" s="38" t="s">
        <v>851</v>
      </c>
      <c r="I110" s="38" t="s">
        <v>852</v>
      </c>
      <c r="J110" s="38" t="s">
        <v>853</v>
      </c>
      <c r="K110" s="38" t="s">
        <v>854</v>
      </c>
      <c r="L110" s="38" t="s">
        <v>855</v>
      </c>
      <c r="M110" s="38" t="s">
        <v>856</v>
      </c>
      <c r="N110" s="38" t="s">
        <v>857</v>
      </c>
      <c r="O110" s="38" t="s">
        <v>858</v>
      </c>
      <c r="P110" s="38" t="s">
        <v>859</v>
      </c>
      <c r="Q110" s="38" t="s">
        <v>860</v>
      </c>
      <c r="R110" s="38" t="s">
        <v>861</v>
      </c>
      <c r="U110" s="95" t="s">
        <v>983</v>
      </c>
      <c r="V110" s="38" t="s">
        <v>846</v>
      </c>
      <c r="W110" s="38" t="s">
        <v>847</v>
      </c>
      <c r="X110" s="38" t="s">
        <v>848</v>
      </c>
      <c r="Y110" s="38" t="s">
        <v>849</v>
      </c>
      <c r="Z110" s="38" t="s">
        <v>850</v>
      </c>
      <c r="AA110" s="38" t="s">
        <v>851</v>
      </c>
      <c r="AB110" s="38" t="s">
        <v>852</v>
      </c>
      <c r="AC110" s="38" t="s">
        <v>853</v>
      </c>
      <c r="AD110" s="38" t="s">
        <v>854</v>
      </c>
      <c r="AE110" s="38" t="s">
        <v>855</v>
      </c>
      <c r="AF110" s="38" t="s">
        <v>856</v>
      </c>
      <c r="AG110" s="38" t="s">
        <v>857</v>
      </c>
      <c r="AH110" s="38" t="s">
        <v>858</v>
      </c>
      <c r="AI110" s="38" t="s">
        <v>859</v>
      </c>
      <c r="AJ110" s="38" t="s">
        <v>860</v>
      </c>
      <c r="AK110" s="38" t="s">
        <v>861</v>
      </c>
    </row>
    <row r="111" spans="2:37" ht="14.25" customHeight="1" x14ac:dyDescent="0.3">
      <c r="B111" s="75" t="s">
        <v>979</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979</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3">
      <c r="B112" s="75" t="s">
        <v>984</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984</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3">
      <c r="B113" s="75" t="s">
        <v>985</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985</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3">
      <c r="B114" s="75" t="s">
        <v>986</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986</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3">
      <c r="B115" s="21"/>
    </row>
    <row r="116" spans="2:37" ht="14.25" customHeight="1" x14ac:dyDescent="0.35">
      <c r="B116" s="334" t="str">
        <f>B6</f>
        <v>Hammersmith, Fulham, Kensington, Chelsea and Westminster</v>
      </c>
      <c r="C116" s="448" t="s">
        <v>988</v>
      </c>
      <c r="D116" s="449"/>
      <c r="E116" s="449"/>
      <c r="F116" s="449"/>
      <c r="G116" s="449"/>
      <c r="H116" s="449"/>
      <c r="I116" s="449"/>
      <c r="J116" s="449"/>
      <c r="K116" s="449"/>
      <c r="L116" s="449"/>
      <c r="M116" s="449"/>
      <c r="N116" s="449"/>
      <c r="O116" s="449"/>
      <c r="P116" s="449"/>
      <c r="Q116" s="449"/>
      <c r="R116" s="449"/>
      <c r="U116" s="114" t="str">
        <f>B6</f>
        <v>Hammersmith, Fulham, Kensington, Chelsea and Westminster</v>
      </c>
      <c r="V116" s="445" t="s">
        <v>1340</v>
      </c>
      <c r="W116" s="446"/>
      <c r="X116" s="446"/>
      <c r="Y116" s="446"/>
      <c r="Z116" s="446"/>
      <c r="AA116" s="446"/>
      <c r="AB116" s="446"/>
      <c r="AC116" s="446"/>
      <c r="AD116" s="446"/>
      <c r="AE116" s="446"/>
      <c r="AF116" s="446"/>
      <c r="AG116" s="446"/>
      <c r="AH116" s="446"/>
      <c r="AI116" s="446"/>
      <c r="AJ116" s="446"/>
      <c r="AK116" s="447"/>
    </row>
    <row r="117" spans="2:37" ht="14.25" customHeight="1" x14ac:dyDescent="0.3">
      <c r="B117" s="95" t="s">
        <v>982</v>
      </c>
      <c r="C117" s="38" t="s">
        <v>846</v>
      </c>
      <c r="D117" s="38" t="s">
        <v>847</v>
      </c>
      <c r="E117" s="38" t="s">
        <v>848</v>
      </c>
      <c r="F117" s="38" t="s">
        <v>849</v>
      </c>
      <c r="G117" s="38" t="s">
        <v>850</v>
      </c>
      <c r="H117" s="38" t="s">
        <v>851</v>
      </c>
      <c r="I117" s="38" t="s">
        <v>852</v>
      </c>
      <c r="J117" s="38" t="s">
        <v>853</v>
      </c>
      <c r="K117" s="38" t="s">
        <v>854</v>
      </c>
      <c r="L117" s="38" t="s">
        <v>855</v>
      </c>
      <c r="M117" s="38" t="s">
        <v>856</v>
      </c>
      <c r="N117" s="38" t="s">
        <v>857</v>
      </c>
      <c r="O117" s="38" t="s">
        <v>858</v>
      </c>
      <c r="P117" s="38" t="s">
        <v>859</v>
      </c>
      <c r="Q117" s="38" t="s">
        <v>860</v>
      </c>
      <c r="R117" s="38" t="s">
        <v>861</v>
      </c>
      <c r="U117" s="95" t="s">
        <v>983</v>
      </c>
      <c r="V117" s="38" t="s">
        <v>846</v>
      </c>
      <c r="W117" s="38" t="s">
        <v>847</v>
      </c>
      <c r="X117" s="38" t="s">
        <v>848</v>
      </c>
      <c r="Y117" s="38" t="s">
        <v>849</v>
      </c>
      <c r="Z117" s="38" t="s">
        <v>850</v>
      </c>
      <c r="AA117" s="38" t="s">
        <v>851</v>
      </c>
      <c r="AB117" s="38" t="s">
        <v>852</v>
      </c>
      <c r="AC117" s="38" t="s">
        <v>853</v>
      </c>
      <c r="AD117" s="38" t="s">
        <v>854</v>
      </c>
      <c r="AE117" s="38" t="s">
        <v>855</v>
      </c>
      <c r="AF117" s="38" t="s">
        <v>856</v>
      </c>
      <c r="AG117" s="38" t="s">
        <v>857</v>
      </c>
      <c r="AH117" s="38" t="s">
        <v>858</v>
      </c>
      <c r="AI117" s="38" t="s">
        <v>859</v>
      </c>
      <c r="AJ117" s="38" t="s">
        <v>860</v>
      </c>
      <c r="AK117" s="38" t="s">
        <v>861</v>
      </c>
    </row>
    <row r="118" spans="2:37" ht="14.25" customHeight="1" x14ac:dyDescent="0.3">
      <c r="B118" s="75" t="s">
        <v>979</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979</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3">
      <c r="B119" s="75" t="s">
        <v>984</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984</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3">
      <c r="B120" s="75" t="s">
        <v>985</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985</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3">
      <c r="B121" s="75" t="s">
        <v>986</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986</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3"/>
    <row r="123" spans="2:37" ht="14.25" customHeight="1" x14ac:dyDescent="0.35">
      <c r="B123" s="334" t="str">
        <f>B6</f>
        <v>Hammersmith, Fulham, Kensington, Chelsea and Westminster</v>
      </c>
      <c r="C123" s="448" t="s">
        <v>989</v>
      </c>
      <c r="D123" s="449"/>
      <c r="E123" s="449"/>
      <c r="F123" s="449"/>
      <c r="G123" s="449"/>
      <c r="H123" s="449"/>
      <c r="I123" s="449"/>
      <c r="J123" s="449"/>
      <c r="K123" s="449"/>
      <c r="L123" s="449"/>
      <c r="M123" s="449"/>
      <c r="N123" s="449"/>
      <c r="O123" s="449"/>
      <c r="P123" s="449"/>
      <c r="Q123" s="449"/>
      <c r="R123" s="449"/>
      <c r="U123" s="114" t="str">
        <f>B6</f>
        <v>Hammersmith, Fulham, Kensington, Chelsea and Westminster</v>
      </c>
      <c r="V123" s="445" t="s">
        <v>1343</v>
      </c>
      <c r="W123" s="446"/>
      <c r="X123" s="446"/>
      <c r="Y123" s="446"/>
      <c r="Z123" s="446"/>
      <c r="AA123" s="446"/>
      <c r="AB123" s="446"/>
      <c r="AC123" s="446"/>
      <c r="AD123" s="446"/>
      <c r="AE123" s="446"/>
      <c r="AF123" s="446"/>
      <c r="AG123" s="446"/>
      <c r="AH123" s="446"/>
      <c r="AI123" s="446"/>
      <c r="AJ123" s="446"/>
      <c r="AK123" s="447"/>
    </row>
    <row r="124" spans="2:37" ht="14.25" customHeight="1" x14ac:dyDescent="0.3">
      <c r="B124" s="95" t="s">
        <v>982</v>
      </c>
      <c r="C124" s="38" t="s">
        <v>846</v>
      </c>
      <c r="D124" s="38" t="s">
        <v>847</v>
      </c>
      <c r="E124" s="38" t="s">
        <v>848</v>
      </c>
      <c r="F124" s="38" t="s">
        <v>849</v>
      </c>
      <c r="G124" s="38" t="s">
        <v>850</v>
      </c>
      <c r="H124" s="38" t="s">
        <v>851</v>
      </c>
      <c r="I124" s="38" t="s">
        <v>852</v>
      </c>
      <c r="J124" s="38" t="s">
        <v>853</v>
      </c>
      <c r="K124" s="38" t="s">
        <v>854</v>
      </c>
      <c r="L124" s="38" t="s">
        <v>855</v>
      </c>
      <c r="M124" s="38" t="s">
        <v>856</v>
      </c>
      <c r="N124" s="38" t="s">
        <v>857</v>
      </c>
      <c r="O124" s="38" t="s">
        <v>858</v>
      </c>
      <c r="P124" s="38" t="s">
        <v>859</v>
      </c>
      <c r="Q124" s="38" t="s">
        <v>860</v>
      </c>
      <c r="R124" s="38" t="s">
        <v>861</v>
      </c>
      <c r="U124" s="51" t="s">
        <v>983</v>
      </c>
      <c r="V124" s="38" t="s">
        <v>846</v>
      </c>
      <c r="W124" s="38" t="s">
        <v>847</v>
      </c>
      <c r="X124" s="38" t="s">
        <v>848</v>
      </c>
      <c r="Y124" s="38" t="s">
        <v>849</v>
      </c>
      <c r="Z124" s="38" t="s">
        <v>850</v>
      </c>
      <c r="AA124" s="38" t="s">
        <v>851</v>
      </c>
      <c r="AB124" s="38" t="s">
        <v>852</v>
      </c>
      <c r="AC124" s="38" t="s">
        <v>853</v>
      </c>
      <c r="AD124" s="38" t="s">
        <v>854</v>
      </c>
      <c r="AE124" s="38" t="s">
        <v>855</v>
      </c>
      <c r="AF124" s="38" t="s">
        <v>856</v>
      </c>
      <c r="AG124" s="38" t="s">
        <v>857</v>
      </c>
      <c r="AH124" s="38" t="s">
        <v>858</v>
      </c>
      <c r="AI124" s="38" t="s">
        <v>859</v>
      </c>
      <c r="AJ124" s="38" t="s">
        <v>860</v>
      </c>
      <c r="AK124" s="38" t="s">
        <v>861</v>
      </c>
    </row>
    <row r="125" spans="2:37" ht="14.25" customHeight="1" x14ac:dyDescent="0.3">
      <c r="B125" s="75" t="s">
        <v>979</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979</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3">
      <c r="B126" s="75" t="s">
        <v>984</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984</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3">
      <c r="B127" s="75" t="s">
        <v>985</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985</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3">
      <c r="B128" s="75" t="s">
        <v>986</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986</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3"/>
    <row r="130" ht="14.25" customHeight="1" x14ac:dyDescent="0.3"/>
    <row r="131" ht="14.25" customHeight="1" x14ac:dyDescent="0.3"/>
    <row r="132" ht="14.25" customHeight="1" x14ac:dyDescent="0.3"/>
    <row r="133" ht="14.25" customHeight="1" x14ac:dyDescent="0.3"/>
    <row r="134" ht="14.25" customHeight="1" x14ac:dyDescent="0.3"/>
  </sheetData>
  <sortState xmlns:xlrd2="http://schemas.microsoft.com/office/spreadsheetml/2017/richdata2" ref="B34:D79">
    <sortCondition ref="B34:B79"/>
  </sortState>
  <mergeCells count="28">
    <mergeCell ref="B86:S86"/>
    <mergeCell ref="B93:R93"/>
    <mergeCell ref="C102:R102"/>
    <mergeCell ref="C109:R109"/>
    <mergeCell ref="C116:R116"/>
    <mergeCell ref="B26:F26"/>
    <mergeCell ref="G26:H26"/>
    <mergeCell ref="I26:K26"/>
    <mergeCell ref="F47:F51"/>
    <mergeCell ref="G47:G51"/>
    <mergeCell ref="F34:F36"/>
    <mergeCell ref="G34:G36"/>
    <mergeCell ref="B32:D32"/>
    <mergeCell ref="F32:G32"/>
    <mergeCell ref="F37:F39"/>
    <mergeCell ref="G37:G39"/>
    <mergeCell ref="F41:F46"/>
    <mergeCell ref="G41:G46"/>
    <mergeCell ref="B8:F8"/>
    <mergeCell ref="A1:M1"/>
    <mergeCell ref="A2:M2"/>
    <mergeCell ref="B19:F19"/>
    <mergeCell ref="G19:H19"/>
    <mergeCell ref="V102:AK102"/>
    <mergeCell ref="V109:AK109"/>
    <mergeCell ref="V116:AK116"/>
    <mergeCell ref="V123:AK123"/>
    <mergeCell ref="C123:R123"/>
  </mergeCells>
  <phoneticPr fontId="76"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topLeftCell="B1" zoomScale="130" zoomScaleNormal="130" workbookViewId="0">
      <selection activeCell="B6" sqref="B6"/>
    </sheetView>
  </sheetViews>
  <sheetFormatPr defaultColWidth="9.1796875" defaultRowHeight="14" x14ac:dyDescent="0.3"/>
  <cols>
    <col min="2" max="2" width="42.453125" customWidth="1"/>
    <col min="3" max="3" width="19.1796875" customWidth="1"/>
    <col min="4" max="4" width="20.453125" bestFit="1" customWidth="1"/>
    <col min="5" max="5" width="16.26953125" customWidth="1"/>
    <col min="6" max="6" width="17.1796875" customWidth="1"/>
    <col min="7" max="7" width="18.453125" customWidth="1"/>
    <col min="8" max="8" width="19.1796875" customWidth="1"/>
    <col min="9" max="9" width="17.453125" customWidth="1"/>
    <col min="10" max="10" width="20.453125" customWidth="1"/>
    <col min="11" max="11" width="23.7265625" customWidth="1"/>
    <col min="12" max="12" width="19.81640625" customWidth="1"/>
    <col min="13" max="13" width="17.81640625" bestFit="1" customWidth="1"/>
    <col min="14" max="14" width="8.453125" bestFit="1" customWidth="1"/>
    <col min="17" max="17" width="10" bestFit="1" customWidth="1"/>
  </cols>
  <sheetData>
    <row r="1" spans="1:19" ht="43.5" customHeight="1" x14ac:dyDescent="0.3">
      <c r="A1" s="475" t="s">
        <v>1044</v>
      </c>
      <c r="B1" s="475"/>
      <c r="C1" s="475"/>
      <c r="D1" s="475"/>
      <c r="E1" s="475"/>
      <c r="F1" s="475"/>
      <c r="G1" s="475"/>
      <c r="H1" s="475"/>
      <c r="I1" s="475"/>
      <c r="J1" s="475"/>
      <c r="K1" s="475"/>
      <c r="L1" s="475"/>
      <c r="M1" s="475"/>
      <c r="N1" s="476"/>
      <c r="O1" s="476"/>
      <c r="P1" s="476"/>
      <c r="Q1" s="476"/>
      <c r="R1" s="476"/>
      <c r="S1" s="476"/>
    </row>
    <row r="2" spans="1:19" ht="37.5" customHeight="1" x14ac:dyDescent="0.3">
      <c r="A2" s="430"/>
      <c r="B2" s="430"/>
      <c r="C2" s="430"/>
      <c r="D2" s="430"/>
      <c r="E2" s="430"/>
      <c r="F2" s="430"/>
      <c r="G2" s="430"/>
      <c r="H2" s="430"/>
      <c r="I2" s="430"/>
      <c r="J2" s="430"/>
      <c r="K2" s="430"/>
      <c r="L2" s="430"/>
      <c r="M2" s="430"/>
      <c r="N2" s="241"/>
      <c r="O2" s="241"/>
      <c r="P2" s="241"/>
      <c r="Q2" s="241"/>
      <c r="R2" s="241"/>
      <c r="S2" s="241"/>
    </row>
    <row r="3" spans="1:19" ht="16.5" customHeight="1" x14ac:dyDescent="0.3"/>
    <row r="4" spans="1:19" ht="33.75" customHeight="1" x14ac:dyDescent="0.3">
      <c r="B4" s="337" t="s">
        <v>1045</v>
      </c>
    </row>
    <row r="5" spans="1:19" ht="24" customHeight="1" x14ac:dyDescent="0.3">
      <c r="B5" s="242" t="s">
        <v>28</v>
      </c>
      <c r="D5" t="s">
        <v>1046</v>
      </c>
      <c r="F5" s="40"/>
    </row>
    <row r="6" spans="1:19" ht="33" customHeight="1" x14ac:dyDescent="0.3">
      <c r="B6" s="304" t="s">
        <v>1335</v>
      </c>
    </row>
    <row r="8" spans="1:19" ht="23" x14ac:dyDescent="0.3">
      <c r="B8" s="450" t="s">
        <v>918</v>
      </c>
      <c r="C8" s="451"/>
      <c r="D8" s="451"/>
      <c r="E8" s="451"/>
      <c r="F8" s="452"/>
    </row>
    <row r="9" spans="1:19" ht="52" x14ac:dyDescent="0.3">
      <c r="B9" s="62"/>
      <c r="C9" s="219" t="s">
        <v>919</v>
      </c>
      <c r="D9" s="63" t="s">
        <v>920</v>
      </c>
      <c r="E9" s="63" t="s">
        <v>921</v>
      </c>
      <c r="F9" s="63" t="s">
        <v>922</v>
      </c>
      <c r="G9" s="64"/>
      <c r="H9" s="219" t="s">
        <v>1024</v>
      </c>
      <c r="I9" s="219" t="s">
        <v>924</v>
      </c>
      <c r="J9" s="64"/>
      <c r="K9" s="219" t="s">
        <v>925</v>
      </c>
      <c r="L9" s="219" t="s">
        <v>926</v>
      </c>
      <c r="M9" s="64"/>
    </row>
    <row r="10" spans="1:19" x14ac:dyDescent="0.3">
      <c r="B10" s="65" t="str">
        <f>B6</f>
        <v>Hull Community Intergration Team 3</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3">
      <c r="B11" s="106" t="s">
        <v>927</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3">
      <c r="B12" s="119" t="s">
        <v>1018</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3">
      <c r="B13" s="64"/>
      <c r="C13" s="64"/>
      <c r="D13" s="64"/>
      <c r="E13" s="64"/>
      <c r="F13" s="64"/>
      <c r="G13" s="64"/>
      <c r="H13" s="64"/>
      <c r="I13" s="64"/>
      <c r="J13" s="64"/>
      <c r="K13" s="64"/>
      <c r="L13" s="64"/>
      <c r="M13" s="64"/>
    </row>
    <row r="14" spans="1:19" ht="50.25" customHeight="1" x14ac:dyDescent="0.3">
      <c r="B14" s="69"/>
      <c r="C14" s="70" t="s">
        <v>930</v>
      </c>
      <c r="D14" s="70" t="s">
        <v>931</v>
      </c>
      <c r="E14" s="70" t="s">
        <v>932</v>
      </c>
      <c r="F14" s="70" t="s">
        <v>933</v>
      </c>
      <c r="G14" s="70" t="s">
        <v>934</v>
      </c>
      <c r="H14" s="70" t="s">
        <v>935</v>
      </c>
      <c r="I14" s="70" t="s">
        <v>936</v>
      </c>
      <c r="J14" s="71" t="s">
        <v>937</v>
      </c>
      <c r="K14" s="70" t="s">
        <v>938</v>
      </c>
      <c r="L14" s="70" t="s">
        <v>939</v>
      </c>
      <c r="M14" s="70" t="s">
        <v>940</v>
      </c>
    </row>
    <row r="15" spans="1:19" ht="20.25" customHeight="1" x14ac:dyDescent="0.3">
      <c r="B15" s="72" t="str">
        <f>B6</f>
        <v>Hull Community Intergration Team 3</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3">
      <c r="B16" s="106" t="s">
        <v>1031</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3">
      <c r="B17" s="105" t="s">
        <v>1018</v>
      </c>
      <c r="C17" s="100" t="s">
        <v>942</v>
      </c>
      <c r="D17" s="100" t="s">
        <v>942</v>
      </c>
      <c r="E17" s="101" t="e">
        <f>+E15-E16</f>
        <v>#DIV/0!</v>
      </c>
      <c r="F17" s="100" t="s">
        <v>942</v>
      </c>
      <c r="G17" s="100" t="s">
        <v>942</v>
      </c>
      <c r="H17" s="101" t="str">
        <f>IFERROR(+H15-H16,"N/A")</f>
        <v>N/A</v>
      </c>
      <c r="I17" s="100" t="s">
        <v>942</v>
      </c>
      <c r="J17" s="101" t="str">
        <f>IFERROR(+J15-J16,"N/A")</f>
        <v>N/A</v>
      </c>
      <c r="K17" s="100" t="s">
        <v>942</v>
      </c>
      <c r="L17" s="100" t="s">
        <v>942</v>
      </c>
      <c r="M17" s="101" t="str">
        <f>IFERROR(+M15-M16,"N/A")</f>
        <v>N/A</v>
      </c>
    </row>
    <row r="19" spans="2:13" ht="23" x14ac:dyDescent="0.3">
      <c r="B19" s="450" t="s">
        <v>943</v>
      </c>
      <c r="C19" s="451"/>
      <c r="D19" s="451"/>
      <c r="E19" s="451"/>
      <c r="F19" s="451"/>
      <c r="G19" s="451"/>
      <c r="H19" s="451"/>
    </row>
    <row r="20" spans="2:13" ht="49.5" customHeight="1" x14ac:dyDescent="0.3">
      <c r="B20" s="76"/>
      <c r="C20" s="63" t="s">
        <v>1026</v>
      </c>
      <c r="D20" s="63" t="s">
        <v>1027</v>
      </c>
      <c r="E20" s="63" t="s">
        <v>1028</v>
      </c>
      <c r="F20" s="63" t="s">
        <v>947</v>
      </c>
      <c r="G20" s="219" t="s">
        <v>1047</v>
      </c>
      <c r="H20" s="219" t="s">
        <v>1030</v>
      </c>
    </row>
    <row r="21" spans="2:13" x14ac:dyDescent="0.3">
      <c r="B21" s="62" t="str">
        <f>B6</f>
        <v>Hull Community Intergration Team 3</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3">
      <c r="B22" s="79" t="s">
        <v>1031</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3">
      <c r="B23" s="116" t="s">
        <v>1018</v>
      </c>
      <c r="C23" s="100" t="s">
        <v>942</v>
      </c>
      <c r="D23" s="100" t="s">
        <v>942</v>
      </c>
      <c r="E23" s="100" t="s">
        <v>942</v>
      </c>
      <c r="F23" s="104" t="s">
        <v>942</v>
      </c>
      <c r="G23" s="104" t="e">
        <f>+G21-G22</f>
        <v>#DIV/0!</v>
      </c>
      <c r="H23" s="100" t="s">
        <v>942</v>
      </c>
    </row>
    <row r="26" spans="2:13" ht="23" x14ac:dyDescent="0.3">
      <c r="B26" s="450" t="s">
        <v>950</v>
      </c>
      <c r="C26" s="451"/>
      <c r="D26" s="451"/>
      <c r="E26" s="451"/>
      <c r="F26" s="451"/>
      <c r="G26" s="451"/>
      <c r="H26" s="451"/>
      <c r="I26" s="451"/>
      <c r="J26" s="451"/>
      <c r="K26" s="451"/>
    </row>
    <row r="27" spans="2:13" ht="48.75" customHeight="1" x14ac:dyDescent="0.3">
      <c r="B27" s="84"/>
      <c r="C27" s="219" t="s">
        <v>951</v>
      </c>
      <c r="D27" s="219" t="s">
        <v>952</v>
      </c>
      <c r="E27" s="219" t="s">
        <v>953</v>
      </c>
      <c r="F27" s="219" t="s">
        <v>954</v>
      </c>
      <c r="G27" s="219" t="s">
        <v>955</v>
      </c>
      <c r="H27" s="219" t="s">
        <v>956</v>
      </c>
      <c r="I27" s="219" t="s">
        <v>957</v>
      </c>
      <c r="J27" s="219" t="s">
        <v>958</v>
      </c>
      <c r="K27" s="219" t="s">
        <v>959</v>
      </c>
    </row>
    <row r="28" spans="2:13" x14ac:dyDescent="0.3">
      <c r="B28" s="62" t="str">
        <f>B6</f>
        <v>Hull Community Intergration Team 3</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3">
      <c r="B29" s="106" t="s">
        <v>941</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3">
      <c r="B30" s="105" t="s">
        <v>1018</v>
      </c>
      <c r="C30" s="100" t="s">
        <v>942</v>
      </c>
      <c r="D30" s="100" t="s">
        <v>942</v>
      </c>
      <c r="E30" s="99" t="e">
        <f>+E28-E29</f>
        <v>#DIV/0!</v>
      </c>
      <c r="F30" s="100" t="s">
        <v>942</v>
      </c>
      <c r="G30" s="100" t="s">
        <v>942</v>
      </c>
      <c r="H30" s="99" t="str">
        <f>IFERROR(+H28-H29,"N/A")</f>
        <v>N/A</v>
      </c>
      <c r="I30" s="100" t="s">
        <v>942</v>
      </c>
      <c r="J30" s="100" t="s">
        <v>942</v>
      </c>
      <c r="K30" s="99" t="str">
        <f>IFERROR(+K28-K29,"N/A")</f>
        <v>N/A</v>
      </c>
    </row>
    <row r="32" spans="2:13" ht="37.5" customHeight="1" x14ac:dyDescent="0.3">
      <c r="B32" s="472" t="s">
        <v>1048</v>
      </c>
      <c r="C32" s="473"/>
      <c r="D32" s="473"/>
      <c r="F32" s="474" t="s">
        <v>1049</v>
      </c>
      <c r="G32" s="474"/>
    </row>
    <row r="33" spans="1:7" ht="60.75" customHeight="1" x14ac:dyDescent="0.3">
      <c r="B33" s="76" t="s">
        <v>963</v>
      </c>
      <c r="C33" s="219" t="s">
        <v>1035</v>
      </c>
      <c r="D33" s="219" t="s">
        <v>965</v>
      </c>
      <c r="E33" s="64"/>
      <c r="F33" s="215" t="s">
        <v>1050</v>
      </c>
      <c r="G33" s="214">
        <f>COUNTIFS('reductions data'!C:C,'team overview'!B6,'reductions data'!K:K,"ACTIVE")</f>
        <v>0</v>
      </c>
    </row>
    <row r="34" spans="1:7" x14ac:dyDescent="0.3">
      <c r="B34" s="112" t="s">
        <v>874</v>
      </c>
      <c r="C34" s="89">
        <f>COUNTIFS('reductions data'!C:C,'team overview'!$B$6,'reductions data'!G:G,'team overview'!B34)</f>
        <v>0</v>
      </c>
      <c r="D34" s="90">
        <f>SUMIFS('reductions data'!H:H,'reductions data'!$C:$C,'team overview'!$B$6,'reductions data'!G:G,'team overview'!B34)</f>
        <v>0</v>
      </c>
      <c r="E34" s="64"/>
      <c r="F34" s="461" t="s">
        <v>1051</v>
      </c>
      <c r="G34" s="462">
        <f>SUMIF('reductions data'!C:C,'team overview'!B6,'reductions data'!H:H)</f>
        <v>0</v>
      </c>
    </row>
    <row r="35" spans="1:7" x14ac:dyDescent="0.3">
      <c r="B35" s="113" t="s">
        <v>876</v>
      </c>
      <c r="C35" s="89">
        <f>COUNTIFS('reductions data'!C:C,'team overview'!$B$6,'reductions data'!G:G,'team overview'!B35)</f>
        <v>0</v>
      </c>
      <c r="D35" s="90">
        <f>SUMIFS('reductions data'!H:H,'reductions data'!$C:$C,'team overview'!$B$6,'reductions data'!G:G,'team overview'!B35)</f>
        <v>0</v>
      </c>
      <c r="E35" s="64"/>
      <c r="F35" s="424"/>
      <c r="G35" s="424"/>
    </row>
    <row r="36" spans="1:7" x14ac:dyDescent="0.3">
      <c r="B36" s="113" t="s">
        <v>875</v>
      </c>
      <c r="C36" s="89">
        <f>COUNTIFS('reductions data'!C:C,'team overview'!$B$6,'reductions data'!G:G,'team overview'!B36)</f>
        <v>0</v>
      </c>
      <c r="D36" s="90">
        <f>SUMIFS('reductions data'!H:H,'reductions data'!$C:$C,'team overview'!$B$6,'reductions data'!G:G,'team overview'!B36)</f>
        <v>0</v>
      </c>
      <c r="E36" s="91"/>
      <c r="F36" s="424"/>
      <c r="G36" s="424"/>
    </row>
    <row r="37" spans="1:7" x14ac:dyDescent="0.3">
      <c r="B37" s="113" t="s">
        <v>877</v>
      </c>
      <c r="C37" s="89">
        <f>COUNTIFS('reductions data'!C:C,'team overview'!$B$6,'reductions data'!G:G,'team overview'!B37)</f>
        <v>0</v>
      </c>
      <c r="D37" s="90">
        <f>SUMIFS('reductions data'!H:H,'reductions data'!$C:$C,'team overview'!$B$6,'reductions data'!G:G,'team overview'!B37)</f>
        <v>0</v>
      </c>
      <c r="E37" s="91"/>
      <c r="F37" s="467" t="s">
        <v>1052</v>
      </c>
      <c r="G37" s="462">
        <f>SUMIF('capacity data'!C:C,'team overview'!B6,'capacity data'!I:I)</f>
        <v>0</v>
      </c>
    </row>
    <row r="38" spans="1:7" x14ac:dyDescent="0.3">
      <c r="B38" s="113" t="s">
        <v>878</v>
      </c>
      <c r="C38" s="89">
        <f>COUNTIFS('reductions data'!C:C,'team overview'!$B$6,'reductions data'!G:G,'team overview'!B38)</f>
        <v>0</v>
      </c>
      <c r="D38" s="90">
        <f>SUMIFS('reductions data'!H:H,'reductions data'!$C:$C,'team overview'!$B$6,'reductions data'!G:G,'team overview'!B38)</f>
        <v>0</v>
      </c>
      <c r="E38" s="91"/>
      <c r="F38" s="424"/>
      <c r="G38" s="424"/>
    </row>
    <row r="39" spans="1:7" x14ac:dyDescent="0.3">
      <c r="B39" s="113" t="s">
        <v>879</v>
      </c>
      <c r="C39" s="89">
        <f>COUNTIFS('reductions data'!C:C,'team overview'!$B$6,'reductions data'!G:G,'team overview'!B39)</f>
        <v>0</v>
      </c>
      <c r="D39" s="90">
        <f>SUMIFS('reductions data'!H:H,'reductions data'!$C:$C,'team overview'!$B$6,'reductions data'!G:G,'team overview'!B39)</f>
        <v>0</v>
      </c>
      <c r="E39" s="91"/>
      <c r="F39" s="424"/>
      <c r="G39" s="424"/>
    </row>
    <row r="40" spans="1:7" x14ac:dyDescent="0.3">
      <c r="B40" s="113" t="s">
        <v>880</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3">
      <c r="A41" s="91"/>
      <c r="B41" s="113" t="s">
        <v>881</v>
      </c>
      <c r="C41" s="89">
        <f>COUNTIFS('reductions data'!C:C,'team overview'!$B$6,'reductions data'!G:G,'team overview'!B41)</f>
        <v>0</v>
      </c>
      <c r="D41" s="90">
        <f>SUMIFS('reductions data'!H:H,'reductions data'!$C:$C,'team overview'!$B$6,'reductions data'!G:G,'team overview'!B41)</f>
        <v>0</v>
      </c>
      <c r="E41" s="91"/>
      <c r="F41" s="468" t="s">
        <v>1053</v>
      </c>
      <c r="G41" s="470" t="e">
        <f>G34/G37</f>
        <v>#DIV/0!</v>
      </c>
    </row>
    <row r="42" spans="1:7" ht="15.75" customHeight="1" x14ac:dyDescent="0.3">
      <c r="A42" s="91"/>
      <c r="B42" s="113" t="s">
        <v>1238</v>
      </c>
      <c r="C42" s="89">
        <f>COUNTIFS('reductions data'!C:C,'team overview'!$B$6,'reductions data'!G:G,'team overview'!B42)</f>
        <v>0</v>
      </c>
      <c r="D42" s="90">
        <f>SUMIFS('reductions data'!H:H,'reductions data'!$C:$C,'team overview'!$B$6,'reductions data'!G:G,'team overview'!B42)</f>
        <v>0</v>
      </c>
      <c r="E42" s="91"/>
      <c r="F42" s="469"/>
      <c r="G42" s="471"/>
    </row>
    <row r="43" spans="1:7" x14ac:dyDescent="0.3">
      <c r="B43" s="113" t="s">
        <v>882</v>
      </c>
      <c r="C43" s="89">
        <f>COUNTIFS('reductions data'!C:C,'team overview'!$B$6,'reductions data'!G:G,'team overview'!B43)</f>
        <v>0</v>
      </c>
      <c r="D43" s="90">
        <f>SUMIFS('reductions data'!H:H,'reductions data'!$C:$C,'team overview'!$B$6,'reductions data'!G:G,'team overview'!B43)</f>
        <v>0</v>
      </c>
      <c r="E43" s="91"/>
      <c r="F43" s="456"/>
      <c r="G43" s="459"/>
    </row>
    <row r="44" spans="1:7" x14ac:dyDescent="0.3">
      <c r="B44" s="113" t="s">
        <v>883</v>
      </c>
      <c r="C44" s="89">
        <f>COUNTIFS('reductions data'!C:C,'team overview'!$B$6,'reductions data'!G:G,'team overview'!B44)</f>
        <v>0</v>
      </c>
      <c r="D44" s="90">
        <f>SUMIFS('reductions data'!H:H,'reductions data'!$C:$C,'team overview'!$B$6,'reductions data'!G:G,'team overview'!B44)</f>
        <v>0</v>
      </c>
      <c r="E44" s="91"/>
      <c r="F44" s="456"/>
      <c r="G44" s="459"/>
    </row>
    <row r="45" spans="1:7" x14ac:dyDescent="0.3">
      <c r="B45" s="113" t="s">
        <v>884</v>
      </c>
      <c r="C45" s="89">
        <f>COUNTIFS('reductions data'!C:C,'team overview'!$B$6,'reductions data'!G:G,'team overview'!B45)</f>
        <v>0</v>
      </c>
      <c r="D45" s="90">
        <f>SUMIFS('reductions data'!H:H,'reductions data'!$C:$C,'team overview'!$B$6,'reductions data'!G:G,'team overview'!B45)</f>
        <v>0</v>
      </c>
      <c r="E45" s="91"/>
      <c r="F45" s="456"/>
      <c r="G45" s="459"/>
    </row>
    <row r="46" spans="1:7" x14ac:dyDescent="0.3">
      <c r="B46" s="113" t="s">
        <v>885</v>
      </c>
      <c r="C46" s="89">
        <f>COUNTIFS('reductions data'!C:C,'team overview'!$B$6,'reductions data'!G:G,'team overview'!B46)</f>
        <v>0</v>
      </c>
      <c r="D46" s="90">
        <f>SUMIFS('reductions data'!H:H,'reductions data'!$C:$C,'team overview'!$B$6,'reductions data'!G:G,'team overview'!B46)</f>
        <v>0</v>
      </c>
      <c r="E46" s="91"/>
      <c r="F46" s="457"/>
      <c r="G46" s="460"/>
    </row>
    <row r="47" spans="1:7" ht="15.75" customHeight="1" x14ac:dyDescent="0.3">
      <c r="B47" s="113" t="s">
        <v>887</v>
      </c>
      <c r="C47" s="89">
        <f>COUNTIFS('reductions data'!C:C,'team overview'!$B$6,'reductions data'!G:G,'team overview'!B47)</f>
        <v>0</v>
      </c>
      <c r="D47" s="90">
        <f>SUMIFS('reductions data'!H:H,'reductions data'!$C:$C,'team overview'!$B$6,'reductions data'!G:G,'team overview'!B47)</f>
        <v>0</v>
      </c>
      <c r="E47" s="91"/>
      <c r="F47" s="455" t="s">
        <v>1041</v>
      </c>
      <c r="G47" s="458" t="e">
        <f>+G41-'div &amp; regional reduction hours'!N18</f>
        <v>#DIV/0!</v>
      </c>
    </row>
    <row r="48" spans="1:7" x14ac:dyDescent="0.3">
      <c r="B48" s="113" t="s">
        <v>890</v>
      </c>
      <c r="C48" s="89">
        <f>COUNTIFS('reductions data'!C:C,'team overview'!$B$6,'reductions data'!G:G,'team overview'!B48)</f>
        <v>0</v>
      </c>
      <c r="D48" s="90">
        <f>SUMIFS('reductions data'!H:H,'reductions data'!$C:$C,'team overview'!$B$6,'reductions data'!G:G,'team overview'!B48)</f>
        <v>0</v>
      </c>
      <c r="E48" s="91"/>
      <c r="F48" s="456"/>
      <c r="G48" s="459"/>
    </row>
    <row r="49" spans="2:7" x14ac:dyDescent="0.3">
      <c r="B49" s="113" t="s">
        <v>886</v>
      </c>
      <c r="C49" s="89">
        <f>COUNTIFS('reductions data'!C:C,'team overview'!$B$6,'reductions data'!G:G,'team overview'!B49)</f>
        <v>0</v>
      </c>
      <c r="D49" s="90">
        <f>SUMIFS('reductions data'!H:H,'reductions data'!$C:$C,'team overview'!$B$6,'reductions data'!G:G,'team overview'!B49)</f>
        <v>0</v>
      </c>
      <c r="E49" s="91"/>
      <c r="F49" s="456"/>
      <c r="G49" s="459"/>
    </row>
    <row r="50" spans="2:7" x14ac:dyDescent="0.3">
      <c r="B50" s="113" t="s">
        <v>971</v>
      </c>
      <c r="C50" s="89">
        <f>COUNTIFS('reductions data'!C:C,'team overview'!$B$6,'reductions data'!G:G,'team overview'!B50)</f>
        <v>0</v>
      </c>
      <c r="D50" s="90">
        <f>SUMIFS('reductions data'!H:H,'reductions data'!$C:$C,'team overview'!$B$6,'reductions data'!G:G,'team overview'!B50)</f>
        <v>0</v>
      </c>
      <c r="E50" s="91"/>
      <c r="F50" s="456"/>
      <c r="G50" s="459"/>
    </row>
    <row r="51" spans="2:7" x14ac:dyDescent="0.3">
      <c r="B51" s="113" t="s">
        <v>891</v>
      </c>
      <c r="C51" s="89">
        <f>COUNTIFS('reductions data'!C:C,'team overview'!$B$6,'reductions data'!G:G,'team overview'!B51)</f>
        <v>0</v>
      </c>
      <c r="D51" s="90">
        <f>SUMIFS('reductions data'!H:H,'reductions data'!$C:$C,'team overview'!$B$6,'reductions data'!G:G,'team overview'!B51)</f>
        <v>0</v>
      </c>
      <c r="E51" s="91"/>
      <c r="F51" s="457"/>
      <c r="G51" s="460"/>
    </row>
    <row r="52" spans="2:7" x14ac:dyDescent="0.3">
      <c r="B52" s="113" t="s">
        <v>892</v>
      </c>
      <c r="C52" s="89">
        <f>COUNTIFS('reductions data'!C:C,'team overview'!$B$6,'reductions data'!G:G,'team overview'!B52)</f>
        <v>0</v>
      </c>
      <c r="D52" s="90">
        <f>SUMIFS('reductions data'!H:H,'reductions data'!$C:$C,'team overview'!$B$6,'reductions data'!G:G,'team overview'!B52)</f>
        <v>0</v>
      </c>
      <c r="E52" s="91"/>
      <c r="F52" s="91"/>
      <c r="G52" s="64"/>
    </row>
    <row r="53" spans="2:7" x14ac:dyDescent="0.3">
      <c r="B53" s="113" t="s">
        <v>893</v>
      </c>
      <c r="C53" s="89">
        <f>COUNTIFS('reductions data'!C:C,'team overview'!$B$6,'reductions data'!G:G,'team overview'!B53)</f>
        <v>0</v>
      </c>
      <c r="D53" s="90">
        <f>SUMIFS('reductions data'!H:H,'reductions data'!$C:$C,'team overview'!$B$6,'reductions data'!G:G,'team overview'!B53)</f>
        <v>0</v>
      </c>
      <c r="E53" s="91"/>
      <c r="F53" s="91"/>
      <c r="G53" s="64"/>
    </row>
    <row r="54" spans="2:7" x14ac:dyDescent="0.3">
      <c r="B54" s="113" t="s">
        <v>894</v>
      </c>
      <c r="C54" s="89">
        <f>COUNTIFS('reductions data'!C:C,'team overview'!$B$6,'reductions data'!G:G,'team overview'!B54)</f>
        <v>0</v>
      </c>
      <c r="D54" s="90">
        <f>SUMIFS('reductions data'!H:H,'reductions data'!$C:$C,'team overview'!$B$6,'reductions data'!G:G,'team overview'!B54)</f>
        <v>0</v>
      </c>
      <c r="E54" s="91"/>
      <c r="F54" s="91"/>
      <c r="G54" s="64"/>
    </row>
    <row r="55" spans="2:7" x14ac:dyDescent="0.3">
      <c r="B55" s="113" t="s">
        <v>895</v>
      </c>
      <c r="C55" s="89">
        <f>COUNTIFS('reductions data'!C:C,'team overview'!$B$6,'reductions data'!G:G,'team overview'!B55)</f>
        <v>0</v>
      </c>
      <c r="D55" s="90">
        <f>SUMIFS('reductions data'!H:H,'reductions data'!$C:$C,'team overview'!$B$6,'reductions data'!G:G,'team overview'!B55)</f>
        <v>0</v>
      </c>
      <c r="E55" s="91"/>
      <c r="F55" s="91"/>
      <c r="G55" s="64"/>
    </row>
    <row r="56" spans="2:7" x14ac:dyDescent="0.3">
      <c r="B56" s="113" t="s">
        <v>896</v>
      </c>
      <c r="C56" s="89">
        <f>COUNTIFS('reductions data'!C:C,'team overview'!$B$6,'reductions data'!G:G,'team overview'!B56)</f>
        <v>0</v>
      </c>
      <c r="D56" s="90">
        <f>SUMIFS('reductions data'!H:H,'reductions data'!$C:$C,'team overview'!$B$6,'reductions data'!G:G,'team overview'!B56)</f>
        <v>0</v>
      </c>
      <c r="E56" s="91"/>
      <c r="F56" s="91"/>
      <c r="G56" s="64"/>
    </row>
    <row r="57" spans="2:7" x14ac:dyDescent="0.3">
      <c r="B57" s="113" t="s">
        <v>897</v>
      </c>
      <c r="C57" s="89">
        <f>COUNTIFS('reductions data'!C:C,'team overview'!$B$6,'reductions data'!G:G,'team overview'!B57)</f>
        <v>0</v>
      </c>
      <c r="D57" s="90">
        <f>SUMIFS('reductions data'!H:H,'reductions data'!$C:$C,'team overview'!$B$6,'reductions data'!G:G,'team overview'!B57)</f>
        <v>0</v>
      </c>
      <c r="E57" s="91"/>
      <c r="F57" s="91"/>
      <c r="G57" s="64"/>
    </row>
    <row r="58" spans="2:7" x14ac:dyDescent="0.3">
      <c r="B58" s="113" t="s">
        <v>1231</v>
      </c>
      <c r="C58" s="89">
        <f>COUNTIFS('reductions data'!C:C,'team overview'!$B$6,'reductions data'!G:G,'team overview'!B58)</f>
        <v>0</v>
      </c>
      <c r="D58" s="90">
        <f>SUMIFS('reductions data'!H:H,'reductions data'!$C:$C,'team overview'!$B$6,'reductions data'!G:G,'team overview'!B58)</f>
        <v>0</v>
      </c>
      <c r="E58" s="91"/>
      <c r="F58" s="91"/>
      <c r="G58" s="64"/>
    </row>
    <row r="59" spans="2:7" x14ac:dyDescent="0.3">
      <c r="B59" s="113" t="s">
        <v>1232</v>
      </c>
      <c r="C59" s="89">
        <f>COUNTIFS('reductions data'!C:C,'team overview'!$B$6,'reductions data'!G:G,'team overview'!B59)</f>
        <v>0</v>
      </c>
      <c r="D59" s="90">
        <f>SUMIFS('reductions data'!H:H,'reductions data'!$C:$C,'team overview'!$B$6,'reductions data'!G:G,'team overview'!B59)</f>
        <v>0</v>
      </c>
      <c r="E59" s="91"/>
      <c r="F59" s="91"/>
      <c r="G59" s="64"/>
    </row>
    <row r="60" spans="2:7" x14ac:dyDescent="0.3">
      <c r="B60" s="322" t="s">
        <v>1229</v>
      </c>
      <c r="C60" s="89">
        <f>COUNTIFS('reductions data'!C:C,'team overview'!$B$6,'reductions data'!G:G,'team overview'!B60)</f>
        <v>0</v>
      </c>
      <c r="D60" s="90">
        <f>SUMIFS('reductions data'!H:H,'reductions data'!$C:$C,'team overview'!$B$6,'reductions data'!G:G,'team overview'!B60)</f>
        <v>0</v>
      </c>
      <c r="E60" s="91"/>
      <c r="F60" s="91"/>
      <c r="G60" s="64"/>
    </row>
    <row r="61" spans="2:7" x14ac:dyDescent="0.3">
      <c r="B61" s="322" t="s">
        <v>1230</v>
      </c>
      <c r="C61" s="89">
        <f>COUNTIFS('reductions data'!C:C,'team overview'!$B$6,'reductions data'!G:G,'team overview'!B61)</f>
        <v>0</v>
      </c>
      <c r="D61" s="90">
        <f>SUMIFS('reductions data'!H:H,'reductions data'!$C:$C,'team overview'!$B$6,'reductions data'!G:G,'team overview'!B61)</f>
        <v>0</v>
      </c>
      <c r="E61" s="91"/>
      <c r="F61" s="91"/>
      <c r="G61" s="64"/>
    </row>
    <row r="62" spans="2:7" x14ac:dyDescent="0.3">
      <c r="B62" s="322" t="s">
        <v>1239</v>
      </c>
      <c r="C62" s="89">
        <f>COUNTIFS('reductions data'!C:C,'team overview'!$B$6,'reductions data'!G:G,'team overview'!B62)</f>
        <v>0</v>
      </c>
      <c r="D62" s="90">
        <f>SUMIFS('reductions data'!H:H,'reductions data'!$C:$C,'team overview'!$B$6,'reductions data'!G:G,'team overview'!B62)</f>
        <v>0</v>
      </c>
      <c r="E62" s="91"/>
      <c r="F62" s="91"/>
      <c r="G62" s="64"/>
    </row>
    <row r="63" spans="2:7" x14ac:dyDescent="0.3">
      <c r="B63" s="112" t="s">
        <v>1233</v>
      </c>
      <c r="C63" s="89">
        <f>COUNTIFS('reductions data'!C:C,'team overview'!$B$6,'reductions data'!G:G,'team overview'!B63)</f>
        <v>0</v>
      </c>
      <c r="D63" s="90">
        <f>SUMIFS('reductions data'!H:H,'reductions data'!$C:$C,'team overview'!$B$6,'reductions data'!G:G,'team overview'!B63)</f>
        <v>0</v>
      </c>
      <c r="E63" s="91"/>
      <c r="F63" s="91"/>
      <c r="G63" s="64"/>
    </row>
    <row r="64" spans="2:7" x14ac:dyDescent="0.3">
      <c r="B64" s="113" t="s">
        <v>1234</v>
      </c>
      <c r="C64" s="89">
        <f>COUNTIFS('reductions data'!C:C,'team overview'!$B$6,'reductions data'!G:G,'team overview'!B64)</f>
        <v>0</v>
      </c>
      <c r="D64" s="90">
        <f>SUMIFS('reductions data'!H:H,'reductions data'!$C:$C,'team overview'!$B$6,'reductions data'!G:G,'team overview'!B64)</f>
        <v>0</v>
      </c>
      <c r="E64" s="91"/>
      <c r="F64" s="91"/>
      <c r="G64" s="64"/>
    </row>
    <row r="65" spans="2:19" x14ac:dyDescent="0.3">
      <c r="B65" s="113" t="s">
        <v>899</v>
      </c>
      <c r="C65" s="89">
        <f>COUNTIFS('reductions data'!C:C,'team overview'!$B$6,'reductions data'!G:G,'team overview'!B65)</f>
        <v>0</v>
      </c>
      <c r="D65" s="90">
        <f>SUMIFS('reductions data'!H:H,'reductions data'!$C:$C,'team overview'!$B$6,'reductions data'!G:G,'team overview'!B65)</f>
        <v>0</v>
      </c>
      <c r="E65" s="91"/>
      <c r="F65" s="91"/>
      <c r="G65" s="64"/>
    </row>
    <row r="66" spans="2:19" x14ac:dyDescent="0.3">
      <c r="B66" s="113" t="s">
        <v>900</v>
      </c>
      <c r="C66" s="89">
        <f>COUNTIFS('reductions data'!C:C,'team overview'!$B$6,'reductions data'!G:G,'team overview'!B66)</f>
        <v>0</v>
      </c>
      <c r="D66" s="90">
        <f>SUMIFS('reductions data'!H:H,'reductions data'!$C:$C,'team overview'!$B$6,'reductions data'!G:G,'team overview'!B66)</f>
        <v>0</v>
      </c>
      <c r="E66" s="91"/>
      <c r="F66" s="91"/>
      <c r="G66" s="64"/>
    </row>
    <row r="67" spans="2:19" x14ac:dyDescent="0.3">
      <c r="B67" s="113" t="s">
        <v>901</v>
      </c>
      <c r="C67" s="89">
        <f>COUNTIFS('reductions data'!C:C,'team overview'!$B$6,'reductions data'!G:G,'team overview'!B67)</f>
        <v>0</v>
      </c>
      <c r="D67" s="90">
        <f>SUMIFS('reductions data'!H:H,'reductions data'!$C:$C,'team overview'!$B$6,'reductions data'!G:G,'team overview'!B67)</f>
        <v>0</v>
      </c>
      <c r="E67" s="91"/>
      <c r="F67" s="91"/>
      <c r="G67" s="64"/>
    </row>
    <row r="68" spans="2:19" x14ac:dyDescent="0.3">
      <c r="B68" s="113" t="s">
        <v>902</v>
      </c>
      <c r="C68" s="89">
        <f>COUNTIFS('reductions data'!C:C,'team overview'!$B$6,'reductions data'!G:G,'team overview'!B68)</f>
        <v>0</v>
      </c>
      <c r="D68" s="90">
        <f>SUMIFS('reductions data'!H:H,'reductions data'!$C:$C,'team overview'!$B$6,'reductions data'!G:G,'team overview'!B68)</f>
        <v>0</v>
      </c>
      <c r="E68" s="91"/>
      <c r="F68" s="91"/>
      <c r="G68" s="64"/>
    </row>
    <row r="69" spans="2:19" x14ac:dyDescent="0.3">
      <c r="B69" s="113" t="s">
        <v>903</v>
      </c>
      <c r="C69" s="89">
        <f>COUNTIFS('reductions data'!C:C,'team overview'!$B$6,'reductions data'!G:G,'team overview'!B69)</f>
        <v>0</v>
      </c>
      <c r="D69" s="90">
        <f>SUMIFS('reductions data'!H:H,'reductions data'!$C:$C,'team overview'!$B$6,'reductions data'!G:G,'team overview'!B69)</f>
        <v>0</v>
      </c>
      <c r="E69" s="91"/>
      <c r="F69" s="91"/>
      <c r="G69" s="64"/>
    </row>
    <row r="70" spans="2:19" x14ac:dyDescent="0.3">
      <c r="B70" s="113" t="s">
        <v>904</v>
      </c>
      <c r="C70" s="89">
        <f>COUNTIFS('reductions data'!C:C,'team overview'!$B$6,'reductions data'!G:G,'team overview'!B70)</f>
        <v>0</v>
      </c>
      <c r="D70" s="90">
        <f>SUMIFS('reductions data'!H:H,'reductions data'!$C:$C,'team overview'!$B$6,'reductions data'!G:G,'team overview'!B70)</f>
        <v>0</v>
      </c>
      <c r="E70" s="91"/>
      <c r="F70" s="91"/>
      <c r="G70" s="64"/>
    </row>
    <row r="71" spans="2:19" x14ac:dyDescent="0.3">
      <c r="B71" s="113" t="s">
        <v>898</v>
      </c>
      <c r="C71" s="89">
        <f>COUNTIFS('reductions data'!C:C,'team overview'!$B$6,'reductions data'!G:G,'team overview'!B71)</f>
        <v>0</v>
      </c>
      <c r="D71" s="90">
        <f>SUMIFS('reductions data'!H:H,'reductions data'!$C:$C,'team overview'!$B$6,'reductions data'!G:G,'team overview'!B71)</f>
        <v>0</v>
      </c>
      <c r="E71" s="91"/>
      <c r="F71" s="91"/>
      <c r="G71" s="64"/>
    </row>
    <row r="72" spans="2:19" x14ac:dyDescent="0.3">
      <c r="B72" s="113" t="s">
        <v>905</v>
      </c>
      <c r="C72" s="89">
        <f>COUNTIFS('reductions data'!C:C,'team overview'!$B$6,'reductions data'!G:G,'team overview'!B72)</f>
        <v>0</v>
      </c>
      <c r="D72" s="90">
        <f>SUMIFS('reductions data'!H:H,'reductions data'!$C:$C,'team overview'!$B$6,'reductions data'!G:G,'team overview'!B72)</f>
        <v>0</v>
      </c>
      <c r="E72" s="91"/>
      <c r="F72" s="91"/>
      <c r="G72" s="64"/>
    </row>
    <row r="73" spans="2:19" x14ac:dyDescent="0.3">
      <c r="B73" s="322" t="s">
        <v>1235</v>
      </c>
      <c r="C73" s="327">
        <f>COUNTIFS('reductions data'!C:C,'team overview'!$B$6,'reductions data'!G:G,'team overview'!B73)</f>
        <v>0</v>
      </c>
      <c r="D73" s="90">
        <f>SUMIFS('reductions data'!H:H,'reductions data'!$C:$C,'team overview'!$B$6,'reductions data'!G:G,'team overview'!B73)</f>
        <v>0</v>
      </c>
      <c r="E73" s="91"/>
      <c r="F73" s="91"/>
      <c r="G73" s="64"/>
    </row>
    <row r="74" spans="2:19" x14ac:dyDescent="0.3">
      <c r="B74" s="322" t="s">
        <v>1236</v>
      </c>
      <c r="C74" s="327">
        <f>COUNTIFS('reductions data'!C:C,'team overview'!$B$6,'reductions data'!G:G,'team overview'!B74)</f>
        <v>0</v>
      </c>
      <c r="D74" s="90">
        <f>SUMIFS('reductions data'!H:H,'reductions data'!$C:$C,'team overview'!$B$6,'reductions data'!G:G,'team overview'!B74)</f>
        <v>0</v>
      </c>
      <c r="E74" s="91"/>
      <c r="F74" s="91"/>
      <c r="G74" s="64"/>
    </row>
    <row r="75" spans="2:19" x14ac:dyDescent="0.3">
      <c r="B75" s="322" t="s">
        <v>1240</v>
      </c>
      <c r="C75" s="327">
        <f>COUNTIFS('reductions data'!C:C,'team overview'!$B$6,'reductions data'!G:G,'team overview'!B75)</f>
        <v>0</v>
      </c>
      <c r="D75" s="90">
        <f>SUMIFS('reductions data'!H:H,'reductions data'!$C:$C,'team overview'!$B$6,'reductions data'!G:G,'team overview'!B75)</f>
        <v>0</v>
      </c>
      <c r="E75" s="91"/>
      <c r="F75" s="91"/>
      <c r="G75" s="64"/>
    </row>
    <row r="76" spans="2:19" x14ac:dyDescent="0.3">
      <c r="B76" s="112" t="s">
        <v>906</v>
      </c>
      <c r="C76" s="89">
        <f>COUNTIFS('reductions data'!C:C,'team overview'!$B$6,'reductions data'!G:G,'team overview'!B76)</f>
        <v>0</v>
      </c>
      <c r="D76" s="90">
        <f>SUMIFS('reductions data'!H:H,'reductions data'!$C:$C,'team overview'!$B$6,'reductions data'!G:G,'team overview'!B76)</f>
        <v>0</v>
      </c>
      <c r="E76" s="91"/>
      <c r="F76" s="91"/>
      <c r="G76" s="64"/>
    </row>
    <row r="77" spans="2:19" x14ac:dyDescent="0.3">
      <c r="B77" s="113" t="s">
        <v>907</v>
      </c>
      <c r="C77" s="89">
        <f>COUNTIFS('reductions data'!C:C,'team overview'!$B$6,'reductions data'!G:G,'team overview'!B77)</f>
        <v>0</v>
      </c>
      <c r="D77" s="90">
        <f>SUMIFS('reductions data'!H:H,'reductions data'!$C:$C,'team overview'!$B$6,'reductions data'!G:G,'team overview'!B77)</f>
        <v>0</v>
      </c>
      <c r="E77" s="91"/>
      <c r="F77" s="91"/>
      <c r="G77" s="64"/>
    </row>
    <row r="78" spans="2:19" x14ac:dyDescent="0.3">
      <c r="B78" s="113" t="s">
        <v>908</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3">
      <c r="B79" s="113" t="s">
        <v>909</v>
      </c>
      <c r="C79" s="89">
        <f>COUNTIFS('reductions data'!C:C,'team overview'!$B$6,'reductions data'!G:G,'team overview'!B79)</f>
        <v>0</v>
      </c>
      <c r="D79" s="90">
        <f>SUMIFS('reductions data'!H:H,'reductions data'!$C:$C,'team overview'!$B$6,'reductions data'!G:G,'team overview'!B79)</f>
        <v>0</v>
      </c>
      <c r="E79" s="91"/>
      <c r="F79" s="91"/>
      <c r="G79" s="64"/>
    </row>
    <row r="80" spans="2:19" ht="15.5" x14ac:dyDescent="0.35">
      <c r="B80" s="113" t="s">
        <v>910</v>
      </c>
      <c r="C80" s="89">
        <f>COUNTIFS('reductions data'!C:C,'team overview'!$B$6,'reductions data'!G:G,'team overview'!B80)</f>
        <v>0</v>
      </c>
      <c r="D80" s="90">
        <f>SUMIFS('reductions data'!H:H,'reductions data'!$C:$C,'team overview'!$B$6,'reductions data'!G:G,'team overview'!B80)</f>
        <v>0</v>
      </c>
      <c r="E80" s="1"/>
      <c r="F80" s="1"/>
    </row>
    <row r="81" spans="2:4" x14ac:dyDescent="0.3">
      <c r="B81" s="113" t="s">
        <v>911</v>
      </c>
      <c r="C81" s="89">
        <f>COUNTIFS('reductions data'!C:C,'team overview'!$B$6,'reductions data'!G:G,'team overview'!B81)</f>
        <v>0</v>
      </c>
      <c r="D81" s="90">
        <f>SUMIFS('reductions data'!H:H,'reductions data'!$C:$C,'team overview'!$B$6,'reductions data'!G:G,'team overview'!B81)</f>
        <v>0</v>
      </c>
    </row>
    <row r="82" spans="2:4" x14ac:dyDescent="0.3">
      <c r="B82" s="113" t="s">
        <v>912</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B32:D32"/>
    <mergeCell ref="F32:G32"/>
    <mergeCell ref="B8:F8"/>
    <mergeCell ref="A1:M1"/>
    <mergeCell ref="N1:S1"/>
    <mergeCell ref="A2:M2"/>
    <mergeCell ref="B26:K26"/>
    <mergeCell ref="B19:H19"/>
    <mergeCell ref="F47:F51"/>
    <mergeCell ref="G47:G51"/>
    <mergeCell ref="F34:F36"/>
    <mergeCell ref="G34:G36"/>
    <mergeCell ref="F37:F39"/>
    <mergeCell ref="G37:G39"/>
    <mergeCell ref="F41:F46"/>
    <mergeCell ref="G41:G46"/>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AA57" sqref="AA57"/>
    </sheetView>
  </sheetViews>
  <sheetFormatPr defaultColWidth="8.81640625" defaultRowHeight="14" x14ac:dyDescent="0.3"/>
  <cols>
    <col min="2" max="2" width="40.81640625" bestFit="1" customWidth="1"/>
    <col min="3" max="3" width="35" bestFit="1" customWidth="1"/>
    <col min="14" max="15" width="10" bestFit="1" customWidth="1"/>
    <col min="16" max="16" width="10.453125" customWidth="1"/>
    <col min="17" max="17" width="10" bestFit="1" customWidth="1"/>
    <col min="18" max="18" width="10.1796875" bestFit="1" customWidth="1"/>
    <col min="19" max="19" width="10.81640625" bestFit="1" customWidth="1"/>
    <col min="20" max="20" width="11.453125" bestFit="1" customWidth="1"/>
    <col min="23" max="23" width="40.81640625" bestFit="1" customWidth="1"/>
    <col min="24" max="24" width="20.1796875" customWidth="1"/>
    <col min="25" max="25" width="11.453125" bestFit="1" customWidth="1"/>
    <col min="26" max="26" width="12.1796875" bestFit="1" customWidth="1"/>
    <col min="27" max="27" width="11.453125" bestFit="1" customWidth="1"/>
    <col min="28" max="29" width="12.1796875" bestFit="1" customWidth="1"/>
    <col min="30" max="31" width="11.453125" bestFit="1" customWidth="1"/>
  </cols>
  <sheetData>
    <row r="1" spans="1:41" ht="70.5" customHeight="1" x14ac:dyDescent="0.3">
      <c r="A1" s="486" t="s">
        <v>1054</v>
      </c>
      <c r="B1" s="487"/>
      <c r="C1" s="487"/>
      <c r="D1" s="487"/>
      <c r="E1" s="487"/>
      <c r="F1" s="487"/>
      <c r="G1" s="487"/>
      <c r="H1" s="487"/>
      <c r="I1" s="487"/>
      <c r="J1" s="487"/>
      <c r="K1" s="487"/>
      <c r="L1" s="487"/>
      <c r="M1" s="487"/>
      <c r="N1" s="475"/>
      <c r="O1" s="475"/>
      <c r="P1" s="475"/>
      <c r="Q1" s="475"/>
      <c r="R1" s="475"/>
      <c r="S1" s="475"/>
      <c r="T1" s="475"/>
      <c r="U1" s="475"/>
      <c r="V1" s="475"/>
      <c r="W1" s="475"/>
      <c r="X1" s="475"/>
      <c r="Y1" s="475"/>
      <c r="Z1" s="475"/>
      <c r="AA1" s="475"/>
      <c r="AB1" s="475"/>
      <c r="AC1" s="475"/>
      <c r="AD1" s="475"/>
      <c r="AE1" s="475"/>
      <c r="AF1" s="475"/>
      <c r="AG1" s="475"/>
      <c r="AH1" s="475"/>
      <c r="AI1" s="475"/>
      <c r="AJ1" s="475"/>
      <c r="AK1" s="475"/>
      <c r="AL1" s="475"/>
      <c r="AM1" s="475"/>
      <c r="AN1" s="255"/>
    </row>
    <row r="2" spans="1:41" ht="51" customHeight="1" x14ac:dyDescent="0.3">
      <c r="A2" s="491"/>
      <c r="B2" s="491"/>
      <c r="C2" s="491"/>
      <c r="D2" s="491"/>
      <c r="E2" s="491"/>
      <c r="F2" s="491"/>
      <c r="G2" s="491"/>
      <c r="H2" s="491"/>
      <c r="I2" s="491"/>
      <c r="J2" s="491"/>
      <c r="K2" s="491"/>
      <c r="L2" s="491"/>
      <c r="M2" s="491"/>
      <c r="N2" s="491"/>
      <c r="O2" s="491"/>
      <c r="P2" s="491"/>
      <c r="Q2" s="491"/>
      <c r="R2" s="491"/>
      <c r="S2" s="491"/>
      <c r="T2" s="491"/>
      <c r="U2" s="491"/>
      <c r="V2" s="491"/>
      <c r="W2" s="491"/>
      <c r="X2" s="491"/>
      <c r="Y2" s="491"/>
      <c r="Z2" s="491"/>
      <c r="AA2" s="491"/>
      <c r="AB2" s="491"/>
      <c r="AC2" s="491"/>
      <c r="AD2" s="491"/>
      <c r="AE2" s="491"/>
      <c r="AF2" s="491"/>
      <c r="AG2" s="491"/>
      <c r="AH2" s="491"/>
      <c r="AI2" s="491"/>
      <c r="AJ2" s="491"/>
      <c r="AK2" s="491"/>
      <c r="AL2" s="491"/>
      <c r="AM2" s="491"/>
      <c r="AN2" s="491"/>
    </row>
    <row r="4" spans="1:41" ht="14.5" thickBot="1" x14ac:dyDescent="0.35"/>
    <row r="5" spans="1:41" ht="27.75" customHeight="1" thickBot="1" x14ac:dyDescent="0.4">
      <c r="B5" s="1"/>
      <c r="C5" s="2"/>
      <c r="D5" s="488" t="s">
        <v>1055</v>
      </c>
      <c r="E5" s="489"/>
      <c r="F5" s="489"/>
      <c r="G5" s="489"/>
      <c r="H5" s="489"/>
      <c r="I5" s="489"/>
      <c r="J5" s="489"/>
      <c r="K5" s="489"/>
      <c r="L5" s="489"/>
      <c r="M5" s="489"/>
      <c r="N5" s="489"/>
      <c r="O5" s="489"/>
      <c r="P5" s="489"/>
      <c r="Q5" s="489"/>
      <c r="R5" s="489"/>
      <c r="S5" s="489"/>
      <c r="T5" s="490"/>
      <c r="W5" s="1"/>
      <c r="X5" s="2"/>
      <c r="Y5" s="492" t="s">
        <v>1056</v>
      </c>
      <c r="Z5" s="493"/>
      <c r="AA5" s="493"/>
      <c r="AB5" s="493"/>
      <c r="AC5" s="493"/>
      <c r="AD5" s="493"/>
      <c r="AE5" s="493"/>
      <c r="AF5" s="493"/>
      <c r="AG5" s="493"/>
      <c r="AH5" s="493"/>
      <c r="AI5" s="493"/>
      <c r="AJ5" s="493"/>
      <c r="AK5" s="493"/>
      <c r="AL5" s="493"/>
      <c r="AM5" s="493"/>
      <c r="AN5" s="493"/>
    </row>
    <row r="6" spans="1:41" x14ac:dyDescent="0.3">
      <c r="B6" s="371" t="s">
        <v>820</v>
      </c>
      <c r="C6" s="125" t="s">
        <v>1057</v>
      </c>
      <c r="D6" s="38" t="s">
        <v>846</v>
      </c>
      <c r="E6" s="38" t="s">
        <v>847</v>
      </c>
      <c r="F6" s="38" t="s">
        <v>848</v>
      </c>
      <c r="G6" s="38" t="s">
        <v>849</v>
      </c>
      <c r="H6" s="38" t="s">
        <v>850</v>
      </c>
      <c r="I6" s="38" t="s">
        <v>851</v>
      </c>
      <c r="J6" s="38" t="s">
        <v>852</v>
      </c>
      <c r="K6" s="38" t="s">
        <v>853</v>
      </c>
      <c r="L6" s="38" t="s">
        <v>854</v>
      </c>
      <c r="M6" s="38" t="s">
        <v>855</v>
      </c>
      <c r="N6" s="38" t="s">
        <v>856</v>
      </c>
      <c r="O6" s="38" t="s">
        <v>857</v>
      </c>
      <c r="P6" s="38" t="s">
        <v>858</v>
      </c>
      <c r="Q6" s="38" t="s">
        <v>859</v>
      </c>
      <c r="R6" s="38" t="s">
        <v>860</v>
      </c>
      <c r="S6" s="38" t="s">
        <v>861</v>
      </c>
      <c r="T6" s="125" t="s">
        <v>863</v>
      </c>
      <c r="U6" s="64"/>
      <c r="V6" s="64"/>
      <c r="W6" s="124" t="s">
        <v>820</v>
      </c>
      <c r="X6" s="126" t="s">
        <v>1057</v>
      </c>
      <c r="Y6" s="38" t="s">
        <v>846</v>
      </c>
      <c r="Z6" s="38" t="s">
        <v>847</v>
      </c>
      <c r="AA6" s="38" t="s">
        <v>848</v>
      </c>
      <c r="AB6" s="38" t="s">
        <v>849</v>
      </c>
      <c r="AC6" s="38" t="s">
        <v>850</v>
      </c>
      <c r="AD6" s="38" t="s">
        <v>851</v>
      </c>
      <c r="AE6" s="38" t="s">
        <v>852</v>
      </c>
      <c r="AF6" s="38" t="s">
        <v>853</v>
      </c>
      <c r="AG6" s="38" t="s">
        <v>854</v>
      </c>
      <c r="AH6" s="38" t="s">
        <v>855</v>
      </c>
      <c r="AI6" s="38" t="s">
        <v>856</v>
      </c>
      <c r="AJ6" s="38" t="s">
        <v>857</v>
      </c>
      <c r="AK6" s="38" t="s">
        <v>858</v>
      </c>
      <c r="AL6" s="38" t="s">
        <v>859</v>
      </c>
      <c r="AM6" s="38" t="s">
        <v>860</v>
      </c>
      <c r="AN6" s="38" t="s">
        <v>861</v>
      </c>
      <c r="AO6" s="38" t="s">
        <v>976</v>
      </c>
    </row>
    <row r="7" spans="1:41" x14ac:dyDescent="0.3">
      <c r="B7" s="494" t="s">
        <v>17</v>
      </c>
      <c r="C7" s="128" t="s">
        <v>979</v>
      </c>
      <c r="D7" s="370">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483" t="s">
        <v>17</v>
      </c>
      <c r="X7" s="128" t="s">
        <v>979</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3">
      <c r="B8" s="495"/>
      <c r="C8" s="129" t="s">
        <v>984</v>
      </c>
      <c r="D8" s="370">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484"/>
      <c r="X8" s="129" t="s">
        <v>984</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3">
      <c r="B9" s="495"/>
      <c r="C9" s="129" t="s">
        <v>985</v>
      </c>
      <c r="D9" s="370">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484"/>
      <c r="X9" s="129" t="s">
        <v>985</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3">
      <c r="B10" s="495"/>
      <c r="C10" s="129" t="s">
        <v>986</v>
      </c>
      <c r="D10" s="370">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484"/>
      <c r="X10" s="129" t="s">
        <v>986</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3">
      <c r="B11" s="363"/>
      <c r="C11" s="130" t="s">
        <v>1320</v>
      </c>
      <c r="D11" s="370">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485"/>
      <c r="X11" s="130" t="s">
        <v>1320</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3">
      <c r="B12" s="483" t="s">
        <v>18</v>
      </c>
      <c r="C12" s="128" t="s">
        <v>979</v>
      </c>
      <c r="D12" s="370">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477" t="s">
        <v>18</v>
      </c>
      <c r="X12" s="128" t="s">
        <v>979</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3">
      <c r="B13" s="484"/>
      <c r="C13" s="129" t="s">
        <v>984</v>
      </c>
      <c r="D13" s="370">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478"/>
      <c r="X13" s="129" t="s">
        <v>984</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3">
      <c r="B14" s="484"/>
      <c r="C14" s="129" t="s">
        <v>985</v>
      </c>
      <c r="D14" s="370">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478"/>
      <c r="X14" s="129" t="s">
        <v>985</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3">
      <c r="B15" s="484"/>
      <c r="C15" s="129" t="s">
        <v>986</v>
      </c>
      <c r="D15" s="370">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478"/>
      <c r="X15" s="129" t="s">
        <v>986</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3">
      <c r="B16" s="485"/>
      <c r="C16" s="130" t="s">
        <v>1320</v>
      </c>
      <c r="D16" s="370">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479"/>
      <c r="X16" s="130" t="s">
        <v>1320</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3">
      <c r="B17" s="483" t="s">
        <v>19</v>
      </c>
      <c r="C17" s="128" t="s">
        <v>979</v>
      </c>
      <c r="D17" s="370">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477" t="s">
        <v>19</v>
      </c>
      <c r="X17" s="128" t="s">
        <v>979</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3">
      <c r="B18" s="484"/>
      <c r="C18" s="129" t="s">
        <v>984</v>
      </c>
      <c r="D18" s="370">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478"/>
      <c r="X18" s="129" t="s">
        <v>984</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3">
      <c r="B19" s="484"/>
      <c r="C19" s="129" t="s">
        <v>985</v>
      </c>
      <c r="D19" s="370">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478"/>
      <c r="X19" s="129" t="s">
        <v>985</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3">
      <c r="B20" s="484"/>
      <c r="C20" s="129" t="s">
        <v>986</v>
      </c>
      <c r="D20" s="370">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478"/>
      <c r="X20" s="129" t="s">
        <v>986</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3">
      <c r="B21" s="485"/>
      <c r="C21" s="130" t="s">
        <v>1320</v>
      </c>
      <c r="D21" s="370">
        <f>SUMIFS('caseload data'!E:E,'caseload data'!$D:$D,"DMY",'caseload data'!$A:$A,"Greater Manchester")</f>
        <v>0</v>
      </c>
      <c r="E21" s="370">
        <f>SUMIFS('caseload data'!F:F,'caseload data'!$D:$D,"DMY",'caseload data'!$A:$A,"Greater Manchester")</f>
        <v>0</v>
      </c>
      <c r="F21" s="370">
        <f>SUMIFS('caseload data'!G:G,'caseload data'!$D:$D,"DMY",'caseload data'!$A:$A,"Greater Manchester")</f>
        <v>0</v>
      </c>
      <c r="G21" s="370">
        <f>SUMIFS('caseload data'!H:H,'caseload data'!$D:$D,"DMY",'caseload data'!$A:$A,"Greater Manchester")</f>
        <v>0</v>
      </c>
      <c r="H21" s="370">
        <f>SUMIFS('caseload data'!I:I,'caseload data'!$D:$D,"DMY",'caseload data'!$A:$A,"Greater Manchester")</f>
        <v>0</v>
      </c>
      <c r="I21" s="370">
        <f>SUMIFS('caseload data'!J:J,'caseload data'!$D:$D,"DMY",'caseload data'!$A:$A,"Greater Manchester")</f>
        <v>0</v>
      </c>
      <c r="J21" s="370">
        <f>SUMIFS('caseload data'!K:K,'caseload data'!$D:$D,"DMY",'caseload data'!$A:$A,"Greater Manchester")</f>
        <v>0</v>
      </c>
      <c r="K21" s="370">
        <f>SUMIFS('caseload data'!L:L,'caseload data'!$D:$D,"DMY",'caseload data'!$A:$A,"Greater Manchester")</f>
        <v>0</v>
      </c>
      <c r="L21" s="370">
        <f>SUMIFS('caseload data'!M:M,'caseload data'!$D:$D,"DMY",'caseload data'!$A:$A,"Greater Manchester")</f>
        <v>0</v>
      </c>
      <c r="M21" s="370">
        <f>SUMIFS('caseload data'!N:N,'caseload data'!$D:$D,"DMY",'caseload data'!$A:$A,"Greater Manchester")</f>
        <v>0</v>
      </c>
      <c r="N21" s="370">
        <f>SUMIFS('caseload data'!O:O,'caseload data'!$D:$D,"DMY",'caseload data'!$A:$A,"Greater Manchester")</f>
        <v>0</v>
      </c>
      <c r="O21" s="370">
        <f>SUMIFS('caseload data'!P:P,'caseload data'!$D:$D,"DMY",'caseload data'!$A:$A,"Greater Manchester")</f>
        <v>0</v>
      </c>
      <c r="P21" s="370">
        <f>SUMIFS('caseload data'!Q:Q,'caseload data'!$D:$D,"DMY",'caseload data'!$A:$A,"Greater Manchester")</f>
        <v>0</v>
      </c>
      <c r="Q21" s="370">
        <f>SUMIFS('caseload data'!R:R,'caseload data'!$D:$D,"DMY",'caseload data'!$A:$A,"Greater Manchester")</f>
        <v>0</v>
      </c>
      <c r="R21" s="370">
        <f>SUMIFS('caseload data'!S:S,'caseload data'!$D:$D,"DMY",'caseload data'!$A:$A,"Greater Manchester")</f>
        <v>0</v>
      </c>
      <c r="S21" s="370">
        <f>SUMIFS('caseload data'!T:T,'caseload data'!$D:$D,"DMY",'caseload data'!$A:$A,"Greater Manchester")</f>
        <v>0</v>
      </c>
      <c r="T21" s="94">
        <f>SUMIFS('caseload data'!V:V,'caseload data'!$D:$D,"DMY",'caseload data'!$A:$A,"Greater Manchester")</f>
        <v>0</v>
      </c>
      <c r="U21" s="64"/>
      <c r="V21" s="64"/>
      <c r="W21" s="479"/>
      <c r="X21" s="130" t="s">
        <v>1320</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3">
      <c r="B22" s="483" t="s">
        <v>20</v>
      </c>
      <c r="C22" s="128" t="s">
        <v>979</v>
      </c>
      <c r="D22" s="370">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477" t="s">
        <v>20</v>
      </c>
      <c r="X22" s="128" t="s">
        <v>979</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3">
      <c r="B23" s="484"/>
      <c r="C23" s="129" t="s">
        <v>984</v>
      </c>
      <c r="D23" s="370">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478"/>
      <c r="X23" s="129" t="s">
        <v>984</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3">
      <c r="B24" s="484"/>
      <c r="C24" s="129" t="s">
        <v>985</v>
      </c>
      <c r="D24" s="370">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478"/>
      <c r="X24" s="129" t="s">
        <v>985</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3">
      <c r="B25" s="484"/>
      <c r="C25" s="129" t="s">
        <v>986</v>
      </c>
      <c r="D25" s="370">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478"/>
      <c r="X25" s="129" t="s">
        <v>986</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3">
      <c r="B26" s="485"/>
      <c r="C26" s="130" t="s">
        <v>1320</v>
      </c>
      <c r="D26" s="370">
        <f>SUMIFS('caseload data'!E:E,'caseload data'!$D:$D,"DMY",'caseload data'!$A:$A,"Kent Surrey Sussex Region")</f>
        <v>0</v>
      </c>
      <c r="E26" s="370">
        <f>SUMIFS('caseload data'!F:F,'caseload data'!$D:$D,"DMY",'caseload data'!$A:$A,"Kent Surrey Sussex Region")</f>
        <v>0</v>
      </c>
      <c r="F26" s="370">
        <f>SUMIFS('caseload data'!G:G,'caseload data'!$D:$D,"DMY",'caseload data'!$A:$A,"Kent Surrey Sussex Region")</f>
        <v>0</v>
      </c>
      <c r="G26" s="370">
        <f>SUMIFS('caseload data'!H:H,'caseload data'!$D:$D,"DMY",'caseload data'!$A:$A,"Kent Surrey Sussex Region")</f>
        <v>0</v>
      </c>
      <c r="H26" s="370">
        <f>SUMIFS('caseload data'!I:I,'caseload data'!$D:$D,"DMY",'caseload data'!$A:$A,"Kent Surrey Sussex Region")</f>
        <v>0</v>
      </c>
      <c r="I26" s="370">
        <f>SUMIFS('caseload data'!J:J,'caseload data'!$D:$D,"DMY",'caseload data'!$A:$A,"Kent Surrey Sussex Region")</f>
        <v>0</v>
      </c>
      <c r="J26" s="370">
        <f>SUMIFS('caseload data'!K:K,'caseload data'!$D:$D,"DMY",'caseload data'!$A:$A,"Kent Surrey Sussex Region")</f>
        <v>0</v>
      </c>
      <c r="K26" s="370">
        <f>SUMIFS('caseload data'!L:L,'caseload data'!$D:$D,"DMY",'caseload data'!$A:$A,"Kent Surrey Sussex Region")</f>
        <v>0</v>
      </c>
      <c r="L26" s="370">
        <f>SUMIFS('caseload data'!M:M,'caseload data'!$D:$D,"DMY",'caseload data'!$A:$A,"Kent Surrey Sussex Region")</f>
        <v>0</v>
      </c>
      <c r="M26" s="370">
        <f>SUMIFS('caseload data'!N:N,'caseload data'!$D:$D,"DMY",'caseload data'!$A:$A,"Kent Surrey Sussex Region")</f>
        <v>0</v>
      </c>
      <c r="N26" s="370">
        <f>SUMIFS('caseload data'!O:O,'caseload data'!$D:$D,"DMY",'caseload data'!$A:$A,"Kent Surrey Sussex Region")</f>
        <v>0</v>
      </c>
      <c r="O26" s="370">
        <f>SUMIFS('caseload data'!P:P,'caseload data'!$D:$D,"DMY",'caseload data'!$A:$A,"Kent Surrey Sussex Region")</f>
        <v>0</v>
      </c>
      <c r="P26" s="370">
        <f>SUMIFS('caseload data'!Q:Q,'caseload data'!$D:$D,"DMY",'caseload data'!$A:$A,"Kent Surrey Sussex Region")</f>
        <v>0</v>
      </c>
      <c r="Q26" s="370">
        <f>SUMIFS('caseload data'!R:R,'caseload data'!$D:$D,"DMY",'caseload data'!$A:$A,"Kent Surrey Sussex Region")</f>
        <v>0</v>
      </c>
      <c r="R26" s="370">
        <f>SUMIFS('caseload data'!S:S,'caseload data'!$D:$D,"DMY",'caseload data'!$A:$A,"Kent Surrey Sussex Region")</f>
        <v>0</v>
      </c>
      <c r="S26" s="370">
        <f>SUMIFS('caseload data'!T:T,'caseload data'!$D:$D,"DMY",'caseload data'!$A:$A,"Kent Surrey Sussex Region")</f>
        <v>0</v>
      </c>
      <c r="T26" s="94">
        <f>SUMIFS('caseload data'!V:V,'caseload data'!$D:$D,"DMY",'caseload data'!$A:$A,"Kent Surrey Sussex Region")</f>
        <v>0</v>
      </c>
      <c r="U26" s="64"/>
      <c r="V26" s="64"/>
      <c r="W26" s="479"/>
      <c r="X26" s="130" t="s">
        <v>1320</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3">
      <c r="B27" s="483" t="s">
        <v>21</v>
      </c>
      <c r="C27" s="128" t="s">
        <v>979</v>
      </c>
      <c r="D27" s="370">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477" t="s">
        <v>21</v>
      </c>
      <c r="X27" s="128" t="s">
        <v>979</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3">
      <c r="B28" s="484"/>
      <c r="C28" s="129" t="s">
        <v>984</v>
      </c>
      <c r="D28" s="370">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478"/>
      <c r="X28" s="129" t="s">
        <v>984</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3">
      <c r="B29" s="484"/>
      <c r="C29" s="129" t="s">
        <v>985</v>
      </c>
      <c r="D29" s="370">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478"/>
      <c r="X29" s="129" t="s">
        <v>985</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3">
      <c r="B30" s="484"/>
      <c r="C30" s="129" t="s">
        <v>986</v>
      </c>
      <c r="D30" s="370">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478"/>
      <c r="X30" s="129" t="s">
        <v>986</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3">
      <c r="B31" s="485"/>
      <c r="C31" s="130" t="s">
        <v>1320</v>
      </c>
      <c r="D31" s="370">
        <f>SUMIFS('caseload data'!E:E,'caseload data'!$D:$D,"DMY",'caseload data'!$A:$A,"London")</f>
        <v>0</v>
      </c>
      <c r="E31" s="370">
        <f>SUMIFS('caseload data'!F:F,'caseload data'!$D:$D,"DMY",'caseload data'!$A:$A,"London")</f>
        <v>0</v>
      </c>
      <c r="F31" s="370">
        <f>SUMIFS('caseload data'!G:G,'caseload data'!$D:$D,"DMY",'caseload data'!$A:$A,"London")</f>
        <v>0</v>
      </c>
      <c r="G31" s="370">
        <f>SUMIFS('caseload data'!H:H,'caseload data'!$D:$D,"DMY",'caseload data'!$A:$A,"London")</f>
        <v>0</v>
      </c>
      <c r="H31" s="370">
        <f>SUMIFS('caseload data'!I:I,'caseload data'!$D:$D,"DMY",'caseload data'!$A:$A,"London")</f>
        <v>0</v>
      </c>
      <c r="I31" s="370">
        <f>SUMIFS('caseload data'!J:J,'caseload data'!$D:$D,"DMY",'caseload data'!$A:$A,"London")</f>
        <v>0</v>
      </c>
      <c r="J31" s="370">
        <f>SUMIFS('caseload data'!K:K,'caseload data'!$D:$D,"DMY",'caseload data'!$A:$A,"London")</f>
        <v>0</v>
      </c>
      <c r="K31" s="370">
        <f>SUMIFS('caseload data'!L:L,'caseload data'!$D:$D,"DMY",'caseload data'!$A:$A,"London")</f>
        <v>0</v>
      </c>
      <c r="L31" s="370">
        <f>SUMIFS('caseload data'!M:M,'caseload data'!$D:$D,"DMY",'caseload data'!$A:$A,"London")</f>
        <v>0</v>
      </c>
      <c r="M31" s="370">
        <f>SUMIFS('caseload data'!N:N,'caseload data'!$D:$D,"DMY",'caseload data'!$A:$A,"London")</f>
        <v>0</v>
      </c>
      <c r="N31" s="370">
        <f>SUMIFS('caseload data'!O:O,'caseload data'!$D:$D,"DMY",'caseload data'!$A:$A,"London")</f>
        <v>0</v>
      </c>
      <c r="O31" s="370">
        <f>SUMIFS('caseload data'!P:P,'caseload data'!$D:$D,"DMY",'caseload data'!$A:$A,"London")</f>
        <v>0</v>
      </c>
      <c r="P31" s="370">
        <f>SUMIFS('caseload data'!Q:Q,'caseload data'!$D:$D,"DMY",'caseload data'!$A:$A,"London")</f>
        <v>0</v>
      </c>
      <c r="Q31" s="370">
        <f>SUMIFS('caseload data'!R:R,'caseload data'!$D:$D,"DMY",'caseload data'!$A:$A,"London")</f>
        <v>0</v>
      </c>
      <c r="R31" s="370">
        <f>SUMIFS('caseload data'!S:S,'caseload data'!$D:$D,"DMY",'caseload data'!$A:$A,"London")</f>
        <v>0</v>
      </c>
      <c r="S31" s="370">
        <f>SUMIFS('caseload data'!T:T,'caseload data'!$D:$D,"DMY",'caseload data'!$A:$A,"London")</f>
        <v>0</v>
      </c>
      <c r="T31" s="94">
        <f>SUMIFS('caseload data'!V:V,'caseload data'!$D:$D,"DMY",'caseload data'!$A:$A,"London")</f>
        <v>0</v>
      </c>
      <c r="U31" s="64"/>
      <c r="V31" s="64"/>
      <c r="W31" s="479"/>
      <c r="X31" s="130" t="s">
        <v>1320</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3">
      <c r="B32" s="483" t="s">
        <v>22</v>
      </c>
      <c r="C32" s="128" t="s">
        <v>979</v>
      </c>
      <c r="D32" s="370">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477" t="s">
        <v>22</v>
      </c>
      <c r="X32" s="128" t="s">
        <v>979</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3">
      <c r="B33" s="484"/>
      <c r="C33" s="129" t="s">
        <v>984</v>
      </c>
      <c r="D33" s="370">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478"/>
      <c r="X33" s="129" t="s">
        <v>984</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3">
      <c r="B34" s="484"/>
      <c r="C34" s="129" t="s">
        <v>985</v>
      </c>
      <c r="D34" s="370">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478"/>
      <c r="X34" s="129" t="s">
        <v>985</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3">
      <c r="B35" s="484"/>
      <c r="C35" s="129" t="s">
        <v>986</v>
      </c>
      <c r="D35" s="370">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478"/>
      <c r="X35" s="129" t="s">
        <v>986</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3">
      <c r="B36" s="485"/>
      <c r="C36" s="130" t="s">
        <v>1320</v>
      </c>
      <c r="D36" s="370">
        <f>SUMIFS('caseload data'!E:E,'caseload data'!$D:$D,"DMY",'caseload data'!$A:$A,"North East Region")</f>
        <v>0</v>
      </c>
      <c r="E36" s="370">
        <f>SUMIFS('caseload data'!F:F,'caseload data'!$D:$D,"DMY",'caseload data'!$A:$A,"North East Region")</f>
        <v>0</v>
      </c>
      <c r="F36" s="370">
        <f>SUMIFS('caseload data'!G:G,'caseload data'!$D:$D,"DMY",'caseload data'!$A:$A,"North East Region")</f>
        <v>0</v>
      </c>
      <c r="G36" s="370">
        <f>SUMIFS('caseload data'!H:H,'caseload data'!$D:$D,"DMY",'caseload data'!$A:$A,"North East Region")</f>
        <v>0</v>
      </c>
      <c r="H36" s="370">
        <f>SUMIFS('caseload data'!I:I,'caseload data'!$D:$D,"DMY",'caseload data'!$A:$A,"North East Region")</f>
        <v>0</v>
      </c>
      <c r="I36" s="370">
        <f>SUMIFS('caseload data'!J:J,'caseload data'!$D:$D,"DMY",'caseload data'!$A:$A,"North East Region")</f>
        <v>0</v>
      </c>
      <c r="J36" s="370">
        <f>SUMIFS('caseload data'!K:K,'caseload data'!$D:$D,"DMY",'caseload data'!$A:$A,"North East Region")</f>
        <v>0</v>
      </c>
      <c r="K36" s="370">
        <f>SUMIFS('caseload data'!L:L,'caseload data'!$D:$D,"DMY",'caseload data'!$A:$A,"North East Region")</f>
        <v>0</v>
      </c>
      <c r="L36" s="370">
        <f>SUMIFS('caseload data'!M:M,'caseload data'!$D:$D,"DMY",'caseload data'!$A:$A,"North East Region")</f>
        <v>0</v>
      </c>
      <c r="M36" s="370">
        <f>SUMIFS('caseload data'!N:N,'caseload data'!$D:$D,"DMY",'caseload data'!$A:$A,"North East Region")</f>
        <v>0</v>
      </c>
      <c r="N36" s="370">
        <f>SUMIFS('caseload data'!O:O,'caseload data'!$D:$D,"DMY",'caseload data'!$A:$A,"North East Region")</f>
        <v>0</v>
      </c>
      <c r="O36" s="370">
        <f>SUMIFS('caseload data'!P:P,'caseload data'!$D:$D,"DMY",'caseload data'!$A:$A,"North East Region")</f>
        <v>0</v>
      </c>
      <c r="P36" s="370">
        <f>SUMIFS('caseload data'!Q:Q,'caseload data'!$D:$D,"DMY",'caseload data'!$A:$A,"North East Region")</f>
        <v>0</v>
      </c>
      <c r="Q36" s="370">
        <f>SUMIFS('caseload data'!R:R,'caseload data'!$D:$D,"DMY",'caseload data'!$A:$A,"North East Region")</f>
        <v>0</v>
      </c>
      <c r="R36" s="370">
        <f>SUMIFS('caseload data'!S:S,'caseload data'!$D:$D,"DMY",'caseload data'!$A:$A,"North East Region")</f>
        <v>0</v>
      </c>
      <c r="S36" s="370">
        <f>SUMIFS('caseload data'!T:T,'caseload data'!$D:$D,"DMY",'caseload data'!$A:$A,"North East Region")</f>
        <v>0</v>
      </c>
      <c r="T36" s="94">
        <f>SUMIFS('caseload data'!V:V,'caseload data'!$D:$D,"DMY",'caseload data'!$A:$A,"North East Region")</f>
        <v>0</v>
      </c>
      <c r="U36" s="64"/>
      <c r="V36" s="64"/>
      <c r="W36" s="479"/>
      <c r="X36" s="130" t="s">
        <v>1320</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3">
      <c r="B37" s="477" t="s">
        <v>23</v>
      </c>
      <c r="C37" s="128" t="s">
        <v>979</v>
      </c>
      <c r="D37" s="370">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477" t="s">
        <v>23</v>
      </c>
      <c r="X37" s="128" t="s">
        <v>979</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3">
      <c r="B38" s="478"/>
      <c r="C38" s="129" t="s">
        <v>984</v>
      </c>
      <c r="D38" s="370">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478"/>
      <c r="X38" s="129" t="s">
        <v>984</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3">
      <c r="B39" s="478"/>
      <c r="C39" s="129" t="s">
        <v>985</v>
      </c>
      <c r="D39" s="370">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478"/>
      <c r="X39" s="129" t="s">
        <v>985</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3">
      <c r="B40" s="478"/>
      <c r="C40" s="129" t="s">
        <v>986</v>
      </c>
      <c r="D40" s="370">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478"/>
      <c r="X40" s="129" t="s">
        <v>986</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3">
      <c r="B41" s="479"/>
      <c r="C41" s="130" t="s">
        <v>1320</v>
      </c>
      <c r="D41" s="370">
        <f>SUMIFS('caseload data'!E:E,'caseload data'!$D:$D,"DMY",'caseload data'!$A:$A,"North West Region")</f>
        <v>0</v>
      </c>
      <c r="E41" s="370">
        <f>SUMIFS('caseload data'!F:F,'caseload data'!$D:$D,"DMY",'caseload data'!$A:$A,"North West Region")</f>
        <v>0</v>
      </c>
      <c r="F41" s="370">
        <f>SUMIFS('caseload data'!G:G,'caseload data'!$D:$D,"DMY",'caseload data'!$A:$A,"North West Region")</f>
        <v>0</v>
      </c>
      <c r="G41" s="370">
        <f>SUMIFS('caseload data'!H:H,'caseload data'!$D:$D,"DMY",'caseload data'!$A:$A,"North West Region")</f>
        <v>0</v>
      </c>
      <c r="H41" s="370">
        <f>SUMIFS('caseload data'!I:I,'caseload data'!$D:$D,"DMY",'caseload data'!$A:$A,"North West Region")</f>
        <v>0</v>
      </c>
      <c r="I41" s="370">
        <f>SUMIFS('caseload data'!J:J,'caseload data'!$D:$D,"DMY",'caseload data'!$A:$A,"North West Region")</f>
        <v>0</v>
      </c>
      <c r="J41" s="370">
        <f>SUMIFS('caseload data'!K:K,'caseload data'!$D:$D,"DMY",'caseload data'!$A:$A,"North West Region")</f>
        <v>0</v>
      </c>
      <c r="K41" s="370">
        <f>SUMIFS('caseload data'!L:L,'caseload data'!$D:$D,"DMY",'caseload data'!$A:$A,"North West Region")</f>
        <v>0</v>
      </c>
      <c r="L41" s="370">
        <f>SUMIFS('caseload data'!M:M,'caseload data'!$D:$D,"DMY",'caseload data'!$A:$A,"North West Region")</f>
        <v>0</v>
      </c>
      <c r="M41" s="370">
        <f>SUMIFS('caseload data'!N:N,'caseload data'!$D:$D,"DMY",'caseload data'!$A:$A,"North West Region")</f>
        <v>0</v>
      </c>
      <c r="N41" s="370">
        <f>SUMIFS('caseload data'!O:O,'caseload data'!$D:$D,"DMY",'caseload data'!$A:$A,"North West Region")</f>
        <v>0</v>
      </c>
      <c r="O41" s="370">
        <f>SUMIFS('caseload data'!P:P,'caseload data'!$D:$D,"DMY",'caseload data'!$A:$A,"North West Region")</f>
        <v>0</v>
      </c>
      <c r="P41" s="370">
        <f>SUMIFS('caseload data'!Q:Q,'caseload data'!$D:$D,"DMY",'caseload data'!$A:$A,"North West Region")</f>
        <v>0</v>
      </c>
      <c r="Q41" s="370">
        <f>SUMIFS('caseload data'!R:R,'caseload data'!$D:$D,"DMY",'caseload data'!$A:$A,"North West Region")</f>
        <v>0</v>
      </c>
      <c r="R41" s="370">
        <f>SUMIFS('caseload data'!S:S,'caseload data'!$D:$D,"DMY",'caseload data'!$A:$A,"North West Region")</f>
        <v>0</v>
      </c>
      <c r="S41" s="370">
        <f>SUMIFS('caseload data'!T:T,'caseload data'!$D:$D,"DMY",'caseload data'!$A:$A,"North West Region")</f>
        <v>0</v>
      </c>
      <c r="T41" s="94">
        <f>SUMIFS('caseload data'!V:V,'caseload data'!$D:$D,"DMY",'caseload data'!$A:$A,"North West Region")</f>
        <v>0</v>
      </c>
      <c r="U41" s="64"/>
      <c r="V41" s="64"/>
      <c r="W41" s="479"/>
      <c r="X41" s="130" t="s">
        <v>1320</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3">
      <c r="B42" s="483" t="s">
        <v>24</v>
      </c>
      <c r="C42" s="128" t="s">
        <v>979</v>
      </c>
      <c r="D42" s="370">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477" t="s">
        <v>24</v>
      </c>
      <c r="X42" s="128" t="s">
        <v>979</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3">
      <c r="B43" s="484"/>
      <c r="C43" s="129" t="s">
        <v>984</v>
      </c>
      <c r="D43" s="370">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478"/>
      <c r="X43" s="129" t="s">
        <v>984</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3">
      <c r="B44" s="484"/>
      <c r="C44" s="129" t="s">
        <v>985</v>
      </c>
      <c r="D44" s="370">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478"/>
      <c r="X44" s="129" t="s">
        <v>985</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3">
      <c r="B45" s="484"/>
      <c r="C45" s="129" t="s">
        <v>986</v>
      </c>
      <c r="D45" s="370">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478"/>
      <c r="X45" s="129" t="s">
        <v>986</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3">
      <c r="B46" s="485"/>
      <c r="C46" s="130" t="s">
        <v>1320</v>
      </c>
      <c r="D46" s="370">
        <f>SUMIFS('caseload data'!E:E,'caseload data'!$D:$D,"DMY",'caseload data'!$A:$A,"South Central")</f>
        <v>0</v>
      </c>
      <c r="E46" s="370">
        <f>SUMIFS('caseload data'!F:F,'caseload data'!$D:$D,"DMY",'caseload data'!$A:$A,"South Central")</f>
        <v>0</v>
      </c>
      <c r="F46" s="370">
        <f>SUMIFS('caseload data'!G:G,'caseload data'!$D:$D,"DMY",'caseload data'!$A:$A,"South Central")</f>
        <v>0</v>
      </c>
      <c r="G46" s="370">
        <f>SUMIFS('caseload data'!H:H,'caseload data'!$D:$D,"DMY",'caseload data'!$A:$A,"South Central")</f>
        <v>0</v>
      </c>
      <c r="H46" s="370">
        <f>SUMIFS('caseload data'!I:I,'caseload data'!$D:$D,"DMY",'caseload data'!$A:$A,"South Central")</f>
        <v>0</v>
      </c>
      <c r="I46" s="370">
        <f>SUMIFS('caseload data'!J:J,'caseload data'!$D:$D,"DMY",'caseload data'!$A:$A,"South Central")</f>
        <v>0</v>
      </c>
      <c r="J46" s="370">
        <f>SUMIFS('caseload data'!K:K,'caseload data'!$D:$D,"DMY",'caseload data'!$A:$A,"South Central")</f>
        <v>0</v>
      </c>
      <c r="K46" s="370">
        <f>SUMIFS('caseload data'!L:L,'caseload data'!$D:$D,"DMY",'caseload data'!$A:$A,"South Central")</f>
        <v>0</v>
      </c>
      <c r="L46" s="370">
        <f>SUMIFS('caseload data'!M:M,'caseload data'!$D:$D,"DMY",'caseload data'!$A:$A,"South Central")</f>
        <v>0</v>
      </c>
      <c r="M46" s="370">
        <f>SUMIFS('caseload data'!N:N,'caseload data'!$D:$D,"DMY",'caseload data'!$A:$A,"South Central")</f>
        <v>0</v>
      </c>
      <c r="N46" s="370">
        <f>SUMIFS('caseload data'!O:O,'caseload data'!$D:$D,"DMY",'caseload data'!$A:$A,"South Central")</f>
        <v>0</v>
      </c>
      <c r="O46" s="370">
        <f>SUMIFS('caseload data'!P:P,'caseload data'!$D:$D,"DMY",'caseload data'!$A:$A,"South Central")</f>
        <v>0</v>
      </c>
      <c r="P46" s="370">
        <f>SUMIFS('caseload data'!Q:Q,'caseload data'!$D:$D,"DMY",'caseload data'!$A:$A,"South Central")</f>
        <v>0</v>
      </c>
      <c r="Q46" s="370">
        <f>SUMIFS('caseload data'!R:R,'caseload data'!$D:$D,"DMY",'caseload data'!$A:$A,"South Central")</f>
        <v>0</v>
      </c>
      <c r="R46" s="370">
        <f>SUMIFS('caseload data'!S:S,'caseload data'!$D:$D,"DMY",'caseload data'!$A:$A,"South Central")</f>
        <v>0</v>
      </c>
      <c r="S46" s="370">
        <f>SUMIFS('caseload data'!T:T,'caseload data'!$D:$D,"DMY",'caseload data'!$A:$A,"South Central")</f>
        <v>0</v>
      </c>
      <c r="T46" s="94">
        <f>SUMIFS('caseload data'!V:V,'caseload data'!$D:$D,"DMY",'caseload data'!$A:$A,"South Central")</f>
        <v>0</v>
      </c>
      <c r="U46" s="64"/>
      <c r="V46" s="64"/>
      <c r="W46" s="479"/>
      <c r="X46" s="130" t="s">
        <v>1320</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3">
      <c r="B47" s="483" t="s">
        <v>25</v>
      </c>
      <c r="C47" s="128" t="s">
        <v>979</v>
      </c>
      <c r="D47" s="370">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477" t="s">
        <v>25</v>
      </c>
      <c r="X47" s="128" t="s">
        <v>979</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3">
      <c r="B48" s="484"/>
      <c r="C48" s="129" t="s">
        <v>984</v>
      </c>
      <c r="D48" s="370">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478"/>
      <c r="X48" s="129" t="s">
        <v>984</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3">
      <c r="B49" s="484"/>
      <c r="C49" s="129" t="s">
        <v>985</v>
      </c>
      <c r="D49" s="370">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478"/>
      <c r="X49" s="129" t="s">
        <v>985</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3">
      <c r="B50" s="484"/>
      <c r="C50" s="129" t="s">
        <v>986</v>
      </c>
      <c r="D50" s="370">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478"/>
      <c r="X50" s="129" t="s">
        <v>986</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3">
      <c r="B51" s="485"/>
      <c r="C51" s="130" t="s">
        <v>1320</v>
      </c>
      <c r="D51" s="370">
        <f>SUMIFS('caseload data'!E:E,'caseload data'!$D:$D,"DMY",'caseload data'!$A:$A,"South West")</f>
        <v>0</v>
      </c>
      <c r="E51" s="370">
        <f>SUMIFS('caseload data'!F:F,'caseload data'!$D:$D,"DMY",'caseload data'!$A:$A,"South West")</f>
        <v>0</v>
      </c>
      <c r="F51" s="370">
        <f>SUMIFS('caseload data'!G:G,'caseload data'!$D:$D,"DMY",'caseload data'!$A:$A,"South West")</f>
        <v>0</v>
      </c>
      <c r="G51" s="370">
        <f>SUMIFS('caseload data'!H:H,'caseload data'!$D:$D,"DMY",'caseload data'!$A:$A,"South West")</f>
        <v>0</v>
      </c>
      <c r="H51" s="370">
        <f>SUMIFS('caseload data'!I:I,'caseload data'!$D:$D,"DMY",'caseload data'!$A:$A,"South West")</f>
        <v>0</v>
      </c>
      <c r="I51" s="370">
        <f>SUMIFS('caseload data'!J:J,'caseload data'!$D:$D,"DMY",'caseload data'!$A:$A,"South West")</f>
        <v>0</v>
      </c>
      <c r="J51" s="370">
        <f>SUMIFS('caseload data'!K:K,'caseload data'!$D:$D,"DMY",'caseload data'!$A:$A,"South West")</f>
        <v>0</v>
      </c>
      <c r="K51" s="370">
        <f>SUMIFS('caseload data'!L:L,'caseload data'!$D:$D,"DMY",'caseload data'!$A:$A,"South West")</f>
        <v>0</v>
      </c>
      <c r="L51" s="370">
        <f>SUMIFS('caseload data'!M:M,'caseload data'!$D:$D,"DMY",'caseload data'!$A:$A,"South West")</f>
        <v>0</v>
      </c>
      <c r="M51" s="370">
        <f>SUMIFS('caseload data'!N:N,'caseload data'!$D:$D,"DMY",'caseload data'!$A:$A,"South West")</f>
        <v>0</v>
      </c>
      <c r="N51" s="370">
        <f>SUMIFS('caseload data'!O:O,'caseload data'!$D:$D,"DMY",'caseload data'!$A:$A,"South West")</f>
        <v>0</v>
      </c>
      <c r="O51" s="370">
        <f>SUMIFS('caseload data'!P:P,'caseload data'!$D:$D,"DMY",'caseload data'!$A:$A,"South West")</f>
        <v>0</v>
      </c>
      <c r="P51" s="370">
        <f>SUMIFS('caseload data'!Q:Q,'caseload data'!$D:$D,"DMY",'caseload data'!$A:$A,"South West")</f>
        <v>0</v>
      </c>
      <c r="Q51" s="370">
        <f>SUMIFS('caseload data'!R:R,'caseload data'!$D:$D,"DMY",'caseload data'!$A:$A,"South West")</f>
        <v>0</v>
      </c>
      <c r="R51" s="370">
        <f>SUMIFS('caseload data'!S:S,'caseload data'!$D:$D,"DMY",'caseload data'!$A:$A,"South West")</f>
        <v>0</v>
      </c>
      <c r="S51" s="370">
        <f>SUMIFS('caseload data'!T:T,'caseload data'!$D:$D,"DMY",'caseload data'!$A:$A,"South West")</f>
        <v>0</v>
      </c>
      <c r="T51" s="94">
        <f>SUMIFS('caseload data'!V:V,'caseload data'!$D:$D,"DMY",'caseload data'!$A:$A,"South West")</f>
        <v>0</v>
      </c>
      <c r="U51" s="64"/>
      <c r="V51" s="64"/>
      <c r="W51" s="479"/>
      <c r="X51" s="130" t="s">
        <v>1320</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3">
      <c r="B52" s="483" t="s">
        <v>26</v>
      </c>
      <c r="C52" s="128" t="s">
        <v>979</v>
      </c>
      <c r="D52" s="370">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477" t="s">
        <v>26</v>
      </c>
      <c r="X52" s="128" t="s">
        <v>979</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3">
      <c r="B53" s="484"/>
      <c r="C53" s="129" t="s">
        <v>984</v>
      </c>
      <c r="D53" s="370">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478"/>
      <c r="X53" s="129" t="s">
        <v>984</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3">
      <c r="B54" s="484"/>
      <c r="C54" s="129" t="s">
        <v>985</v>
      </c>
      <c r="D54" s="370">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478"/>
      <c r="X54" s="129" t="s">
        <v>985</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3">
      <c r="B55" s="484"/>
      <c r="C55" s="129" t="s">
        <v>986</v>
      </c>
      <c r="D55" s="370">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478"/>
      <c r="X55" s="129" t="s">
        <v>986</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3">
      <c r="B56" s="485"/>
      <c r="C56" s="129" t="s">
        <v>1320</v>
      </c>
      <c r="D56" s="370">
        <f>SUMIFS('caseload data'!E:E,'caseload data'!$D:$D,"DMY",'caseload data'!$A:$A,"Wales")</f>
        <v>0</v>
      </c>
      <c r="E56" s="370">
        <f>SUMIFS('caseload data'!F:F,'caseload data'!$D:$D,"DMY",'caseload data'!$A:$A,"Wales")</f>
        <v>0</v>
      </c>
      <c r="F56" s="370">
        <f>SUMIFS('caseload data'!G:G,'caseload data'!$D:$D,"DMY",'caseload data'!$A:$A,"Wales")</f>
        <v>0</v>
      </c>
      <c r="G56" s="370">
        <f>SUMIFS('caseload data'!H:H,'caseload data'!$D:$D,"DMY",'caseload data'!$A:$A,"Wales")</f>
        <v>0</v>
      </c>
      <c r="H56" s="370">
        <f>SUMIFS('caseload data'!I:I,'caseload data'!$D:$D,"DMY",'caseload data'!$A:$A,"Wales")</f>
        <v>0</v>
      </c>
      <c r="I56" s="370">
        <f>SUMIFS('caseload data'!J:J,'caseload data'!$D:$D,"DMY",'caseload data'!$A:$A,"Wales")</f>
        <v>0</v>
      </c>
      <c r="J56" s="370">
        <f>SUMIFS('caseload data'!K:K,'caseload data'!$D:$D,"DMY",'caseload data'!$A:$A,"Wales")</f>
        <v>0</v>
      </c>
      <c r="K56" s="370">
        <f>SUMIFS('caseload data'!L:L,'caseload data'!$D:$D,"DMY",'caseload data'!$A:$A,"Wales")</f>
        <v>0</v>
      </c>
      <c r="L56" s="370">
        <f>SUMIFS('caseload data'!M:M,'caseload data'!$D:$D,"DMY",'caseload data'!$A:$A,"Wales")</f>
        <v>0</v>
      </c>
      <c r="M56" s="370">
        <f>SUMIFS('caseload data'!N:N,'caseload data'!$D:$D,"DMY",'caseload data'!$A:$A,"Wales")</f>
        <v>0</v>
      </c>
      <c r="N56" s="370">
        <f>SUMIFS('caseload data'!O:O,'caseload data'!$D:$D,"DMY",'caseload data'!$A:$A,"Wales")</f>
        <v>0</v>
      </c>
      <c r="O56" s="370">
        <f>SUMIFS('caseload data'!P:P,'caseload data'!$D:$D,"DMY",'caseload data'!$A:$A,"Wales")</f>
        <v>0</v>
      </c>
      <c r="P56" s="370">
        <f>SUMIFS('caseload data'!Q:Q,'caseload data'!$D:$D,"DMY",'caseload data'!$A:$A,"Wales")</f>
        <v>0</v>
      </c>
      <c r="Q56" s="370">
        <f>SUMIFS('caseload data'!R:R,'caseload data'!$D:$D,"DMY",'caseload data'!$A:$A,"Wales")</f>
        <v>0</v>
      </c>
      <c r="R56" s="370">
        <f>SUMIFS('caseload data'!S:S,'caseload data'!$D:$D,"DMY",'caseload data'!$A:$A,"Wales")</f>
        <v>0</v>
      </c>
      <c r="S56" s="370">
        <f>SUMIFS('caseload data'!T:T,'caseload data'!$D:$D,"DMY",'caseload data'!$A:$A,"Wales")</f>
        <v>0</v>
      </c>
      <c r="T56" s="94">
        <f>SUMIFS('caseload data'!V:V,'caseload data'!$D:$D,"DMY",'caseload data'!$A:$A,"Wales")</f>
        <v>0</v>
      </c>
      <c r="U56" s="64"/>
      <c r="V56" s="64"/>
      <c r="W56" s="479"/>
      <c r="X56" s="130" t="s">
        <v>1320</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3">
      <c r="B57" s="483" t="s">
        <v>27</v>
      </c>
      <c r="C57" s="128" t="s">
        <v>979</v>
      </c>
      <c r="D57" s="370">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477" t="s">
        <v>27</v>
      </c>
      <c r="X57" s="128" t="s">
        <v>979</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3">
      <c r="B58" s="484"/>
      <c r="C58" s="129" t="s">
        <v>984</v>
      </c>
      <c r="D58" s="370">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478"/>
      <c r="X58" s="129" t="s">
        <v>984</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3">
      <c r="B59" s="484"/>
      <c r="C59" s="129" t="s">
        <v>985</v>
      </c>
      <c r="D59" s="370">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478"/>
      <c r="X59" s="129" t="s">
        <v>985</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3">
      <c r="B60" s="484"/>
      <c r="C60" s="129" t="s">
        <v>986</v>
      </c>
      <c r="D60" s="370">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478"/>
      <c r="X60" s="129" t="s">
        <v>986</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3">
      <c r="B61" s="485"/>
      <c r="C61" s="130" t="s">
        <v>1320</v>
      </c>
      <c r="D61" s="370">
        <f>SUMIFS('caseload data'!E:E,'caseload data'!$D:$D,"DMY",'caseload data'!$A:$A,"West Midlands Region")</f>
        <v>0</v>
      </c>
      <c r="E61" s="370">
        <f>SUMIFS('caseload data'!F:F,'caseload data'!$D:$D,"DMY",'caseload data'!$A:$A,"West Midlands Region")</f>
        <v>0</v>
      </c>
      <c r="F61" s="370">
        <f>SUMIFS('caseload data'!G:G,'caseload data'!$D:$D,"DMY",'caseload data'!$A:$A,"West Midlands Region")</f>
        <v>0</v>
      </c>
      <c r="G61" s="370">
        <f>SUMIFS('caseload data'!H:H,'caseload data'!$D:$D,"DMY",'caseload data'!$A:$A,"West Midlands Region")</f>
        <v>0</v>
      </c>
      <c r="H61" s="370">
        <f>SUMIFS('caseload data'!I:I,'caseload data'!$D:$D,"DMY",'caseload data'!$A:$A,"West Midlands Region")</f>
        <v>0</v>
      </c>
      <c r="I61" s="370">
        <f>SUMIFS('caseload data'!J:J,'caseload data'!$D:$D,"DMY",'caseload data'!$A:$A,"West Midlands Region")</f>
        <v>0</v>
      </c>
      <c r="J61" s="370">
        <f>SUMIFS('caseload data'!K:K,'caseload data'!$D:$D,"DMY",'caseload data'!$A:$A,"West Midlands Region")</f>
        <v>0</v>
      </c>
      <c r="K61" s="370">
        <f>SUMIFS('caseload data'!L:L,'caseload data'!$D:$D,"DMY",'caseload data'!$A:$A,"West Midlands Region")</f>
        <v>0</v>
      </c>
      <c r="L61" s="370">
        <f>SUMIFS('caseload data'!M:M,'caseload data'!$D:$D,"DMY",'caseload data'!$A:$A,"West Midlands Region")</f>
        <v>0</v>
      </c>
      <c r="M61" s="370">
        <f>SUMIFS('caseload data'!N:N,'caseload data'!$D:$D,"DMY",'caseload data'!$A:$A,"West Midlands Region")</f>
        <v>0</v>
      </c>
      <c r="N61" s="370">
        <f>SUMIFS('caseload data'!O:O,'caseload data'!$D:$D,"DMY",'caseload data'!$A:$A,"West Midlands Region")</f>
        <v>0</v>
      </c>
      <c r="O61" s="370">
        <f>SUMIFS('caseload data'!P:P,'caseload data'!$D:$D,"DMY",'caseload data'!$A:$A,"West Midlands Region")</f>
        <v>0</v>
      </c>
      <c r="P61" s="370">
        <f>SUMIFS('caseload data'!Q:Q,'caseload data'!$D:$D,"DMY",'caseload data'!$A:$A,"West Midlands Region")</f>
        <v>0</v>
      </c>
      <c r="Q61" s="370">
        <f>SUMIFS('caseload data'!R:R,'caseload data'!$D:$D,"DMY",'caseload data'!$A:$A,"West Midlands Region")</f>
        <v>0</v>
      </c>
      <c r="R61" s="370">
        <f>SUMIFS('caseload data'!S:S,'caseload data'!$D:$D,"DMY",'caseload data'!$A:$A,"West Midlands Region")</f>
        <v>0</v>
      </c>
      <c r="S61" s="370">
        <f>SUMIFS('caseload data'!T:T,'caseload data'!$D:$D,"DMY",'caseload data'!$A:$A,"West Midlands Region")</f>
        <v>0</v>
      </c>
      <c r="T61" s="94">
        <f>SUMIFS('caseload data'!V:V,'caseload data'!$D:$D,"DMY",'caseload data'!$A:$A,"West Midlands Region")</f>
        <v>0</v>
      </c>
      <c r="U61" s="64"/>
      <c r="V61" s="64"/>
      <c r="W61" s="479"/>
      <c r="X61" s="130" t="s">
        <v>1320</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3">
      <c r="B62" s="477" t="s">
        <v>28</v>
      </c>
      <c r="C62" s="129" t="s">
        <v>979</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483" t="s">
        <v>28</v>
      </c>
      <c r="X62" s="129" t="s">
        <v>979</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3">
      <c r="B63" s="478"/>
      <c r="C63" s="129" t="s">
        <v>984</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484"/>
      <c r="X63" s="129" t="s">
        <v>984</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3">
      <c r="B64" s="478"/>
      <c r="C64" s="129" t="s">
        <v>985</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484"/>
      <c r="X64" s="129" t="s">
        <v>985</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3">
      <c r="B65" s="478"/>
      <c r="C65" s="129" t="s">
        <v>986</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484"/>
      <c r="X65" s="129" t="s">
        <v>986</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4.5" thickBot="1" x14ac:dyDescent="0.35">
      <c r="B66" s="478"/>
      <c r="C66" s="129" t="s">
        <v>1320</v>
      </c>
      <c r="D66" s="377">
        <f>SUMIFS('caseload data'!E:E,'caseload data'!$D:$D,"DMY",'caseload data'!$A:$A,"Yorkshire and The Humber")</f>
        <v>0</v>
      </c>
      <c r="E66" s="377">
        <f>SUMIFS('caseload data'!F:F,'caseload data'!$D:$D,"DMY",'caseload data'!$A:$A,"Yorkshire and The Humber")</f>
        <v>0</v>
      </c>
      <c r="F66" s="377">
        <f>SUMIFS('caseload data'!G:G,'caseload data'!$D:$D,"DMY",'caseload data'!$A:$A,"Yorkshire and The Humber")</f>
        <v>0</v>
      </c>
      <c r="G66" s="377">
        <f>SUMIFS('caseload data'!H:H,'caseload data'!$D:$D,"DMY",'caseload data'!$A:$A,"Yorkshire and The Humber")</f>
        <v>0</v>
      </c>
      <c r="H66" s="377">
        <f>SUMIFS('caseload data'!I:I,'caseload data'!$D:$D,"DMY",'caseload data'!$A:$A,"Yorkshire and The Humber")</f>
        <v>0</v>
      </c>
      <c r="I66" s="377">
        <f>SUMIFS('caseload data'!J:J,'caseload data'!$D:$D,"DMY",'caseload data'!$A:$A,"Yorkshire and The Humber")</f>
        <v>0</v>
      </c>
      <c r="J66" s="377">
        <f>SUMIFS('caseload data'!K:K,'caseload data'!$D:$D,"DMY",'caseload data'!$A:$A,"Yorkshire and The Humber")</f>
        <v>0</v>
      </c>
      <c r="K66" s="377">
        <f>SUMIFS('caseload data'!L:L,'caseload data'!$D:$D,"DMY",'caseload data'!$A:$A,"Yorkshire and The Humber")</f>
        <v>0</v>
      </c>
      <c r="L66" s="377">
        <f>SUMIFS('caseload data'!M:M,'caseload data'!$D:$D,"DMY",'caseload data'!$A:$A,"Yorkshire and The Humber")</f>
        <v>0</v>
      </c>
      <c r="M66" s="377">
        <f>SUMIFS('caseload data'!N:N,'caseload data'!$D:$D,"DMY",'caseload data'!$A:$A,"Yorkshire and The Humber")</f>
        <v>0</v>
      </c>
      <c r="N66" s="377">
        <f>SUMIFS('caseload data'!O:O,'caseload data'!$D:$D,"DMY",'caseload data'!$A:$A,"Yorkshire and The Humber")</f>
        <v>0</v>
      </c>
      <c r="O66" s="377">
        <f>SUMIFS('caseload data'!P:P,'caseload data'!$D:$D,"DMY",'caseload data'!$A:$A,"Yorkshire and The Humber")</f>
        <v>0</v>
      </c>
      <c r="P66" s="377">
        <f>SUMIFS('caseload data'!Q:Q,'caseload data'!$D:$D,"DMY",'caseload data'!$A:$A,"Yorkshire and The Humber")</f>
        <v>0</v>
      </c>
      <c r="Q66" s="377">
        <f>SUMIFS('caseload data'!R:R,'caseload data'!$D:$D,"DMY",'caseload data'!$A:$A,"Yorkshire and The Humber")</f>
        <v>0</v>
      </c>
      <c r="R66" s="377">
        <f>SUMIFS('caseload data'!S:S,'caseload data'!$D:$D,"DMY",'caseload data'!$A:$A,"Yorkshire and The Humber")</f>
        <v>0</v>
      </c>
      <c r="S66" s="377">
        <f>SUMIFS('caseload data'!T:T,'caseload data'!$D:$D,"DMY",'caseload data'!$A:$A,"Yorkshire and The Humber")</f>
        <v>0</v>
      </c>
      <c r="T66" s="377">
        <f>SUMIFS('caseload data'!V:V,'caseload data'!$D:$D,"DMY",'caseload data'!$A:$A,"Yorkshire and The Humber")</f>
        <v>0</v>
      </c>
      <c r="U66" s="64"/>
      <c r="V66" s="64"/>
      <c r="W66" s="484"/>
      <c r="X66" s="129" t="s">
        <v>1320</v>
      </c>
      <c r="Y66" s="373" t="e">
        <f t="shared" si="42"/>
        <v>#DIV/0!</v>
      </c>
      <c r="Z66" s="373" t="e">
        <f t="shared" si="41"/>
        <v>#DIV/0!</v>
      </c>
      <c r="AA66" s="373" t="e">
        <f t="shared" si="41"/>
        <v>#DIV/0!</v>
      </c>
      <c r="AB66" s="373" t="e">
        <f t="shared" si="41"/>
        <v>#DIV/0!</v>
      </c>
      <c r="AC66" s="373" t="e">
        <f t="shared" si="41"/>
        <v>#DIV/0!</v>
      </c>
      <c r="AD66" s="373" t="e">
        <f t="shared" si="41"/>
        <v>#DIV/0!</v>
      </c>
      <c r="AE66" s="373" t="e">
        <f t="shared" si="41"/>
        <v>#DIV/0!</v>
      </c>
      <c r="AF66" s="373" t="e">
        <f t="shared" si="41"/>
        <v>#DIV/0!</v>
      </c>
      <c r="AG66" s="373" t="e">
        <f t="shared" si="41"/>
        <v>#DIV/0!</v>
      </c>
      <c r="AH66" s="373" t="e">
        <f t="shared" si="41"/>
        <v>#DIV/0!</v>
      </c>
      <c r="AI66" s="373" t="e">
        <f t="shared" si="41"/>
        <v>#DIV/0!</v>
      </c>
      <c r="AJ66" s="373" t="e">
        <f t="shared" si="41"/>
        <v>#DIV/0!</v>
      </c>
      <c r="AK66" s="373" t="e">
        <f t="shared" si="41"/>
        <v>#DIV/0!</v>
      </c>
      <c r="AL66" s="373" t="e">
        <f t="shared" si="41"/>
        <v>#DIV/0!</v>
      </c>
      <c r="AM66" s="373" t="e">
        <f t="shared" si="41"/>
        <v>#DIV/0!</v>
      </c>
      <c r="AN66" s="373" t="e">
        <f t="shared" si="41"/>
        <v>#DIV/0!</v>
      </c>
      <c r="AO66" s="373" t="e">
        <f t="shared" si="41"/>
        <v>#DIV/0!</v>
      </c>
    </row>
    <row r="67" spans="2:41" x14ac:dyDescent="0.3">
      <c r="B67" s="480" t="s">
        <v>941</v>
      </c>
      <c r="C67" s="378" t="s">
        <v>979</v>
      </c>
      <c r="D67" s="379">
        <f>SUMIF('caseload data'!$D:$D,"PO",'caseload data'!E:E)</f>
        <v>0</v>
      </c>
      <c r="E67" s="379">
        <f>SUMIF('caseload data'!$D:$D,"PO",'caseload data'!F:F)</f>
        <v>0</v>
      </c>
      <c r="F67" s="379">
        <f>SUMIF('caseload data'!$D:$D,"PO",'caseload data'!G:G)</f>
        <v>0</v>
      </c>
      <c r="G67" s="379">
        <f>SUMIF('caseload data'!$D:$D,"PO",'caseload data'!H:H)</f>
        <v>0</v>
      </c>
      <c r="H67" s="379">
        <f>SUMIF('caseload data'!$D:$D,"PO",'caseload data'!I:I)</f>
        <v>0</v>
      </c>
      <c r="I67" s="379">
        <f>SUMIF('caseload data'!$D:$D,"PO",'caseload data'!J:J)</f>
        <v>0</v>
      </c>
      <c r="J67" s="379">
        <f>SUMIF('caseload data'!$D:$D,"PO",'caseload data'!K:K)</f>
        <v>0</v>
      </c>
      <c r="K67" s="379">
        <f>SUMIF('caseload data'!$D:$D,"PO",'caseload data'!L:L)</f>
        <v>0</v>
      </c>
      <c r="L67" s="379">
        <f>SUMIF('caseload data'!$D:$D,"PO",'caseload data'!M:M)</f>
        <v>0</v>
      </c>
      <c r="M67" s="379">
        <f>SUMIF('caseload data'!$D:$D,"PO",'caseload data'!N:N)</f>
        <v>0</v>
      </c>
      <c r="N67" s="379">
        <f>SUMIF('caseload data'!$D:$D,"PO",'caseload data'!O:O)</f>
        <v>0</v>
      </c>
      <c r="O67" s="379">
        <f>SUMIF('caseload data'!$D:$D,"PO",'caseload data'!P:P)</f>
        <v>0</v>
      </c>
      <c r="P67" s="379">
        <f>SUMIF('caseload data'!$D:$D,"PO",'caseload data'!Q:Q)</f>
        <v>0</v>
      </c>
      <c r="Q67" s="379">
        <f>SUMIF('caseload data'!$D:$D,"PO",'caseload data'!R:R)</f>
        <v>0</v>
      </c>
      <c r="R67" s="379">
        <f>SUMIF('caseload data'!$D:$D,"PO",'caseload data'!S:S)</f>
        <v>0</v>
      </c>
      <c r="S67" s="379">
        <f>SUMIF('caseload data'!$D:$D,"PO",'caseload data'!T:T)</f>
        <v>0</v>
      </c>
      <c r="T67" s="380">
        <f>SUMIF('caseload data'!D:D,"PO",'caseload data'!V:V)</f>
        <v>0</v>
      </c>
      <c r="U67" s="64"/>
      <c r="V67" s="64"/>
      <c r="W67" s="480" t="s">
        <v>941</v>
      </c>
      <c r="X67" s="374" t="s">
        <v>979</v>
      </c>
      <c r="Y67" s="388" t="e">
        <f>SUM(D67)/SUM(D$67:D$71)</f>
        <v>#DIV/0!</v>
      </c>
      <c r="Z67" s="388" t="e">
        <f t="shared" ref="Z67:AO71" si="43">SUM(E67)/SUM(E$67:E$71)</f>
        <v>#DIV/0!</v>
      </c>
      <c r="AA67" s="388" t="e">
        <f t="shared" si="43"/>
        <v>#DIV/0!</v>
      </c>
      <c r="AB67" s="388" t="e">
        <f t="shared" si="43"/>
        <v>#DIV/0!</v>
      </c>
      <c r="AC67" s="388" t="e">
        <f t="shared" si="43"/>
        <v>#DIV/0!</v>
      </c>
      <c r="AD67" s="388" t="e">
        <f t="shared" si="43"/>
        <v>#DIV/0!</v>
      </c>
      <c r="AE67" s="388" t="e">
        <f t="shared" si="43"/>
        <v>#DIV/0!</v>
      </c>
      <c r="AF67" s="388" t="e">
        <f t="shared" si="43"/>
        <v>#DIV/0!</v>
      </c>
      <c r="AG67" s="388" t="e">
        <f t="shared" si="43"/>
        <v>#DIV/0!</v>
      </c>
      <c r="AH67" s="388" t="e">
        <f t="shared" si="43"/>
        <v>#DIV/0!</v>
      </c>
      <c r="AI67" s="388" t="e">
        <f t="shared" si="43"/>
        <v>#DIV/0!</v>
      </c>
      <c r="AJ67" s="388" t="e">
        <f t="shared" si="43"/>
        <v>#DIV/0!</v>
      </c>
      <c r="AK67" s="388" t="e">
        <f t="shared" si="43"/>
        <v>#DIV/0!</v>
      </c>
      <c r="AL67" s="388" t="e">
        <f t="shared" si="43"/>
        <v>#DIV/0!</v>
      </c>
      <c r="AM67" s="388" t="e">
        <f t="shared" si="43"/>
        <v>#DIV/0!</v>
      </c>
      <c r="AN67" s="388" t="e">
        <f t="shared" si="43"/>
        <v>#DIV/0!</v>
      </c>
      <c r="AO67" s="390" t="e">
        <f t="shared" si="43"/>
        <v>#DIV/0!</v>
      </c>
    </row>
    <row r="68" spans="2:41" x14ac:dyDescent="0.3">
      <c r="B68" s="481"/>
      <c r="C68" s="137" t="s">
        <v>984</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1">
        <f>SUMIF('caseload data'!D:D,"PSO",'caseload data'!V:V)</f>
        <v>0</v>
      </c>
      <c r="U68" s="64"/>
      <c r="V68" s="64"/>
      <c r="W68" s="481"/>
      <c r="X68" s="375" t="s">
        <v>984</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1" t="e">
        <f t="shared" si="43"/>
        <v>#DIV/0!</v>
      </c>
    </row>
    <row r="69" spans="2:41" x14ac:dyDescent="0.3">
      <c r="B69" s="481"/>
      <c r="C69" s="137" t="s">
        <v>985</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1">
        <f>SUMIF('caseload data'!D:D,"TPO",'caseload data'!V:V)</f>
        <v>0</v>
      </c>
      <c r="U69" s="64"/>
      <c r="V69" s="64"/>
      <c r="W69" s="481"/>
      <c r="X69" s="375" t="s">
        <v>985</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1" t="e">
        <f t="shared" si="43"/>
        <v>#DIV/0!</v>
      </c>
    </row>
    <row r="70" spans="2:41" ht="15.75" customHeight="1" x14ac:dyDescent="0.3">
      <c r="B70" s="481"/>
      <c r="C70" s="137" t="s">
        <v>986</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1">
        <f>SUMIF('caseload data'!D:D,"SPO",'caseload data'!V:V)</f>
        <v>0</v>
      </c>
      <c r="U70" s="64"/>
      <c r="V70" s="64"/>
      <c r="W70" s="481"/>
      <c r="X70" s="375" t="s">
        <v>986</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1" t="e">
        <f t="shared" si="43"/>
        <v>#DIV/0!</v>
      </c>
    </row>
    <row r="71" spans="2:41" ht="15.75" customHeight="1" thickBot="1" x14ac:dyDescent="0.35">
      <c r="B71" s="481"/>
      <c r="C71" s="137" t="s">
        <v>1320</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1">
        <f>SUMIF('caseload data'!D:D,"DMY",'caseload data'!V:V)</f>
        <v>0</v>
      </c>
      <c r="U71" s="64"/>
      <c r="V71" s="64"/>
      <c r="W71" s="482"/>
      <c r="X71" s="376" t="s">
        <v>1320</v>
      </c>
      <c r="Y71" s="389" t="e">
        <f t="shared" si="44"/>
        <v>#DIV/0!</v>
      </c>
      <c r="Z71" s="389" t="e">
        <f t="shared" si="43"/>
        <v>#DIV/0!</v>
      </c>
      <c r="AA71" s="389" t="e">
        <f t="shared" si="43"/>
        <v>#DIV/0!</v>
      </c>
      <c r="AB71" s="389" t="e">
        <f t="shared" si="43"/>
        <v>#DIV/0!</v>
      </c>
      <c r="AC71" s="389" t="e">
        <f t="shared" si="43"/>
        <v>#DIV/0!</v>
      </c>
      <c r="AD71" s="389" t="e">
        <f t="shared" si="43"/>
        <v>#DIV/0!</v>
      </c>
      <c r="AE71" s="389" t="e">
        <f t="shared" si="43"/>
        <v>#DIV/0!</v>
      </c>
      <c r="AF71" s="389" t="e">
        <f t="shared" si="43"/>
        <v>#DIV/0!</v>
      </c>
      <c r="AG71" s="389" t="e">
        <f t="shared" si="43"/>
        <v>#DIV/0!</v>
      </c>
      <c r="AH71" s="389" t="e">
        <f t="shared" si="43"/>
        <v>#DIV/0!</v>
      </c>
      <c r="AI71" s="389" t="e">
        <f t="shared" si="43"/>
        <v>#DIV/0!</v>
      </c>
      <c r="AJ71" s="389" t="e">
        <f t="shared" si="43"/>
        <v>#DIV/0!</v>
      </c>
      <c r="AK71" s="389" t="e">
        <f t="shared" si="43"/>
        <v>#DIV/0!</v>
      </c>
      <c r="AL71" s="389" t="e">
        <f t="shared" si="43"/>
        <v>#DIV/0!</v>
      </c>
      <c r="AM71" s="389" t="e">
        <f t="shared" si="43"/>
        <v>#DIV/0!</v>
      </c>
      <c r="AN71" s="389" t="e">
        <f t="shared" si="43"/>
        <v>#DIV/0!</v>
      </c>
      <c r="AO71" s="392" t="e">
        <f t="shared" si="43"/>
        <v>#DIV/0!</v>
      </c>
    </row>
    <row r="72" spans="2:41" ht="35.25" customHeight="1" thickBot="1" x14ac:dyDescent="0.35">
      <c r="B72" s="482"/>
      <c r="C72" s="382" t="s">
        <v>1366</v>
      </c>
      <c r="D72" s="383">
        <f>SUM('caseload data'!E:E)</f>
        <v>0</v>
      </c>
      <c r="E72" s="383">
        <f>SUM('caseload data'!F:F)</f>
        <v>0</v>
      </c>
      <c r="F72" s="383">
        <f>SUM('caseload data'!G:G)</f>
        <v>0</v>
      </c>
      <c r="G72" s="383">
        <f>SUM('caseload data'!H:H)</f>
        <v>0</v>
      </c>
      <c r="H72" s="383">
        <f>SUM('caseload data'!I:I)</f>
        <v>0</v>
      </c>
      <c r="I72" s="383">
        <f>SUM('caseload data'!J:J)</f>
        <v>0</v>
      </c>
      <c r="J72" s="383">
        <f>SUM('caseload data'!K:K)</f>
        <v>0</v>
      </c>
      <c r="K72" s="383">
        <f>SUM('caseload data'!L:L)</f>
        <v>0</v>
      </c>
      <c r="L72" s="383">
        <f>SUM('caseload data'!M:M)</f>
        <v>0</v>
      </c>
      <c r="M72" s="383">
        <f>SUM('caseload data'!N:N)</f>
        <v>0</v>
      </c>
      <c r="N72" s="383">
        <f>SUM('caseload data'!O:O)</f>
        <v>0</v>
      </c>
      <c r="O72" s="383">
        <f>SUM('caseload data'!P:P)</f>
        <v>0</v>
      </c>
      <c r="P72" s="383">
        <f>SUM('caseload data'!Q:Q)</f>
        <v>0</v>
      </c>
      <c r="Q72" s="383">
        <f>SUM('caseload data'!R:R)</f>
        <v>0</v>
      </c>
      <c r="R72" s="383">
        <f>SUM('caseload data'!S:S)</f>
        <v>0</v>
      </c>
      <c r="S72" s="383">
        <f>SUM('caseload data'!T:T)</f>
        <v>0</v>
      </c>
      <c r="T72" s="384">
        <f>SUM('caseload data'!V:V)</f>
        <v>0</v>
      </c>
      <c r="U72" s="64"/>
      <c r="V72" s="64"/>
      <c r="W72" s="131"/>
      <c r="X72" s="132"/>
      <c r="Y72" s="133"/>
      <c r="Z72" s="133"/>
      <c r="AA72" s="133"/>
      <c r="AB72" s="133"/>
      <c r="AC72" s="133"/>
      <c r="AD72" s="133"/>
      <c r="AE72" s="133"/>
    </row>
    <row r="74" spans="2:41" ht="14.5" thickBot="1" x14ac:dyDescent="0.35"/>
    <row r="75" spans="2:41" ht="23.25" customHeight="1" thickBot="1" x14ac:dyDescent="0.4">
      <c r="B75" s="1"/>
      <c r="C75" s="2"/>
      <c r="D75" s="488" t="s">
        <v>1058</v>
      </c>
      <c r="E75" s="489"/>
      <c r="F75" s="489"/>
      <c r="G75" s="489"/>
      <c r="H75" s="489"/>
      <c r="I75" s="489"/>
      <c r="J75" s="489"/>
      <c r="K75" s="489"/>
      <c r="L75" s="489"/>
      <c r="M75" s="489"/>
      <c r="N75" s="489"/>
      <c r="O75" s="489"/>
      <c r="P75" s="489"/>
      <c r="Q75" s="489"/>
      <c r="R75" s="489"/>
      <c r="S75" s="489"/>
      <c r="T75" s="490"/>
      <c r="W75" s="1"/>
      <c r="X75" s="2"/>
      <c r="Y75" s="492" t="s">
        <v>1059</v>
      </c>
      <c r="Z75" s="493"/>
      <c r="AA75" s="493"/>
      <c r="AB75" s="493"/>
      <c r="AC75" s="493"/>
      <c r="AD75" s="493"/>
      <c r="AE75" s="493"/>
      <c r="AF75" s="493"/>
      <c r="AG75" s="493"/>
      <c r="AH75" s="493"/>
      <c r="AI75" s="493"/>
      <c r="AJ75" s="493"/>
      <c r="AK75" s="493"/>
      <c r="AL75" s="493"/>
      <c r="AM75" s="493"/>
      <c r="AN75" s="493"/>
    </row>
    <row r="76" spans="2:41" x14ac:dyDescent="0.3">
      <c r="B76" s="124" t="s">
        <v>820</v>
      </c>
      <c r="C76" s="125" t="s">
        <v>978</v>
      </c>
      <c r="D76" s="38" t="s">
        <v>846</v>
      </c>
      <c r="E76" s="38" t="s">
        <v>847</v>
      </c>
      <c r="F76" s="38" t="s">
        <v>848</v>
      </c>
      <c r="G76" s="38" t="s">
        <v>849</v>
      </c>
      <c r="H76" s="38" t="s">
        <v>850</v>
      </c>
      <c r="I76" s="38" t="s">
        <v>851</v>
      </c>
      <c r="J76" s="38" t="s">
        <v>852</v>
      </c>
      <c r="K76" s="38" t="s">
        <v>853</v>
      </c>
      <c r="L76" s="38" t="s">
        <v>854</v>
      </c>
      <c r="M76" s="38" t="s">
        <v>855</v>
      </c>
      <c r="N76" s="38" t="s">
        <v>856</v>
      </c>
      <c r="O76" s="38" t="s">
        <v>857</v>
      </c>
      <c r="P76" s="38" t="s">
        <v>858</v>
      </c>
      <c r="Q76" s="38" t="s">
        <v>859</v>
      </c>
      <c r="R76" s="38" t="s">
        <v>860</v>
      </c>
      <c r="S76" s="38" t="s">
        <v>861</v>
      </c>
      <c r="T76" s="127" t="s">
        <v>863</v>
      </c>
      <c r="U76" s="64"/>
      <c r="V76" s="64"/>
      <c r="W76" s="124" t="s">
        <v>820</v>
      </c>
      <c r="X76" s="126" t="s">
        <v>978</v>
      </c>
      <c r="Y76" s="38" t="s">
        <v>846</v>
      </c>
      <c r="Z76" s="38" t="s">
        <v>847</v>
      </c>
      <c r="AA76" s="38" t="s">
        <v>848</v>
      </c>
      <c r="AB76" s="38" t="s">
        <v>849</v>
      </c>
      <c r="AC76" s="38" t="s">
        <v>850</v>
      </c>
      <c r="AD76" s="38" t="s">
        <v>851</v>
      </c>
      <c r="AE76" s="38" t="s">
        <v>852</v>
      </c>
      <c r="AF76" s="38" t="s">
        <v>853</v>
      </c>
      <c r="AG76" s="38" t="s">
        <v>854</v>
      </c>
      <c r="AH76" s="38" t="s">
        <v>855</v>
      </c>
      <c r="AI76" s="38" t="s">
        <v>856</v>
      </c>
      <c r="AJ76" s="38" t="s">
        <v>857</v>
      </c>
      <c r="AK76" s="38" t="s">
        <v>858</v>
      </c>
      <c r="AL76" s="38" t="s">
        <v>859</v>
      </c>
      <c r="AM76" s="38" t="s">
        <v>860</v>
      </c>
      <c r="AN76" s="38" t="s">
        <v>861</v>
      </c>
      <c r="AO76" s="38" t="s">
        <v>976</v>
      </c>
    </row>
    <row r="77" spans="2:41" x14ac:dyDescent="0.3">
      <c r="B77" s="483" t="s">
        <v>17</v>
      </c>
      <c r="C77" s="128" t="s">
        <v>979</v>
      </c>
      <c r="D77" s="370"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477" t="s">
        <v>17</v>
      </c>
      <c r="X77" s="128" t="s">
        <v>979</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3">
      <c r="B78" s="484"/>
      <c r="C78" s="129" t="s">
        <v>984</v>
      </c>
      <c r="D78" s="370"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478"/>
      <c r="X78" s="129" t="s">
        <v>984</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3">
      <c r="B79" s="484"/>
      <c r="C79" s="129" t="s">
        <v>985</v>
      </c>
      <c r="D79" s="370"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478"/>
      <c r="X79" s="129" t="s">
        <v>985</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3">
      <c r="B80" s="484"/>
      <c r="C80" s="129" t="s">
        <v>986</v>
      </c>
      <c r="D80" s="370"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478"/>
      <c r="X80" s="129" t="s">
        <v>986</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3">
      <c r="B81" s="485"/>
      <c r="C81" s="130" t="s">
        <v>1320</v>
      </c>
      <c r="D81" s="370" cm="1">
        <f t="array" ref="D81">SUM(SUMIFS('caseload data'!E:E,'caseload data'!$D:$D,"DMY",'caseload data'!$A:$A,"East Midlands Region",'caseload data'!$B:$B,{"licence","community"}))</f>
        <v>0</v>
      </c>
      <c r="E81" s="370" cm="1">
        <f t="array" ref="E81">SUM(SUMIFS('caseload data'!F:F,'caseload data'!$D:$D,"DMY",'caseload data'!$A:$A,"East Midlands Region",'caseload data'!$B:$B,{"licence","community"}))</f>
        <v>0</v>
      </c>
      <c r="F81" s="370" cm="1">
        <f t="array" ref="F81">SUM(SUMIFS('caseload data'!G:G,'caseload data'!$D:$D,"DMY",'caseload data'!$A:$A,"East Midlands Region",'caseload data'!$B:$B,{"licence","community"}))</f>
        <v>0</v>
      </c>
      <c r="G81" s="370" cm="1">
        <f t="array" ref="G81">SUM(SUMIFS('caseload data'!H:H,'caseload data'!$D:$D,"DMY",'caseload data'!$A:$A,"East Midlands Region",'caseload data'!$B:$B,{"licence","community"}))</f>
        <v>0</v>
      </c>
      <c r="H81" s="370" cm="1">
        <f t="array" ref="H81">SUM(SUMIFS('caseload data'!I:I,'caseload data'!$D:$D,"DMY",'caseload data'!$A:$A,"East Midlands Region",'caseload data'!$B:$B,{"licence","community"}))</f>
        <v>0</v>
      </c>
      <c r="I81" s="370" cm="1">
        <f t="array" ref="I81">SUM(SUMIFS('caseload data'!J:J,'caseload data'!$D:$D,"DMY",'caseload data'!$A:$A,"East Midlands Region",'caseload data'!$B:$B,{"licence","community"}))</f>
        <v>0</v>
      </c>
      <c r="J81" s="370" cm="1">
        <f t="array" ref="J81">SUM(SUMIFS('caseload data'!K:K,'caseload data'!$D:$D,"DMY",'caseload data'!$A:$A,"East Midlands Region",'caseload data'!$B:$B,{"licence","community"}))</f>
        <v>0</v>
      </c>
      <c r="K81" s="370" cm="1">
        <f t="array" ref="K81">SUM(SUMIFS('caseload data'!L:L,'caseload data'!$D:$D,"DMY",'caseload data'!$A:$A,"East Midlands Region",'caseload data'!$B:$B,{"licence","community"}))</f>
        <v>0</v>
      </c>
      <c r="L81" s="370" cm="1">
        <f t="array" ref="L81">SUM(SUMIFS('caseload data'!M:M,'caseload data'!$D:$D,"DMY",'caseload data'!$A:$A,"East Midlands Region",'caseload data'!$B:$B,{"licence","community"}))</f>
        <v>0</v>
      </c>
      <c r="M81" s="370" cm="1">
        <f t="array" ref="M81">SUM(SUMIFS('caseload data'!N:N,'caseload data'!$D:$D,"DMY",'caseload data'!$A:$A,"East Midlands Region",'caseload data'!$B:$B,{"licence","community"}))</f>
        <v>0</v>
      </c>
      <c r="N81" s="370" cm="1">
        <f t="array" ref="N81">SUM(SUMIFS('caseload data'!O:O,'caseload data'!$D:$D,"DMY",'caseload data'!$A:$A,"East Midlands Region",'caseload data'!$B:$B,{"licence","community"}))</f>
        <v>0</v>
      </c>
      <c r="O81" s="370" cm="1">
        <f t="array" ref="O81">SUM(SUMIFS('caseload data'!P:P,'caseload data'!$D:$D,"DMY",'caseload data'!$A:$A,"East Midlands Region",'caseload data'!$B:$B,{"licence","community"}))</f>
        <v>0</v>
      </c>
      <c r="P81" s="370" cm="1">
        <f t="array" ref="P81">SUM(SUMIFS('caseload data'!Q:Q,'caseload data'!$D:$D,"DMY",'caseload data'!$A:$A,"East Midlands Region",'caseload data'!$B:$B,{"licence","community"}))</f>
        <v>0</v>
      </c>
      <c r="Q81" s="370" cm="1">
        <f t="array" ref="Q81">SUM(SUMIFS('caseload data'!R:R,'caseload data'!$D:$D,"DMY",'caseload data'!$A:$A,"East Midlands Region",'caseload data'!$B:$B,{"licence","community"}))</f>
        <v>0</v>
      </c>
      <c r="R81" s="370" cm="1">
        <f t="array" ref="R81">SUM(SUMIFS('caseload data'!S:S,'caseload data'!$D:$D,"DMY",'caseload data'!$A:$A,"East Midlands Region",'caseload data'!$B:$B,{"licence","community"}))</f>
        <v>0</v>
      </c>
      <c r="S81" s="370"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479"/>
      <c r="X81" s="130" t="s">
        <v>1320</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3">
      <c r="B82" s="477" t="s">
        <v>18</v>
      </c>
      <c r="C82" s="128" t="s">
        <v>979</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477" t="s">
        <v>18</v>
      </c>
      <c r="X82" s="128" t="s">
        <v>979</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3">
      <c r="B83" s="478"/>
      <c r="C83" s="129" t="s">
        <v>984</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478"/>
      <c r="X83" s="129" t="s">
        <v>984</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3">
      <c r="B84" s="478"/>
      <c r="C84" s="129" t="s">
        <v>985</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478"/>
      <c r="X84" s="129" t="s">
        <v>985</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3">
      <c r="B85" s="478"/>
      <c r="C85" s="129" t="s">
        <v>986</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478"/>
      <c r="X85" s="129" t="s">
        <v>986</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3">
      <c r="B86" s="479"/>
      <c r="C86" s="130" t="s">
        <v>1320</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479"/>
      <c r="X86" s="130" t="s">
        <v>1320</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3">
      <c r="B87" s="477" t="s">
        <v>19</v>
      </c>
      <c r="C87" s="128" t="s">
        <v>979</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477" t="s">
        <v>19</v>
      </c>
      <c r="X87" s="128" t="s">
        <v>979</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3">
      <c r="B88" s="478"/>
      <c r="C88" s="129" t="s">
        <v>984</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478"/>
      <c r="X88" s="129" t="s">
        <v>984</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3">
      <c r="B89" s="478"/>
      <c r="C89" s="129" t="s">
        <v>985</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478"/>
      <c r="X89" s="129" t="s">
        <v>985</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3">
      <c r="B90" s="478"/>
      <c r="C90" s="129" t="s">
        <v>986</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478"/>
      <c r="X90" s="129" t="s">
        <v>986</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3">
      <c r="B91" s="479"/>
      <c r="C91" s="130" t="s">
        <v>1320</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479"/>
      <c r="X91" s="130" t="s">
        <v>1320</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3">
      <c r="B92" s="477" t="s">
        <v>20</v>
      </c>
      <c r="C92" s="128" t="s">
        <v>979</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477" t="s">
        <v>20</v>
      </c>
      <c r="X92" s="128" t="s">
        <v>979</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3">
      <c r="B93" s="478"/>
      <c r="C93" s="129" t="s">
        <v>984</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478"/>
      <c r="X93" s="129" t="s">
        <v>984</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3">
      <c r="B94" s="478"/>
      <c r="C94" s="129" t="s">
        <v>985</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478"/>
      <c r="X94" s="129" t="s">
        <v>985</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3">
      <c r="B95" s="478"/>
      <c r="C95" s="129" t="s">
        <v>986</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478"/>
      <c r="X95" s="129" t="s">
        <v>986</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3">
      <c r="B96" s="479"/>
      <c r="C96" s="130" t="s">
        <v>1320</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479"/>
      <c r="X96" s="130" t="s">
        <v>1320</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3">
      <c r="B97" s="477" t="s">
        <v>21</v>
      </c>
      <c r="C97" s="128" t="s">
        <v>979</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477" t="s">
        <v>21</v>
      </c>
      <c r="X97" s="128" t="s">
        <v>979</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3">
      <c r="B98" s="478"/>
      <c r="C98" s="129" t="s">
        <v>984</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478"/>
      <c r="X98" s="129" t="s">
        <v>984</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3">
      <c r="B99" s="478"/>
      <c r="C99" s="129" t="s">
        <v>985</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478"/>
      <c r="X99" s="129" t="s">
        <v>985</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3">
      <c r="B100" s="478"/>
      <c r="C100" s="129" t="s">
        <v>986</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478"/>
      <c r="X100" s="129" t="s">
        <v>986</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3">
      <c r="B101" s="479"/>
      <c r="C101" s="130" t="s">
        <v>1320</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479"/>
      <c r="X101" s="130" t="s">
        <v>1320</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3">
      <c r="B102" s="477" t="s">
        <v>22</v>
      </c>
      <c r="C102" s="128" t="s">
        <v>979</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477" t="s">
        <v>22</v>
      </c>
      <c r="X102" s="128" t="s">
        <v>979</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3">
      <c r="B103" s="478"/>
      <c r="C103" s="129" t="s">
        <v>984</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478"/>
      <c r="X103" s="129" t="s">
        <v>984</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3">
      <c r="B104" s="478"/>
      <c r="C104" s="129" t="s">
        <v>985</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478"/>
      <c r="X104" s="129" t="s">
        <v>985</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3">
      <c r="B105" s="478"/>
      <c r="C105" s="129" t="s">
        <v>986</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478"/>
      <c r="X105" s="129" t="s">
        <v>986</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3">
      <c r="B106" s="479"/>
      <c r="C106" s="130" t="s">
        <v>1320</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479"/>
      <c r="X106" s="130" t="s">
        <v>1320</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3">
      <c r="B107" s="477" t="s">
        <v>23</v>
      </c>
      <c r="C107" s="128" t="s">
        <v>979</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477" t="s">
        <v>23</v>
      </c>
      <c r="X107" s="128" t="s">
        <v>979</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3">
      <c r="B108" s="478"/>
      <c r="C108" s="129" t="s">
        <v>984</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478"/>
      <c r="X108" s="129" t="s">
        <v>984</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3">
      <c r="B109" s="478"/>
      <c r="C109" s="129" t="s">
        <v>985</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478"/>
      <c r="X109" s="129" t="s">
        <v>985</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3">
      <c r="B110" s="478"/>
      <c r="C110" s="129" t="s">
        <v>986</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478"/>
      <c r="X110" s="129" t="s">
        <v>986</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3">
      <c r="B111" s="479"/>
      <c r="C111" s="130" t="s">
        <v>1320</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479"/>
      <c r="X111" s="130" t="s">
        <v>1320</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3">
      <c r="B112" s="477" t="s">
        <v>24</v>
      </c>
      <c r="C112" s="128" t="s">
        <v>979</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477" t="s">
        <v>24</v>
      </c>
      <c r="X112" s="128" t="s">
        <v>979</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3">
      <c r="B113" s="478"/>
      <c r="C113" s="129" t="s">
        <v>984</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478"/>
      <c r="X113" s="129" t="s">
        <v>984</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3">
      <c r="B114" s="478"/>
      <c r="C114" s="129" t="s">
        <v>985</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478"/>
      <c r="X114" s="129" t="s">
        <v>985</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3">
      <c r="B115" s="478"/>
      <c r="C115" s="129" t="s">
        <v>986</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478"/>
      <c r="X115" s="129" t="s">
        <v>986</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3">
      <c r="B116" s="479"/>
      <c r="C116" s="130" t="s">
        <v>1320</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479"/>
      <c r="X116" s="130" t="s">
        <v>1320</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3">
      <c r="B117" s="477" t="s">
        <v>25</v>
      </c>
      <c r="C117" s="128" t="s">
        <v>979</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477" t="s">
        <v>25</v>
      </c>
      <c r="X117" s="128" t="s">
        <v>979</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3">
      <c r="B118" s="478"/>
      <c r="C118" s="129" t="s">
        <v>984</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478"/>
      <c r="X118" s="129" t="s">
        <v>984</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3">
      <c r="B119" s="478"/>
      <c r="C119" s="129" t="s">
        <v>985</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478"/>
      <c r="X119" s="129" t="s">
        <v>985</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3">
      <c r="B120" s="478"/>
      <c r="C120" s="129" t="s">
        <v>986</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478"/>
      <c r="X120" s="129" t="s">
        <v>986</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3">
      <c r="B121" s="479"/>
      <c r="C121" s="130" t="s">
        <v>1320</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479"/>
      <c r="X121" s="130" t="s">
        <v>1320</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3">
      <c r="B122" s="477" t="s">
        <v>26</v>
      </c>
      <c r="C122" s="128" t="s">
        <v>979</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477" t="s">
        <v>26</v>
      </c>
      <c r="X122" s="128" t="s">
        <v>979</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3">
      <c r="B123" s="478"/>
      <c r="C123" s="129" t="s">
        <v>984</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478"/>
      <c r="X123" s="129" t="s">
        <v>984</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3">
      <c r="B124" s="478"/>
      <c r="C124" s="129" t="s">
        <v>985</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478"/>
      <c r="X124" s="129" t="s">
        <v>985</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3">
      <c r="B125" s="478"/>
      <c r="C125" s="129" t="s">
        <v>986</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478"/>
      <c r="X125" s="129" t="s">
        <v>986</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3">
      <c r="B126" s="479"/>
      <c r="C126" s="130" t="s">
        <v>1320</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479"/>
      <c r="X126" s="130" t="s">
        <v>1320</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3">
      <c r="B127" s="477" t="s">
        <v>27</v>
      </c>
      <c r="C127" s="128" t="s">
        <v>979</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477" t="s">
        <v>27</v>
      </c>
      <c r="X127" s="128" t="s">
        <v>979</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3">
      <c r="B128" s="478"/>
      <c r="C128" s="129" t="s">
        <v>984</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478"/>
      <c r="X128" s="129" t="s">
        <v>984</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3">
      <c r="B129" s="478"/>
      <c r="C129" s="129" t="s">
        <v>985</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478"/>
      <c r="X129" s="129" t="s">
        <v>985</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3">
      <c r="B130" s="478"/>
      <c r="C130" s="129" t="s">
        <v>986</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478"/>
      <c r="X130" s="129" t="s">
        <v>986</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3">
      <c r="B131" s="479"/>
      <c r="C131" s="130" t="s">
        <v>1320</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479"/>
      <c r="X131" s="130" t="s">
        <v>1320</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3">
      <c r="B132" s="477" t="s">
        <v>28</v>
      </c>
      <c r="C132" s="128" t="s">
        <v>979</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477" t="s">
        <v>28</v>
      </c>
      <c r="X132" s="128" t="s">
        <v>979</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3">
      <c r="B133" s="478"/>
      <c r="C133" s="129" t="s">
        <v>984</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478"/>
      <c r="X133" s="129" t="s">
        <v>984</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3">
      <c r="B134" s="478"/>
      <c r="C134" s="129" t="s">
        <v>985</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478"/>
      <c r="X134" s="129" t="s">
        <v>985</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3">
      <c r="B135" s="478"/>
      <c r="C135" s="129" t="s">
        <v>986</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478"/>
      <c r="X135" s="129" t="s">
        <v>986</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4.5" thickBot="1" x14ac:dyDescent="0.35">
      <c r="B136" s="478"/>
      <c r="C136" s="129" t="s">
        <v>1320</v>
      </c>
      <c r="D136" s="377" cm="1">
        <f t="array" ref="D136">SUM(SUMIFS('caseload data'!E:E,'caseload data'!$D:$D,"DMY",'caseload data'!$A:$A,"Yorkshire and The Humber",'caseload data'!$B:$B,{"licence","community"}))</f>
        <v>0</v>
      </c>
      <c r="E136" s="377" cm="1">
        <f t="array" ref="E136">SUM(SUMIFS('caseload data'!F:F,'caseload data'!$D:$D,"DMY",'caseload data'!$A:$A,"Yorkshire and The Humber",'caseload data'!$B:$B,{"licence","community"}))</f>
        <v>0</v>
      </c>
      <c r="F136" s="377" cm="1">
        <f t="array" ref="F136">SUM(SUMIFS('caseload data'!G:G,'caseload data'!$D:$D,"DMY",'caseload data'!$A:$A,"Yorkshire and The Humber",'caseload data'!$B:$B,{"licence","community"}))</f>
        <v>0</v>
      </c>
      <c r="G136" s="377" cm="1">
        <f t="array" ref="G136">SUM(SUMIFS('caseload data'!H:H,'caseload data'!$D:$D,"DMY",'caseload data'!$A:$A,"Yorkshire and The Humber",'caseload data'!$B:$B,{"licence","community"}))</f>
        <v>0</v>
      </c>
      <c r="H136" s="377" cm="1">
        <f t="array" ref="H136">SUM(SUMIFS('caseload data'!I:I,'caseload data'!$D:$D,"DMY",'caseload data'!$A:$A,"Yorkshire and The Humber",'caseload data'!$B:$B,{"licence","community"}))</f>
        <v>0</v>
      </c>
      <c r="I136" s="377" cm="1">
        <f t="array" ref="I136">SUM(SUMIFS('caseload data'!J:J,'caseload data'!$D:$D,"DMY",'caseload data'!$A:$A,"Yorkshire and The Humber",'caseload data'!$B:$B,{"licence","community"}))</f>
        <v>0</v>
      </c>
      <c r="J136" s="377" cm="1">
        <f t="array" ref="J136">SUM(SUMIFS('caseload data'!K:K,'caseload data'!$D:$D,"DMY",'caseload data'!$A:$A,"Yorkshire and The Humber",'caseload data'!$B:$B,{"licence","community"}))</f>
        <v>0</v>
      </c>
      <c r="K136" s="377" cm="1">
        <f t="array" ref="K136">SUM(SUMIFS('caseload data'!L:L,'caseload data'!$D:$D,"DMY",'caseload data'!$A:$A,"Yorkshire and The Humber",'caseload data'!$B:$B,{"licence","community"}))</f>
        <v>0</v>
      </c>
      <c r="L136" s="377" cm="1">
        <f t="array" ref="L136">SUM(SUMIFS('caseload data'!M:M,'caseload data'!$D:$D,"DMY",'caseload data'!$A:$A,"Yorkshire and The Humber",'caseload data'!$B:$B,{"licence","community"}))</f>
        <v>0</v>
      </c>
      <c r="M136" s="377" cm="1">
        <f t="array" ref="M136">SUM(SUMIFS('caseload data'!N:N,'caseload data'!$D:$D,"DMY",'caseload data'!$A:$A,"Yorkshire and The Humber",'caseload data'!$B:$B,{"licence","community"}))</f>
        <v>0</v>
      </c>
      <c r="N136" s="377" cm="1">
        <f t="array" ref="N136">SUM(SUMIFS('caseload data'!O:O,'caseload data'!$D:$D,"DMY",'caseload data'!$A:$A,"Yorkshire and The Humber",'caseload data'!$B:$B,{"licence","community"}))</f>
        <v>0</v>
      </c>
      <c r="O136" s="377" cm="1">
        <f t="array" ref="O136">SUM(SUMIFS('caseload data'!P:P,'caseload data'!$D:$D,"DMY",'caseload data'!$A:$A,"Yorkshire and The Humber",'caseload data'!$B:$B,{"licence","community"}))</f>
        <v>0</v>
      </c>
      <c r="P136" s="377" cm="1">
        <f t="array" ref="P136">SUM(SUMIFS('caseload data'!Q:Q,'caseload data'!$D:$D,"DMY",'caseload data'!$A:$A,"Yorkshire and The Humber",'caseload data'!$B:$B,{"licence","community"}))</f>
        <v>0</v>
      </c>
      <c r="Q136" s="377" cm="1">
        <f t="array" ref="Q136">SUM(SUMIFS('caseload data'!R:R,'caseload data'!$D:$D,"DMY",'caseload data'!$A:$A,"Yorkshire and The Humber",'caseload data'!$B:$B,{"licence","community"}))</f>
        <v>0</v>
      </c>
      <c r="R136" s="377" cm="1">
        <f t="array" ref="R136">SUM(SUMIFS('caseload data'!S:S,'caseload data'!$D:$D,"DMY",'caseload data'!$A:$A,"Yorkshire and The Humber",'caseload data'!$B:$B,{"licence","community"}))</f>
        <v>0</v>
      </c>
      <c r="S136" s="377" cm="1">
        <f t="array" ref="S136">SUM(SUMIFS('caseload data'!T:T,'caseload data'!$D:$D,"DMY",'caseload data'!$A:$A,"Yorkshire and The Humber",'caseload data'!$B:$B,{"licence","community"}))</f>
        <v>0</v>
      </c>
      <c r="T136" s="377" cm="1">
        <f t="array" ref="T136">SUM(SUMIFS('caseload data'!V:V,'caseload data'!$D:$D,"DMY",'caseload data'!$A:$A,"Yorkshire and The Humber",'caseload data'!$B:$B,{"licence","community"}))</f>
        <v>0</v>
      </c>
      <c r="U136" s="64"/>
      <c r="V136" s="64"/>
      <c r="W136" s="478"/>
      <c r="X136" s="129" t="s">
        <v>1320</v>
      </c>
      <c r="Y136" s="373" t="e">
        <f t="shared" si="71"/>
        <v>#DIV/0!</v>
      </c>
      <c r="Z136" s="373" t="e">
        <f t="shared" si="70"/>
        <v>#DIV/0!</v>
      </c>
      <c r="AA136" s="373" t="e">
        <f t="shared" si="70"/>
        <v>#DIV/0!</v>
      </c>
      <c r="AB136" s="373" t="e">
        <f t="shared" si="70"/>
        <v>#DIV/0!</v>
      </c>
      <c r="AC136" s="373" t="e">
        <f t="shared" si="70"/>
        <v>#DIV/0!</v>
      </c>
      <c r="AD136" s="373" t="e">
        <f t="shared" si="70"/>
        <v>#DIV/0!</v>
      </c>
      <c r="AE136" s="373" t="e">
        <f t="shared" si="70"/>
        <v>#DIV/0!</v>
      </c>
      <c r="AF136" s="373" t="e">
        <f t="shared" si="70"/>
        <v>#DIV/0!</v>
      </c>
      <c r="AG136" s="373" t="e">
        <f t="shared" si="70"/>
        <v>#DIV/0!</v>
      </c>
      <c r="AH136" s="373" t="e">
        <f t="shared" si="70"/>
        <v>#DIV/0!</v>
      </c>
      <c r="AI136" s="373" t="e">
        <f t="shared" si="70"/>
        <v>#DIV/0!</v>
      </c>
      <c r="AJ136" s="373" t="e">
        <f t="shared" si="70"/>
        <v>#DIV/0!</v>
      </c>
      <c r="AK136" s="373" t="e">
        <f t="shared" si="70"/>
        <v>#DIV/0!</v>
      </c>
      <c r="AL136" s="373" t="e">
        <f t="shared" si="70"/>
        <v>#DIV/0!</v>
      </c>
      <c r="AM136" s="373" t="e">
        <f t="shared" si="70"/>
        <v>#DIV/0!</v>
      </c>
      <c r="AN136" s="373" t="e">
        <f t="shared" si="70"/>
        <v>#DIV/0!</v>
      </c>
      <c r="AO136" s="373" t="e">
        <f t="shared" si="70"/>
        <v>#DIV/0!</v>
      </c>
    </row>
    <row r="137" spans="2:41" x14ac:dyDescent="0.3">
      <c r="B137" s="501" t="s">
        <v>941</v>
      </c>
      <c r="C137" s="378" t="s">
        <v>979</v>
      </c>
      <c r="D137" s="379" cm="1">
        <f t="array" ref="D137">SUM(SUMIFS('caseload data'!E:E,'caseload data'!$D:$D,"PO",'caseload data'!$B:$B,{"licence","community"}))</f>
        <v>0</v>
      </c>
      <c r="E137" s="379" cm="1">
        <f t="array" ref="E137">SUM(SUMIFS('caseload data'!F:F,'caseload data'!$D:$D,"PO",'caseload data'!$B:$B,{"licence","community"}))</f>
        <v>0</v>
      </c>
      <c r="F137" s="379" cm="1">
        <f t="array" ref="F137">SUM(SUMIFS('caseload data'!G:G,'caseload data'!$D:$D,"PO",'caseload data'!$B:$B,{"licence","community"}))</f>
        <v>0</v>
      </c>
      <c r="G137" s="379" cm="1">
        <f t="array" ref="G137">SUM(SUMIFS('caseload data'!H:H,'caseload data'!$D:$D,"PO",'caseload data'!$B:$B,{"licence","community"}))</f>
        <v>0</v>
      </c>
      <c r="H137" s="379" cm="1">
        <f t="array" ref="H137">SUM(SUMIFS('caseload data'!I:I,'caseload data'!$D:$D,"PO",'caseload data'!$B:$B,{"licence","community"}))</f>
        <v>0</v>
      </c>
      <c r="I137" s="379" cm="1">
        <f t="array" ref="I137">SUM(SUMIFS('caseload data'!J:J,'caseload data'!$D:$D,"PO",'caseload data'!$B:$B,{"licence","community"}))</f>
        <v>0</v>
      </c>
      <c r="J137" s="379" cm="1">
        <f t="array" ref="J137">SUM(SUMIFS('caseload data'!K:K,'caseload data'!$D:$D,"PO",'caseload data'!$B:$B,{"licence","community"}))</f>
        <v>0</v>
      </c>
      <c r="K137" s="379" cm="1">
        <f t="array" ref="K137">SUM(SUMIFS('caseload data'!L:L,'caseload data'!$D:$D,"PO",'caseload data'!$B:$B,{"licence","community"}))</f>
        <v>0</v>
      </c>
      <c r="L137" s="379" cm="1">
        <f t="array" ref="L137">SUM(SUMIFS('caseload data'!M:M,'caseload data'!$D:$D,"PO",'caseload data'!$B:$B,{"licence","community"}))</f>
        <v>0</v>
      </c>
      <c r="M137" s="379" cm="1">
        <f t="array" ref="M137">SUM(SUMIFS('caseload data'!N:N,'caseload data'!$D:$D,"PO",'caseload data'!$B:$B,{"licence","community"}))</f>
        <v>0</v>
      </c>
      <c r="N137" s="379" cm="1">
        <f t="array" ref="N137">SUM(SUMIFS('caseload data'!O:O,'caseload data'!$D:$D,"PO",'caseload data'!$B:$B,{"licence","community"}))</f>
        <v>0</v>
      </c>
      <c r="O137" s="379" cm="1">
        <f t="array" ref="O137">SUM(SUMIFS('caseload data'!P:P,'caseload data'!$D:$D,"PO",'caseload data'!$B:$B,{"licence","community"}))</f>
        <v>0</v>
      </c>
      <c r="P137" s="379" cm="1">
        <f t="array" ref="P137">SUM(SUMIFS('caseload data'!Q:Q,'caseload data'!$D:$D,"PO",'caseload data'!$B:$B,{"licence","community"}))</f>
        <v>0</v>
      </c>
      <c r="Q137" s="379" cm="1">
        <f t="array" ref="Q137">SUM(SUMIFS('caseload data'!R:R,'caseload data'!$D:$D,"PO",'caseload data'!$B:$B,{"licence","community"}))</f>
        <v>0</v>
      </c>
      <c r="R137" s="379" cm="1">
        <f t="array" ref="R137">SUM(SUMIFS('caseload data'!S:S,'caseload data'!$D:$D,"PO",'caseload data'!$B:$B,{"licence","community"}))</f>
        <v>0</v>
      </c>
      <c r="S137" s="379" cm="1">
        <f t="array" ref="S137">SUM(SUMIFS('caseload data'!T:T,'caseload data'!$D:$D,"PO",'caseload data'!$B:$B,{"licence","community"}))</f>
        <v>0</v>
      </c>
      <c r="T137" s="380">
        <f>SUM(SUMIFS('caseload data'!V:V,'caseload data'!D:D,"PO",'caseload data'!B:B,{"licence","community"}))</f>
        <v>0</v>
      </c>
      <c r="U137" s="64"/>
      <c r="V137" s="64"/>
      <c r="W137" s="480" t="s">
        <v>941</v>
      </c>
      <c r="X137" s="378" t="s">
        <v>979</v>
      </c>
      <c r="Y137" s="388" t="e">
        <f>SUM(D137)/SUM(D$137:D$141)</f>
        <v>#DIV/0!</v>
      </c>
      <c r="Z137" s="388" t="e">
        <f t="shared" ref="Z137:AO141" si="72">SUM(E137)/SUM(E$137:E$141)</f>
        <v>#DIV/0!</v>
      </c>
      <c r="AA137" s="388" t="e">
        <f t="shared" si="72"/>
        <v>#DIV/0!</v>
      </c>
      <c r="AB137" s="388" t="e">
        <f t="shared" si="72"/>
        <v>#DIV/0!</v>
      </c>
      <c r="AC137" s="388" t="e">
        <f t="shared" si="72"/>
        <v>#DIV/0!</v>
      </c>
      <c r="AD137" s="388" t="e">
        <f t="shared" si="72"/>
        <v>#DIV/0!</v>
      </c>
      <c r="AE137" s="388" t="e">
        <f t="shared" si="72"/>
        <v>#DIV/0!</v>
      </c>
      <c r="AF137" s="388" t="e">
        <f t="shared" si="72"/>
        <v>#DIV/0!</v>
      </c>
      <c r="AG137" s="388" t="e">
        <f t="shared" si="72"/>
        <v>#DIV/0!</v>
      </c>
      <c r="AH137" s="388" t="e">
        <f t="shared" si="72"/>
        <v>#DIV/0!</v>
      </c>
      <c r="AI137" s="388" t="e">
        <f t="shared" si="72"/>
        <v>#DIV/0!</v>
      </c>
      <c r="AJ137" s="388" t="e">
        <f t="shared" si="72"/>
        <v>#DIV/0!</v>
      </c>
      <c r="AK137" s="388" t="e">
        <f t="shared" si="72"/>
        <v>#DIV/0!</v>
      </c>
      <c r="AL137" s="388" t="e">
        <f t="shared" si="72"/>
        <v>#DIV/0!</v>
      </c>
      <c r="AM137" s="388" t="e">
        <f t="shared" si="72"/>
        <v>#DIV/0!</v>
      </c>
      <c r="AN137" s="388" t="e">
        <f t="shared" si="72"/>
        <v>#DIV/0!</v>
      </c>
      <c r="AO137" s="390" t="e">
        <f t="shared" si="72"/>
        <v>#DIV/0!</v>
      </c>
    </row>
    <row r="138" spans="2:41" x14ac:dyDescent="0.3">
      <c r="B138" s="502"/>
      <c r="C138" s="137" t="s">
        <v>984</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1">
        <f>SUM(SUMIFS('caseload data'!V:V,'caseload data'!D:D,"PSO",'caseload data'!B:B,{"licence","community"}))</f>
        <v>0</v>
      </c>
      <c r="U138" s="64"/>
      <c r="V138" s="64"/>
      <c r="W138" s="481"/>
      <c r="X138" s="137" t="s">
        <v>984</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91" t="e">
        <f t="shared" si="72"/>
        <v>#DIV/0!</v>
      </c>
    </row>
    <row r="139" spans="2:41" x14ac:dyDescent="0.3">
      <c r="B139" s="502"/>
      <c r="C139" s="137" t="s">
        <v>985</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1">
        <f>SUM(SUMIFS('caseload data'!V:V,'caseload data'!D:D,"TPO",'caseload data'!B:B,{"licence","community"}))</f>
        <v>0</v>
      </c>
      <c r="U139" s="64"/>
      <c r="V139" s="64"/>
      <c r="W139" s="481"/>
      <c r="X139" s="137" t="s">
        <v>985</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91" t="e">
        <f t="shared" si="72"/>
        <v>#DIV/0!</v>
      </c>
    </row>
    <row r="140" spans="2:41" x14ac:dyDescent="0.3">
      <c r="B140" s="502"/>
      <c r="C140" s="137" t="s">
        <v>986</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1">
        <f>SUM(SUMIFS('caseload data'!V:V,'caseload data'!$D:$D,"SPO",'caseload data'!$B:$B,{"licence","community"}))</f>
        <v>0</v>
      </c>
      <c r="U140" s="64"/>
      <c r="V140" s="64"/>
      <c r="W140" s="481"/>
      <c r="X140" s="137" t="s">
        <v>986</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91" t="e">
        <f t="shared" si="72"/>
        <v>#DIV/0!</v>
      </c>
    </row>
    <row r="141" spans="2:41" ht="14.5" thickBot="1" x14ac:dyDescent="0.35">
      <c r="B141" s="502"/>
      <c r="C141" s="137" t="s">
        <v>1320</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1" cm="1">
        <f t="array" ref="T141">SUM(SUMIFS('caseload data'!V:V,'caseload data'!$D:$D,"DMY",'caseload data'!$B:$B,{"licence","community"}))</f>
        <v>0</v>
      </c>
      <c r="U141" s="64"/>
      <c r="V141" s="64"/>
      <c r="W141" s="482"/>
      <c r="X141" s="385" t="s">
        <v>1320</v>
      </c>
      <c r="Y141" s="389" t="e">
        <f t="shared" si="73"/>
        <v>#DIV/0!</v>
      </c>
      <c r="Z141" s="389" t="e">
        <f t="shared" si="72"/>
        <v>#DIV/0!</v>
      </c>
      <c r="AA141" s="389" t="e">
        <f t="shared" si="72"/>
        <v>#DIV/0!</v>
      </c>
      <c r="AB141" s="389" t="e">
        <f t="shared" si="72"/>
        <v>#DIV/0!</v>
      </c>
      <c r="AC141" s="389" t="e">
        <f t="shared" si="72"/>
        <v>#DIV/0!</v>
      </c>
      <c r="AD141" s="389" t="e">
        <f t="shared" si="72"/>
        <v>#DIV/0!</v>
      </c>
      <c r="AE141" s="389" t="e">
        <f t="shared" si="72"/>
        <v>#DIV/0!</v>
      </c>
      <c r="AF141" s="389" t="e">
        <f t="shared" si="72"/>
        <v>#DIV/0!</v>
      </c>
      <c r="AG141" s="389" t="e">
        <f t="shared" si="72"/>
        <v>#DIV/0!</v>
      </c>
      <c r="AH141" s="389" t="e">
        <f t="shared" si="72"/>
        <v>#DIV/0!</v>
      </c>
      <c r="AI141" s="389" t="e">
        <f t="shared" si="72"/>
        <v>#DIV/0!</v>
      </c>
      <c r="AJ141" s="389" t="e">
        <f t="shared" si="72"/>
        <v>#DIV/0!</v>
      </c>
      <c r="AK141" s="389" t="e">
        <f t="shared" si="72"/>
        <v>#DIV/0!</v>
      </c>
      <c r="AL141" s="389" t="e">
        <f t="shared" si="72"/>
        <v>#DIV/0!</v>
      </c>
      <c r="AM141" s="389" t="e">
        <f t="shared" si="72"/>
        <v>#DIV/0!</v>
      </c>
      <c r="AN141" s="389" t="e">
        <f t="shared" si="72"/>
        <v>#DIV/0!</v>
      </c>
      <c r="AO141" s="392" t="e">
        <f t="shared" si="72"/>
        <v>#DIV/0!</v>
      </c>
    </row>
    <row r="142" spans="2:41" ht="30" customHeight="1" thickBot="1" x14ac:dyDescent="0.35">
      <c r="B142" s="503"/>
      <c r="C142" s="382" t="s">
        <v>1366</v>
      </c>
      <c r="D142" s="383" cm="1">
        <f t="array" ref="D142">SUM(SUMIF('caseload data'!$B:$B,{"licence","community"},'caseload data'!E:E))</f>
        <v>0</v>
      </c>
      <c r="E142" s="383" cm="1">
        <f t="array" ref="E142">SUM(SUMIF('caseload data'!$B:$B,{"licence","community"},'caseload data'!F:F))</f>
        <v>0</v>
      </c>
      <c r="F142" s="383" cm="1">
        <f t="array" ref="F142">SUM(SUMIF('caseload data'!$B:$B,{"licence","community"},'caseload data'!G:G))</f>
        <v>0</v>
      </c>
      <c r="G142" s="383" cm="1">
        <f t="array" ref="G142">SUM(SUMIF('caseload data'!$B:$B,{"licence","community"},'caseload data'!H:H))</f>
        <v>0</v>
      </c>
      <c r="H142" s="383" cm="1">
        <f t="array" ref="H142">SUM(SUMIF('caseload data'!$B:$B,{"licence","community"},'caseload data'!I:I))</f>
        <v>0</v>
      </c>
      <c r="I142" s="383" cm="1">
        <f t="array" ref="I142">SUM(SUMIF('caseload data'!$B:$B,{"licence","community"},'caseload data'!J:J))</f>
        <v>0</v>
      </c>
      <c r="J142" s="383" cm="1">
        <f t="array" ref="J142">SUM(SUMIF('caseload data'!$B:$B,{"licence","community"},'caseload data'!K:K))</f>
        <v>0</v>
      </c>
      <c r="K142" s="383" cm="1">
        <f t="array" ref="K142">SUM(SUMIF('caseload data'!$B:$B,{"licence","community"},'caseload data'!L:L))</f>
        <v>0</v>
      </c>
      <c r="L142" s="383" cm="1">
        <f t="array" ref="L142">SUM(SUMIF('caseload data'!$B:$B,{"licence","community"},'caseload data'!M:M))</f>
        <v>0</v>
      </c>
      <c r="M142" s="383" cm="1">
        <f t="array" ref="M142">SUM(SUMIF('caseload data'!$B:$B,{"licence","community"},'caseload data'!N:N))</f>
        <v>0</v>
      </c>
      <c r="N142" s="383" cm="1">
        <f t="array" ref="N142">SUM(SUMIF('caseload data'!$B:$B,{"licence","community"},'caseload data'!O:O))</f>
        <v>0</v>
      </c>
      <c r="O142" s="383" cm="1">
        <f t="array" ref="O142">SUM(SUMIF('caseload data'!$B:$B,{"licence","community"},'caseload data'!P:P))</f>
        <v>0</v>
      </c>
      <c r="P142" s="383" cm="1">
        <f t="array" ref="P142">SUM(SUMIF('caseload data'!$B:$B,{"licence","community"},'caseload data'!Q:Q))</f>
        <v>0</v>
      </c>
      <c r="Q142" s="383" cm="1">
        <f t="array" ref="Q142">SUM(SUMIF('caseload data'!$B:$B,{"licence","community"},'caseload data'!R:R))</f>
        <v>0</v>
      </c>
      <c r="R142" s="383" cm="1">
        <f t="array" ref="R142">SUM(SUMIF('caseload data'!$B:$B,{"licence","community"},'caseload data'!S:S))</f>
        <v>0</v>
      </c>
      <c r="S142" s="383" cm="1">
        <f t="array" ref="S142">SUM(SUMIF('caseload data'!$B:$B,{"licence","community"},'caseload data'!T:T))</f>
        <v>0</v>
      </c>
      <c r="T142" s="384">
        <f>SUM(SUMIF('caseload data'!B:B,{"licence","community"},'caseload data'!V:V))</f>
        <v>0</v>
      </c>
      <c r="U142" s="64"/>
      <c r="V142" s="64"/>
      <c r="W142" s="131"/>
      <c r="X142" s="132"/>
      <c r="Y142" s="133"/>
      <c r="Z142" s="133"/>
      <c r="AA142" s="133"/>
      <c r="AB142" s="133"/>
      <c r="AC142" s="133"/>
      <c r="AD142" s="133"/>
      <c r="AE142" s="133"/>
    </row>
    <row r="144" spans="2:41" ht="14.5" thickBot="1" x14ac:dyDescent="0.35"/>
    <row r="145" spans="2:41" ht="16" thickBot="1" x14ac:dyDescent="0.4">
      <c r="B145" s="1"/>
      <c r="C145" s="2"/>
      <c r="D145" s="498" t="s">
        <v>1060</v>
      </c>
      <c r="E145" s="499"/>
      <c r="F145" s="499"/>
      <c r="G145" s="499"/>
      <c r="H145" s="499"/>
      <c r="I145" s="499"/>
      <c r="J145" s="499"/>
      <c r="K145" s="499"/>
      <c r="L145" s="499"/>
      <c r="M145" s="499"/>
      <c r="N145" s="499"/>
      <c r="O145" s="499"/>
      <c r="P145" s="499"/>
      <c r="Q145" s="499"/>
      <c r="R145" s="499"/>
      <c r="S145" s="499"/>
      <c r="T145" s="500"/>
      <c r="W145" s="1"/>
      <c r="X145" s="2"/>
      <c r="Y145" s="496" t="s">
        <v>1061</v>
      </c>
      <c r="Z145" s="497"/>
      <c r="AA145" s="497"/>
      <c r="AB145" s="497"/>
      <c r="AC145" s="497"/>
      <c r="AD145" s="497"/>
      <c r="AE145" s="497"/>
      <c r="AF145" s="497"/>
      <c r="AG145" s="497"/>
      <c r="AH145" s="497"/>
      <c r="AI145" s="497"/>
      <c r="AJ145" s="497"/>
      <c r="AK145" s="497"/>
      <c r="AL145" s="497"/>
      <c r="AM145" s="497"/>
      <c r="AN145" s="497"/>
    </row>
    <row r="146" spans="2:41" x14ac:dyDescent="0.3">
      <c r="B146" s="124" t="s">
        <v>820</v>
      </c>
      <c r="C146" s="126" t="s">
        <v>978</v>
      </c>
      <c r="D146" s="38" t="s">
        <v>846</v>
      </c>
      <c r="E146" s="38" t="s">
        <v>847</v>
      </c>
      <c r="F146" s="38" t="s">
        <v>848</v>
      </c>
      <c r="G146" s="38" t="s">
        <v>849</v>
      </c>
      <c r="H146" s="38" t="s">
        <v>850</v>
      </c>
      <c r="I146" s="38" t="s">
        <v>851</v>
      </c>
      <c r="J146" s="38" t="s">
        <v>852</v>
      </c>
      <c r="K146" s="38" t="s">
        <v>853</v>
      </c>
      <c r="L146" s="38" t="s">
        <v>854</v>
      </c>
      <c r="M146" s="38" t="s">
        <v>855</v>
      </c>
      <c r="N146" s="38" t="s">
        <v>856</v>
      </c>
      <c r="O146" s="38" t="s">
        <v>857</v>
      </c>
      <c r="P146" s="38" t="s">
        <v>858</v>
      </c>
      <c r="Q146" s="38" t="s">
        <v>859</v>
      </c>
      <c r="R146" s="38" t="s">
        <v>860</v>
      </c>
      <c r="S146" s="38" t="s">
        <v>861</v>
      </c>
      <c r="T146" s="126" t="s">
        <v>863</v>
      </c>
      <c r="U146" s="64"/>
      <c r="V146" s="64"/>
      <c r="W146" s="124" t="s">
        <v>820</v>
      </c>
      <c r="X146" s="126" t="s">
        <v>978</v>
      </c>
      <c r="Y146" s="38" t="s">
        <v>846</v>
      </c>
      <c r="Z146" s="38" t="s">
        <v>847</v>
      </c>
      <c r="AA146" s="38" t="s">
        <v>848</v>
      </c>
      <c r="AB146" s="38" t="s">
        <v>849</v>
      </c>
      <c r="AC146" s="38" t="s">
        <v>850</v>
      </c>
      <c r="AD146" s="38" t="s">
        <v>851</v>
      </c>
      <c r="AE146" s="38" t="s">
        <v>852</v>
      </c>
      <c r="AF146" s="38" t="s">
        <v>853</v>
      </c>
      <c r="AG146" s="38" t="s">
        <v>854</v>
      </c>
      <c r="AH146" s="38" t="s">
        <v>855</v>
      </c>
      <c r="AI146" s="38" t="s">
        <v>856</v>
      </c>
      <c r="AJ146" s="38" t="s">
        <v>857</v>
      </c>
      <c r="AK146" s="38" t="s">
        <v>858</v>
      </c>
      <c r="AL146" s="38" t="s">
        <v>859</v>
      </c>
      <c r="AM146" s="38" t="s">
        <v>860</v>
      </c>
      <c r="AN146" s="38" t="s">
        <v>861</v>
      </c>
      <c r="AO146" s="38" t="s">
        <v>976</v>
      </c>
    </row>
    <row r="147" spans="2:41" x14ac:dyDescent="0.3">
      <c r="B147" s="477" t="s">
        <v>17</v>
      </c>
      <c r="C147" s="128" t="s">
        <v>979</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477" t="s">
        <v>17</v>
      </c>
      <c r="X147" s="128" t="s">
        <v>979</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3">
      <c r="B148" s="478"/>
      <c r="C148" s="129" t="s">
        <v>984</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478"/>
      <c r="X148" s="129" t="s">
        <v>984</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3">
      <c r="B149" s="478"/>
      <c r="C149" s="129" t="s">
        <v>985</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478"/>
      <c r="X149" s="129" t="s">
        <v>985</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3">
      <c r="B150" s="478"/>
      <c r="C150" s="129" t="s">
        <v>986</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478"/>
      <c r="X150" s="129" t="s">
        <v>986</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3">
      <c r="B151" s="479"/>
      <c r="C151" s="130" t="s">
        <v>1320</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479"/>
      <c r="X151" s="130" t="s">
        <v>1320</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3">
      <c r="B152" s="477" t="s">
        <v>18</v>
      </c>
      <c r="C152" s="128" t="s">
        <v>979</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477" t="s">
        <v>18</v>
      </c>
      <c r="X152" s="128" t="s">
        <v>979</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3">
      <c r="B153" s="478"/>
      <c r="C153" s="129" t="s">
        <v>984</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478"/>
      <c r="X153" s="129" t="s">
        <v>984</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3">
      <c r="B154" s="478"/>
      <c r="C154" s="129" t="s">
        <v>985</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478"/>
      <c r="X154" s="129" t="s">
        <v>985</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3">
      <c r="B155" s="478"/>
      <c r="C155" s="129" t="s">
        <v>986</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478"/>
      <c r="X155" s="129" t="s">
        <v>986</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3">
      <c r="B156" s="479"/>
      <c r="C156" s="130" t="s">
        <v>1320</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479"/>
      <c r="X156" s="130" t="s">
        <v>1320</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3">
      <c r="B157" s="477" t="s">
        <v>19</v>
      </c>
      <c r="C157" s="128" t="s">
        <v>979</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477" t="s">
        <v>19</v>
      </c>
      <c r="X157" s="128" t="s">
        <v>979</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3">
      <c r="B158" s="478"/>
      <c r="C158" s="129" t="s">
        <v>984</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478"/>
      <c r="X158" s="129" t="s">
        <v>984</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3">
      <c r="B159" s="478"/>
      <c r="C159" s="129" t="s">
        <v>985</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478"/>
      <c r="X159" s="129" t="s">
        <v>985</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3">
      <c r="B160" s="478"/>
      <c r="C160" s="129" t="s">
        <v>986</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478"/>
      <c r="X160" s="129" t="s">
        <v>986</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3">
      <c r="B161" s="479"/>
      <c r="C161" s="130" t="s">
        <v>1320</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479"/>
      <c r="X161" s="130" t="s">
        <v>1320</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3">
      <c r="B162" s="477" t="s">
        <v>20</v>
      </c>
      <c r="C162" s="128" t="s">
        <v>979</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477" t="s">
        <v>20</v>
      </c>
      <c r="X162" s="128" t="s">
        <v>979</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3">
      <c r="B163" s="478"/>
      <c r="C163" s="129" t="s">
        <v>984</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478"/>
      <c r="X163" s="129" t="s">
        <v>984</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3">
      <c r="B164" s="478"/>
      <c r="C164" s="129" t="s">
        <v>985</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478"/>
      <c r="X164" s="129" t="s">
        <v>985</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3">
      <c r="B165" s="478"/>
      <c r="C165" s="129" t="s">
        <v>986</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478"/>
      <c r="X165" s="129" t="s">
        <v>986</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3">
      <c r="B166" s="479"/>
      <c r="C166" s="130" t="s">
        <v>1320</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479"/>
      <c r="X166" s="130" t="s">
        <v>1320</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3">
      <c r="B167" s="477" t="s">
        <v>21</v>
      </c>
      <c r="C167" s="128" t="s">
        <v>979</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477" t="s">
        <v>21</v>
      </c>
      <c r="X167" s="128" t="s">
        <v>979</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3">
      <c r="B168" s="478"/>
      <c r="C168" s="129" t="s">
        <v>984</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478"/>
      <c r="X168" s="129" t="s">
        <v>984</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3">
      <c r="B169" s="478"/>
      <c r="C169" s="129" t="s">
        <v>985</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478"/>
      <c r="X169" s="129" t="s">
        <v>985</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3">
      <c r="B170" s="478"/>
      <c r="C170" s="129" t="s">
        <v>986</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478"/>
      <c r="X170" s="129" t="s">
        <v>986</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3">
      <c r="B171" s="479"/>
      <c r="C171" s="130" t="s">
        <v>1320</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479"/>
      <c r="X171" s="130" t="s">
        <v>1320</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3">
      <c r="B172" s="477" t="s">
        <v>22</v>
      </c>
      <c r="C172" s="128" t="s">
        <v>979</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477" t="s">
        <v>22</v>
      </c>
      <c r="X172" s="128" t="s">
        <v>979</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3">
      <c r="B173" s="478"/>
      <c r="C173" s="129" t="s">
        <v>984</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478"/>
      <c r="X173" s="129" t="s">
        <v>984</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3">
      <c r="B174" s="478"/>
      <c r="C174" s="129" t="s">
        <v>985</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478"/>
      <c r="X174" s="129" t="s">
        <v>985</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3">
      <c r="B175" s="478"/>
      <c r="C175" s="129" t="s">
        <v>986</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478"/>
      <c r="X175" s="129" t="s">
        <v>986</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3">
      <c r="B176" s="479"/>
      <c r="C176" s="130" t="s">
        <v>1320</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479"/>
      <c r="X176" s="130" t="s">
        <v>1320</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3">
      <c r="B177" s="477" t="s">
        <v>23</v>
      </c>
      <c r="C177" s="128" t="s">
        <v>979</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477" t="s">
        <v>23</v>
      </c>
      <c r="X177" s="128" t="s">
        <v>979</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3">
      <c r="B178" s="478"/>
      <c r="C178" s="129" t="s">
        <v>984</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478"/>
      <c r="X178" s="129" t="s">
        <v>984</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3">
      <c r="B179" s="478"/>
      <c r="C179" s="129" t="s">
        <v>985</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478"/>
      <c r="X179" s="129" t="s">
        <v>985</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3">
      <c r="B180" s="478"/>
      <c r="C180" s="129" t="s">
        <v>986</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478"/>
      <c r="X180" s="129" t="s">
        <v>986</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3">
      <c r="B181" s="479"/>
      <c r="C181" s="130" t="s">
        <v>1320</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479"/>
      <c r="X181" s="130" t="s">
        <v>1320</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3">
      <c r="B182" s="477" t="s">
        <v>24</v>
      </c>
      <c r="C182" s="128" t="s">
        <v>979</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477" t="s">
        <v>24</v>
      </c>
      <c r="X182" s="128" t="s">
        <v>979</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3">
      <c r="B183" s="478"/>
      <c r="C183" s="129" t="s">
        <v>984</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478"/>
      <c r="X183" s="129" t="s">
        <v>984</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3">
      <c r="B184" s="478"/>
      <c r="C184" s="129" t="s">
        <v>985</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478"/>
      <c r="X184" s="129" t="s">
        <v>985</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3">
      <c r="B185" s="478"/>
      <c r="C185" s="129" t="s">
        <v>986</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478"/>
      <c r="X185" s="129" t="s">
        <v>986</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3">
      <c r="B186" s="479"/>
      <c r="C186" s="130" t="s">
        <v>1320</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479"/>
      <c r="X186" s="130" t="s">
        <v>1320</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3">
      <c r="B187" s="477" t="s">
        <v>25</v>
      </c>
      <c r="C187" s="128" t="s">
        <v>979</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477" t="s">
        <v>25</v>
      </c>
      <c r="X187" s="128" t="s">
        <v>979</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3">
      <c r="B188" s="478"/>
      <c r="C188" s="129" t="s">
        <v>984</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478"/>
      <c r="X188" s="129" t="s">
        <v>984</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3">
      <c r="B189" s="478"/>
      <c r="C189" s="129" t="s">
        <v>985</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478"/>
      <c r="X189" s="129" t="s">
        <v>985</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3">
      <c r="B190" s="478"/>
      <c r="C190" s="129" t="s">
        <v>986</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478"/>
      <c r="X190" s="129" t="s">
        <v>986</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3">
      <c r="B191" s="479"/>
      <c r="C191" s="130" t="s">
        <v>1320</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479"/>
      <c r="X191" s="130" t="s">
        <v>1320</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3">
      <c r="B192" s="477" t="s">
        <v>26</v>
      </c>
      <c r="C192" s="128" t="s">
        <v>979</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477" t="s">
        <v>26</v>
      </c>
      <c r="X192" s="128" t="s">
        <v>979</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3">
      <c r="B193" s="478"/>
      <c r="C193" s="129" t="s">
        <v>984</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478"/>
      <c r="X193" s="129" t="s">
        <v>984</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3">
      <c r="B194" s="478"/>
      <c r="C194" s="129" t="s">
        <v>985</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478"/>
      <c r="X194" s="129" t="s">
        <v>985</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3">
      <c r="B195" s="478"/>
      <c r="C195" s="129" t="s">
        <v>986</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478"/>
      <c r="X195" s="129" t="s">
        <v>986</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3">
      <c r="B196" s="479"/>
      <c r="C196" s="130" t="s">
        <v>1320</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479"/>
      <c r="X196" s="130" t="s">
        <v>1320</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3">
      <c r="B197" s="477" t="s">
        <v>27</v>
      </c>
      <c r="C197" s="128" t="s">
        <v>979</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477" t="s">
        <v>27</v>
      </c>
      <c r="X197" s="128" t="s">
        <v>979</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3">
      <c r="B198" s="478"/>
      <c r="C198" s="129" t="s">
        <v>984</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478"/>
      <c r="X198" s="129" t="s">
        <v>984</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3">
      <c r="B199" s="478"/>
      <c r="C199" s="129" t="s">
        <v>985</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478"/>
      <c r="X199" s="129" t="s">
        <v>985</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3">
      <c r="B200" s="478"/>
      <c r="C200" s="129" t="s">
        <v>986</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478"/>
      <c r="X200" s="129" t="s">
        <v>986</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3">
      <c r="B201" s="479"/>
      <c r="C201" s="130" t="s">
        <v>1320</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479"/>
      <c r="X201" s="130" t="s">
        <v>1320</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3">
      <c r="B202" s="477" t="s">
        <v>28</v>
      </c>
      <c r="C202" s="128" t="s">
        <v>979</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477" t="s">
        <v>28</v>
      </c>
      <c r="X202" s="128" t="s">
        <v>979</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3">
      <c r="B203" s="478"/>
      <c r="C203" s="129" t="s">
        <v>984</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478"/>
      <c r="X203" s="129" t="s">
        <v>984</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3">
      <c r="B204" s="478"/>
      <c r="C204" s="129" t="s">
        <v>985</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478"/>
      <c r="X204" s="129" t="s">
        <v>985</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3">
      <c r="B205" s="478"/>
      <c r="C205" s="129" t="s">
        <v>986</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478"/>
      <c r="X205" s="129" t="s">
        <v>986</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4.5" thickBot="1" x14ac:dyDescent="0.35">
      <c r="B206" s="478"/>
      <c r="C206" s="129" t="s">
        <v>1320</v>
      </c>
      <c r="D206" s="377">
        <f>SUMIFS('caseload data'!E:E,'caseload data'!$D:$D,"DMY",'caseload data'!$A:$A,"Yorkshire and The Humber",'caseload data'!$B:$B,"custody")</f>
        <v>0</v>
      </c>
      <c r="E206" s="377">
        <f>SUMIFS('caseload data'!F:F,'caseload data'!$D:$D,"DMY",'caseload data'!$A:$A,"Yorkshire and The Humber",'caseload data'!$B:$B,"custody")</f>
        <v>0</v>
      </c>
      <c r="F206" s="377">
        <f>SUMIFS('caseload data'!G:G,'caseload data'!$D:$D,"DMY",'caseload data'!$A:$A,"Yorkshire and The Humber",'caseload data'!$B:$B,"custody")</f>
        <v>0</v>
      </c>
      <c r="G206" s="377">
        <f>SUMIFS('caseload data'!H:H,'caseload data'!$D:$D,"DMY",'caseload data'!$A:$A,"Yorkshire and The Humber",'caseload data'!$B:$B,"custody")</f>
        <v>0</v>
      </c>
      <c r="H206" s="377">
        <f>SUMIFS('caseload data'!I:I,'caseload data'!$D:$D,"DMY",'caseload data'!$A:$A,"Yorkshire and The Humber",'caseload data'!$B:$B,"custody")</f>
        <v>0</v>
      </c>
      <c r="I206" s="377">
        <f>SUMIFS('caseload data'!J:J,'caseload data'!$D:$D,"DMY",'caseload data'!$A:$A,"Yorkshire and The Humber",'caseload data'!$B:$B,"custody")</f>
        <v>0</v>
      </c>
      <c r="J206" s="377">
        <f>SUMIFS('caseload data'!K:K,'caseload data'!$D:$D,"DMY",'caseload data'!$A:$A,"Yorkshire and The Humber",'caseload data'!$B:$B,"custody")</f>
        <v>0</v>
      </c>
      <c r="K206" s="377">
        <f>SUMIFS('caseload data'!L:L,'caseload data'!$D:$D,"DMY",'caseload data'!$A:$A,"Yorkshire and The Humber",'caseload data'!$B:$B,"custody")</f>
        <v>0</v>
      </c>
      <c r="L206" s="377">
        <f>SUMIFS('caseload data'!M:M,'caseload data'!$D:$D,"DMY",'caseload data'!$A:$A,"Yorkshire and The Humber",'caseload data'!$B:$B,"custody")</f>
        <v>0</v>
      </c>
      <c r="M206" s="377">
        <f>SUMIFS('caseload data'!N:N,'caseload data'!$D:$D,"DMY",'caseload data'!$A:$A,"Yorkshire and The Humber",'caseload data'!$B:$B,"custody")</f>
        <v>0</v>
      </c>
      <c r="N206" s="377">
        <f>SUMIFS('caseload data'!O:O,'caseload data'!$D:$D,"DMY",'caseload data'!$A:$A,"Yorkshire and The Humber",'caseload data'!$B:$B,"custody")</f>
        <v>0</v>
      </c>
      <c r="O206" s="377">
        <f>SUMIFS('caseload data'!P:P,'caseload data'!$D:$D,"DMY",'caseload data'!$A:$A,"Yorkshire and The Humber",'caseload data'!$B:$B,"custody")</f>
        <v>0</v>
      </c>
      <c r="P206" s="377">
        <f>SUMIFS('caseload data'!Q:Q,'caseload data'!$D:$D,"DMY",'caseload data'!$A:$A,"Yorkshire and The Humber",'caseload data'!$B:$B,"custody")</f>
        <v>0</v>
      </c>
      <c r="Q206" s="377">
        <f>SUMIFS('caseload data'!R:R,'caseload data'!$D:$D,"DMY",'caseload data'!$A:$A,"Yorkshire and The Humber",'caseload data'!$B:$B,"custody")</f>
        <v>0</v>
      </c>
      <c r="R206" s="377">
        <f>SUMIFS('caseload data'!S:S,'caseload data'!$D:$D,"DMY",'caseload data'!$A:$A,"Yorkshire and The Humber",'caseload data'!$B:$B,"custody")</f>
        <v>0</v>
      </c>
      <c r="S206" s="377">
        <f>SUMIFS('caseload data'!T:T,'caseload data'!$D:$D,"DMY",'caseload data'!$A:$A,"Yorkshire and The Humber",'caseload data'!$B:$B,"custody")</f>
        <v>0</v>
      </c>
      <c r="T206" s="377">
        <f>SUMIFS('caseload data'!V:V,'caseload data'!$D:$D,"DMY",'caseload data'!$A:$A,"Yorkshire and The Humber",'caseload data'!$B:$B,"custody")</f>
        <v>0</v>
      </c>
      <c r="U206" s="64"/>
      <c r="V206" s="64"/>
      <c r="W206" s="478"/>
      <c r="X206" s="129" t="s">
        <v>1320</v>
      </c>
      <c r="Y206" s="373" t="e">
        <f t="shared" si="107"/>
        <v>#DIV/0!</v>
      </c>
      <c r="Z206" s="373" t="e">
        <f t="shared" si="106"/>
        <v>#DIV/0!</v>
      </c>
      <c r="AA206" s="373" t="e">
        <f t="shared" si="106"/>
        <v>#DIV/0!</v>
      </c>
      <c r="AB206" s="373" t="e">
        <f t="shared" si="106"/>
        <v>#DIV/0!</v>
      </c>
      <c r="AC206" s="373" t="e">
        <f t="shared" si="106"/>
        <v>#DIV/0!</v>
      </c>
      <c r="AD206" s="373" t="e">
        <f t="shared" si="106"/>
        <v>#DIV/0!</v>
      </c>
      <c r="AE206" s="373" t="e">
        <f t="shared" si="106"/>
        <v>#DIV/0!</v>
      </c>
      <c r="AF206" s="373" t="e">
        <f t="shared" si="106"/>
        <v>#DIV/0!</v>
      </c>
      <c r="AG206" s="373" t="e">
        <f t="shared" si="106"/>
        <v>#DIV/0!</v>
      </c>
      <c r="AH206" s="373" t="e">
        <f t="shared" si="106"/>
        <v>#DIV/0!</v>
      </c>
      <c r="AI206" s="373" t="e">
        <f t="shared" si="106"/>
        <v>#DIV/0!</v>
      </c>
      <c r="AJ206" s="373" t="e">
        <f t="shared" si="106"/>
        <v>#DIV/0!</v>
      </c>
      <c r="AK206" s="373" t="e">
        <f t="shared" si="106"/>
        <v>#DIV/0!</v>
      </c>
      <c r="AL206" s="373" t="e">
        <f t="shared" si="106"/>
        <v>#DIV/0!</v>
      </c>
      <c r="AM206" s="373" t="e">
        <f t="shared" si="106"/>
        <v>#DIV/0!</v>
      </c>
      <c r="AN206" s="373" t="e">
        <f t="shared" si="106"/>
        <v>#DIV/0!</v>
      </c>
      <c r="AO206" s="373" t="e">
        <f t="shared" si="106"/>
        <v>#DIV/0!</v>
      </c>
    </row>
    <row r="207" spans="2:41" x14ac:dyDescent="0.3">
      <c r="B207" s="501" t="s">
        <v>941</v>
      </c>
      <c r="C207" s="378" t="s">
        <v>979</v>
      </c>
      <c r="D207" s="379">
        <f>SUMIFS('caseload data'!E:E,'caseload data'!$D:$D,"PO",'caseload data'!$B:$B,"custody")</f>
        <v>0</v>
      </c>
      <c r="E207" s="379">
        <f>SUMIFS('caseload data'!F:F,'caseload data'!$D:$D,"PO",'caseload data'!$B:$B,"custody")</f>
        <v>0</v>
      </c>
      <c r="F207" s="379">
        <f>SUMIFS('caseload data'!G:G,'caseload data'!$D:$D,"PO",'caseload data'!$B:$B,"custody")</f>
        <v>0</v>
      </c>
      <c r="G207" s="379">
        <f>SUMIFS('caseload data'!H:H,'caseload data'!$D:$D,"PO",'caseload data'!$B:$B,"custody")</f>
        <v>0</v>
      </c>
      <c r="H207" s="379">
        <f>SUMIFS('caseload data'!I:I,'caseload data'!$D:$D,"PO",'caseload data'!$B:$B,"custody")</f>
        <v>0</v>
      </c>
      <c r="I207" s="379">
        <f>SUMIFS('caseload data'!J:J,'caseload data'!$D:$D,"PO",'caseload data'!$B:$B,"custody")</f>
        <v>0</v>
      </c>
      <c r="J207" s="379">
        <f>SUMIFS('caseload data'!K:K,'caseload data'!$D:$D,"PO",'caseload data'!$B:$B,"custody")</f>
        <v>0</v>
      </c>
      <c r="K207" s="379">
        <f>SUMIFS('caseload data'!L:L,'caseload data'!$D:$D,"PO",'caseload data'!$B:$B,"custody")</f>
        <v>0</v>
      </c>
      <c r="L207" s="379">
        <f>SUMIFS('caseload data'!M:M,'caseload data'!$D:$D,"PO",'caseload data'!$B:$B,"custody")</f>
        <v>0</v>
      </c>
      <c r="M207" s="379">
        <f>SUMIFS('caseload data'!N:N,'caseload data'!$D:$D,"PO",'caseload data'!$B:$B,"custody")</f>
        <v>0</v>
      </c>
      <c r="N207" s="379">
        <f>SUMIFS('caseload data'!O:O,'caseload data'!$D:$D,"PO",'caseload data'!$B:$B,"custody")</f>
        <v>0</v>
      </c>
      <c r="O207" s="379">
        <f>SUMIFS('caseload data'!P:P,'caseload data'!$D:$D,"PO",'caseload data'!$B:$B,"custody")</f>
        <v>0</v>
      </c>
      <c r="P207" s="379">
        <f>SUMIFS('caseload data'!Q:Q,'caseload data'!$D:$D,"PO",'caseload data'!$B:$B,"custody")</f>
        <v>0</v>
      </c>
      <c r="Q207" s="379">
        <f>SUMIFS('caseload data'!R:R,'caseload data'!$D:$D,"PO",'caseload data'!$B:$B,"custody")</f>
        <v>0</v>
      </c>
      <c r="R207" s="379">
        <f>SUMIFS('caseload data'!S:S,'caseload data'!$D:$D,"PO",'caseload data'!$B:$B,"custody")</f>
        <v>0</v>
      </c>
      <c r="S207" s="379">
        <f>SUMIFS('caseload data'!T:T,'caseload data'!$D:$D,"PO",'caseload data'!$B:$B,"custody")</f>
        <v>0</v>
      </c>
      <c r="T207" s="380">
        <f>SUMIFS('caseload data'!V:V,'caseload data'!D:D,"PO",'caseload data'!B:B,"custody")</f>
        <v>0</v>
      </c>
      <c r="U207" s="64"/>
      <c r="V207" s="64"/>
      <c r="W207" s="504" t="s">
        <v>941</v>
      </c>
      <c r="X207" s="386" t="s">
        <v>979</v>
      </c>
      <c r="Y207" s="388" t="e">
        <f>SUM(D207)/SUM(D$207:D$211)</f>
        <v>#DIV/0!</v>
      </c>
      <c r="Z207" s="388" t="e">
        <f t="shared" ref="Z207:AO211" si="108">SUM(E207)/SUM(E$207:E$211)</f>
        <v>#DIV/0!</v>
      </c>
      <c r="AA207" s="388" t="e">
        <f t="shared" si="108"/>
        <v>#DIV/0!</v>
      </c>
      <c r="AB207" s="388" t="e">
        <f t="shared" si="108"/>
        <v>#DIV/0!</v>
      </c>
      <c r="AC207" s="388" t="e">
        <f t="shared" si="108"/>
        <v>#DIV/0!</v>
      </c>
      <c r="AD207" s="388" t="e">
        <f t="shared" si="108"/>
        <v>#DIV/0!</v>
      </c>
      <c r="AE207" s="388" t="e">
        <f t="shared" si="108"/>
        <v>#DIV/0!</v>
      </c>
      <c r="AF207" s="388" t="e">
        <f t="shared" si="108"/>
        <v>#DIV/0!</v>
      </c>
      <c r="AG207" s="388" t="e">
        <f t="shared" si="108"/>
        <v>#DIV/0!</v>
      </c>
      <c r="AH207" s="388" t="e">
        <f t="shared" si="108"/>
        <v>#DIV/0!</v>
      </c>
      <c r="AI207" s="388" t="e">
        <f t="shared" si="108"/>
        <v>#DIV/0!</v>
      </c>
      <c r="AJ207" s="388" t="e">
        <f t="shared" si="108"/>
        <v>#DIV/0!</v>
      </c>
      <c r="AK207" s="388" t="e">
        <f t="shared" si="108"/>
        <v>#DIV/0!</v>
      </c>
      <c r="AL207" s="388" t="e">
        <f t="shared" si="108"/>
        <v>#DIV/0!</v>
      </c>
      <c r="AM207" s="388" t="e">
        <f t="shared" si="108"/>
        <v>#DIV/0!</v>
      </c>
      <c r="AN207" s="388" t="e">
        <f t="shared" si="108"/>
        <v>#DIV/0!</v>
      </c>
      <c r="AO207" s="390" t="e">
        <f t="shared" si="108"/>
        <v>#DIV/0!</v>
      </c>
    </row>
    <row r="208" spans="2:41" x14ac:dyDescent="0.3">
      <c r="B208" s="502"/>
      <c r="C208" s="137" t="s">
        <v>984</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1">
        <f>SUMIFS('caseload data'!V:V,'caseload data'!D:D,"PSO",'caseload data'!B:B,"custody")</f>
        <v>0</v>
      </c>
      <c r="U208" s="64"/>
      <c r="V208" s="64"/>
      <c r="W208" s="505"/>
      <c r="X208" s="372" t="s">
        <v>984</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91" t="e">
        <f t="shared" si="108"/>
        <v>#DIV/0!</v>
      </c>
    </row>
    <row r="209" spans="2:41" x14ac:dyDescent="0.3">
      <c r="B209" s="502"/>
      <c r="C209" s="137" t="s">
        <v>985</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1">
        <f>SUMIFS('caseload data'!V:V,'caseload data'!D:D,"TPO",'caseload data'!B:B,"custody")</f>
        <v>0</v>
      </c>
      <c r="U209" s="64"/>
      <c r="V209" s="64"/>
      <c r="W209" s="505"/>
      <c r="X209" s="372" t="s">
        <v>985</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91" t="e">
        <f t="shared" si="108"/>
        <v>#DIV/0!</v>
      </c>
    </row>
    <row r="210" spans="2:41" x14ac:dyDescent="0.3">
      <c r="B210" s="502"/>
      <c r="C210" s="137" t="s">
        <v>986</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1">
        <f>SUMIFS('caseload data'!V:V,'caseload data'!$D:$D,"SPO",'caseload data'!$B:$B,"custody")</f>
        <v>0</v>
      </c>
      <c r="U210" s="64"/>
      <c r="V210" s="64"/>
      <c r="W210" s="505"/>
      <c r="X210" s="372" t="s">
        <v>986</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91" t="e">
        <f t="shared" si="108"/>
        <v>#DIV/0!</v>
      </c>
    </row>
    <row r="211" spans="2:41" ht="14.5" thickBot="1" x14ac:dyDescent="0.35">
      <c r="B211" s="502"/>
      <c r="C211" s="137" t="s">
        <v>1320</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1">
        <f>SUMIFS('caseload data'!V:V,'caseload data'!$D:$D,"DMY",'caseload data'!$B:$B,"custody")</f>
        <v>0</v>
      </c>
      <c r="U211" s="64"/>
      <c r="V211" s="64"/>
      <c r="W211" s="506"/>
      <c r="X211" s="387" t="s">
        <v>1320</v>
      </c>
      <c r="Y211" s="389" t="e">
        <f t="shared" si="109"/>
        <v>#DIV/0!</v>
      </c>
      <c r="Z211" s="389" t="e">
        <f t="shared" si="108"/>
        <v>#DIV/0!</v>
      </c>
      <c r="AA211" s="389" t="e">
        <f t="shared" si="108"/>
        <v>#DIV/0!</v>
      </c>
      <c r="AB211" s="389" t="e">
        <f t="shared" si="108"/>
        <v>#DIV/0!</v>
      </c>
      <c r="AC211" s="389" t="e">
        <f t="shared" si="108"/>
        <v>#DIV/0!</v>
      </c>
      <c r="AD211" s="389" t="e">
        <f t="shared" si="108"/>
        <v>#DIV/0!</v>
      </c>
      <c r="AE211" s="389" t="e">
        <f t="shared" si="108"/>
        <v>#DIV/0!</v>
      </c>
      <c r="AF211" s="389" t="e">
        <f t="shared" si="108"/>
        <v>#DIV/0!</v>
      </c>
      <c r="AG211" s="389" t="e">
        <f t="shared" si="108"/>
        <v>#DIV/0!</v>
      </c>
      <c r="AH211" s="389" t="e">
        <f t="shared" si="108"/>
        <v>#DIV/0!</v>
      </c>
      <c r="AI211" s="389" t="e">
        <f t="shared" si="108"/>
        <v>#DIV/0!</v>
      </c>
      <c r="AJ211" s="389" t="e">
        <f t="shared" si="108"/>
        <v>#DIV/0!</v>
      </c>
      <c r="AK211" s="389" t="e">
        <f t="shared" si="108"/>
        <v>#DIV/0!</v>
      </c>
      <c r="AL211" s="389" t="e">
        <f t="shared" si="108"/>
        <v>#DIV/0!</v>
      </c>
      <c r="AM211" s="389" t="e">
        <f t="shared" si="108"/>
        <v>#DIV/0!</v>
      </c>
      <c r="AN211" s="389" t="e">
        <f t="shared" si="108"/>
        <v>#DIV/0!</v>
      </c>
      <c r="AO211" s="392" t="e">
        <f t="shared" si="108"/>
        <v>#DIV/0!</v>
      </c>
    </row>
    <row r="212" spans="2:41" ht="31.5" customHeight="1" thickBot="1" x14ac:dyDescent="0.35">
      <c r="B212" s="503"/>
      <c r="C212" s="382" t="s">
        <v>1366</v>
      </c>
      <c r="D212" s="383">
        <f>SUMIF('caseload data'!$B:$B,"custody",'caseload data'!E:E)</f>
        <v>0</v>
      </c>
      <c r="E212" s="383">
        <f>SUMIF('caseload data'!$B:$B,"custody",'caseload data'!F:F)</f>
        <v>0</v>
      </c>
      <c r="F212" s="383">
        <f>SUMIF('caseload data'!$B:$B,"custody",'caseload data'!G:G)</f>
        <v>0</v>
      </c>
      <c r="G212" s="383">
        <f>SUMIF('caseload data'!$B:$B,"custody",'caseload data'!H:H)</f>
        <v>0</v>
      </c>
      <c r="H212" s="383">
        <f>SUMIF('caseload data'!$B:$B,"custody",'caseload data'!I:I)</f>
        <v>0</v>
      </c>
      <c r="I212" s="383">
        <f>SUMIF('caseload data'!$B:$B,"custody",'caseload data'!J:J)</f>
        <v>0</v>
      </c>
      <c r="J212" s="383">
        <f>SUMIF('caseload data'!$B:$B,"custody",'caseload data'!K:K)</f>
        <v>0</v>
      </c>
      <c r="K212" s="383">
        <f>SUMIF('caseload data'!$B:$B,"custody",'caseload data'!L:L)</f>
        <v>0</v>
      </c>
      <c r="L212" s="383">
        <f>SUMIF('caseload data'!$B:$B,"custody",'caseload data'!M:M)</f>
        <v>0</v>
      </c>
      <c r="M212" s="383">
        <f>SUMIF('caseload data'!$B:$B,"custody",'caseload data'!N:N)</f>
        <v>0</v>
      </c>
      <c r="N212" s="383">
        <f>SUMIF('caseload data'!$B:$B,"custody",'caseload data'!O:O)</f>
        <v>0</v>
      </c>
      <c r="O212" s="383">
        <f>SUMIF('caseload data'!$B:$B,"custody",'caseload data'!P:P)</f>
        <v>0</v>
      </c>
      <c r="P212" s="383">
        <f>SUMIF('caseload data'!$B:$B,"custody",'caseload data'!Q:Q)</f>
        <v>0</v>
      </c>
      <c r="Q212" s="383">
        <f>SUMIF('caseload data'!$B:$B,"custody",'caseload data'!R:R)</f>
        <v>0</v>
      </c>
      <c r="R212" s="383">
        <f>SUMIF('caseload data'!$B:$B,"custody",'caseload data'!S:S)</f>
        <v>0</v>
      </c>
      <c r="S212" s="383">
        <f>SUMIF('caseload data'!$B:$B,"custody",'caseload data'!T:T)</f>
        <v>0</v>
      </c>
      <c r="T212" s="384">
        <f>SUMIF('caseload data'!B:B,"custody",'caseload data'!V:V)</f>
        <v>0</v>
      </c>
      <c r="U212" s="64"/>
      <c r="V212" s="64"/>
      <c r="W212" s="64"/>
      <c r="X212" s="64"/>
      <c r="Y212" s="64"/>
      <c r="Z212" s="64"/>
      <c r="AA212" s="64"/>
      <c r="AB212" s="64"/>
      <c r="AC212" s="64"/>
      <c r="AD212" s="64"/>
      <c r="AE212" s="64"/>
    </row>
  </sheetData>
  <mergeCells count="88">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 ref="W112:W116"/>
    <mergeCell ref="W117:W121"/>
    <mergeCell ref="W122:W126"/>
    <mergeCell ref="W22:W26"/>
    <mergeCell ref="W17:W21"/>
    <mergeCell ref="W62:W66"/>
    <mergeCell ref="W57:W61"/>
    <mergeCell ref="W52:W56"/>
    <mergeCell ref="B97:B101"/>
    <mergeCell ref="B102:B106"/>
    <mergeCell ref="W97:W101"/>
    <mergeCell ref="W102:W106"/>
    <mergeCell ref="W107:W11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37:B41"/>
    <mergeCell ref="B42:B46"/>
    <mergeCell ref="B47:B51"/>
    <mergeCell ref="B52:B56"/>
    <mergeCell ref="B57:B61"/>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132:B136"/>
    <mergeCell ref="B127:B131"/>
    <mergeCell ref="B122:B126"/>
    <mergeCell ref="B117:B121"/>
    <mergeCell ref="B107:B111"/>
    <mergeCell ref="B112:B116"/>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Q62" sqref="Q62"/>
    </sheetView>
  </sheetViews>
  <sheetFormatPr defaultColWidth="8.81640625" defaultRowHeight="14" x14ac:dyDescent="0.3"/>
  <cols>
    <col min="2" max="2" width="35" bestFit="1" customWidth="1"/>
    <col min="3" max="18" width="8.81640625" style="3"/>
    <col min="19" max="19" width="12.81640625" style="3" customWidth="1"/>
    <col min="20" max="20" width="8.81640625" style="3"/>
    <col min="21" max="21" width="35" style="3" bestFit="1" customWidth="1"/>
    <col min="22" max="22" width="11.453125" style="3" bestFit="1" customWidth="1"/>
    <col min="23" max="28" width="10.1796875" style="3" bestFit="1" customWidth="1"/>
    <col min="29" max="38" width="8.81640625" style="3"/>
  </cols>
  <sheetData>
    <row r="1" spans="1:40" ht="65.25" customHeight="1" x14ac:dyDescent="0.3">
      <c r="A1" s="486" t="s">
        <v>1062</v>
      </c>
      <c r="B1" s="486"/>
      <c r="C1" s="486"/>
      <c r="D1" s="486"/>
      <c r="E1" s="486"/>
      <c r="F1" s="486"/>
      <c r="G1" s="486"/>
      <c r="H1" s="486"/>
      <c r="I1" s="486"/>
      <c r="J1" s="486"/>
      <c r="K1" s="486"/>
      <c r="L1" s="486"/>
      <c r="M1" s="486"/>
      <c r="N1" s="486"/>
      <c r="O1" s="486"/>
      <c r="P1" s="486"/>
      <c r="Q1" s="486"/>
      <c r="R1" s="486"/>
      <c r="S1" s="486"/>
      <c r="T1" s="486"/>
      <c r="U1" s="486"/>
      <c r="V1" s="486"/>
      <c r="W1" s="486"/>
      <c r="X1" s="486"/>
      <c r="Y1" s="486"/>
      <c r="Z1" s="486"/>
      <c r="AA1" s="486"/>
      <c r="AB1" s="487"/>
      <c r="AC1" s="487"/>
      <c r="AD1" s="487"/>
      <c r="AE1" s="487"/>
      <c r="AF1" s="487"/>
      <c r="AG1" s="487"/>
      <c r="AH1" s="487"/>
      <c r="AI1" s="487"/>
      <c r="AJ1" s="487"/>
      <c r="AK1" s="487"/>
      <c r="AL1" s="487"/>
      <c r="AM1" s="487"/>
      <c r="AN1" s="256"/>
    </row>
    <row r="2" spans="1:40" ht="42.75" customHeight="1" x14ac:dyDescent="0.3">
      <c r="A2" s="491"/>
      <c r="B2" s="491"/>
      <c r="C2" s="491"/>
      <c r="D2" s="491"/>
      <c r="E2" s="491"/>
      <c r="F2" s="491"/>
      <c r="G2" s="491"/>
      <c r="H2" s="491"/>
      <c r="I2" s="491"/>
      <c r="J2" s="491"/>
      <c r="K2" s="491"/>
      <c r="L2" s="491"/>
      <c r="M2" s="491"/>
      <c r="N2" s="491"/>
      <c r="O2" s="491"/>
      <c r="P2" s="491"/>
      <c r="Q2" s="491"/>
      <c r="R2" s="491"/>
      <c r="S2" s="491"/>
      <c r="T2" s="491"/>
      <c r="U2" s="491"/>
      <c r="V2" s="491"/>
      <c r="W2" s="491"/>
      <c r="X2" s="491"/>
      <c r="Y2" s="491"/>
      <c r="Z2" s="491"/>
      <c r="AA2" s="491"/>
      <c r="AB2" s="491"/>
      <c r="AC2" s="491"/>
      <c r="AD2" s="491"/>
      <c r="AE2" s="491"/>
      <c r="AF2" s="491"/>
      <c r="AG2" s="491"/>
      <c r="AH2" s="491"/>
      <c r="AI2" s="491"/>
      <c r="AJ2" s="491"/>
      <c r="AK2" s="491"/>
      <c r="AL2" s="491"/>
      <c r="AM2" s="491"/>
      <c r="AN2" s="491"/>
    </row>
    <row r="3" spans="1:40" s="48" customFormat="1" ht="39.75" customHeight="1" x14ac:dyDescent="0.3">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35">
      <c r="C4" s="507" t="s">
        <v>1291</v>
      </c>
      <c r="D4" s="508"/>
      <c r="E4" s="508"/>
      <c r="F4" s="508"/>
      <c r="G4" s="508"/>
      <c r="H4" s="508"/>
      <c r="I4" s="508"/>
      <c r="J4" s="508"/>
      <c r="K4" s="508"/>
      <c r="L4" s="508"/>
      <c r="M4" s="508"/>
      <c r="N4" s="508"/>
      <c r="O4" s="508"/>
      <c r="P4" s="508"/>
      <c r="Q4" s="508"/>
      <c r="R4" s="508"/>
      <c r="S4" s="512"/>
      <c r="T4" s="1"/>
      <c r="U4" s="1"/>
      <c r="V4" s="507" t="s">
        <v>1063</v>
      </c>
      <c r="W4" s="508"/>
      <c r="X4" s="508"/>
      <c r="Y4" s="508"/>
      <c r="Z4" s="508"/>
      <c r="AA4" s="508"/>
      <c r="AB4" s="508"/>
      <c r="AC4" s="508"/>
      <c r="AD4" s="508"/>
      <c r="AE4" s="508"/>
      <c r="AF4" s="508"/>
      <c r="AG4" s="508"/>
      <c r="AH4" s="508"/>
      <c r="AI4" s="508"/>
      <c r="AJ4" s="508"/>
      <c r="AK4" s="508"/>
    </row>
    <row r="5" spans="1:40" x14ac:dyDescent="0.3">
      <c r="B5" s="139"/>
      <c r="C5" s="38" t="s">
        <v>846</v>
      </c>
      <c r="D5" s="38" t="s">
        <v>847</v>
      </c>
      <c r="E5" s="38" t="s">
        <v>848</v>
      </c>
      <c r="F5" s="38" t="s">
        <v>849</v>
      </c>
      <c r="G5" s="38" t="s">
        <v>850</v>
      </c>
      <c r="H5" s="38" t="s">
        <v>851</v>
      </c>
      <c r="I5" s="38" t="s">
        <v>852</v>
      </c>
      <c r="J5" s="38" t="s">
        <v>853</v>
      </c>
      <c r="K5" s="38" t="s">
        <v>854</v>
      </c>
      <c r="L5" s="38" t="s">
        <v>855</v>
      </c>
      <c r="M5" s="38" t="s">
        <v>856</v>
      </c>
      <c r="N5" s="38" t="s">
        <v>857</v>
      </c>
      <c r="O5" s="38" t="s">
        <v>858</v>
      </c>
      <c r="P5" s="38" t="s">
        <v>859</v>
      </c>
      <c r="Q5" s="38" t="s">
        <v>860</v>
      </c>
      <c r="R5" s="38" t="s">
        <v>861</v>
      </c>
      <c r="S5" s="39" t="s">
        <v>863</v>
      </c>
      <c r="T5" s="91"/>
      <c r="U5" s="231"/>
      <c r="V5" s="38" t="s">
        <v>846</v>
      </c>
      <c r="W5" s="38" t="s">
        <v>847</v>
      </c>
      <c r="X5" s="38" t="s">
        <v>848</v>
      </c>
      <c r="Y5" s="38" t="s">
        <v>849</v>
      </c>
      <c r="Z5" s="38" t="s">
        <v>850</v>
      </c>
      <c r="AA5" s="38" t="s">
        <v>851</v>
      </c>
      <c r="AB5" s="38" t="s">
        <v>852</v>
      </c>
      <c r="AC5" s="38" t="s">
        <v>853</v>
      </c>
      <c r="AD5" s="38" t="s">
        <v>854</v>
      </c>
      <c r="AE5" s="38" t="s">
        <v>855</v>
      </c>
      <c r="AF5" s="38" t="s">
        <v>856</v>
      </c>
      <c r="AG5" s="38" t="s">
        <v>857</v>
      </c>
      <c r="AH5" s="38" t="s">
        <v>858</v>
      </c>
      <c r="AI5" s="38" t="s">
        <v>859</v>
      </c>
      <c r="AJ5" s="38" t="s">
        <v>860</v>
      </c>
      <c r="AK5" s="38" t="s">
        <v>861</v>
      </c>
    </row>
    <row r="6" spans="1:40" x14ac:dyDescent="0.3">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3">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3">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3">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3">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3">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3">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3">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3">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3">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3">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3">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3">
      <c r="B18" s="110" t="s">
        <v>1064</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863</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35">
      <c r="C21" s="507" t="s">
        <v>1065</v>
      </c>
      <c r="D21" s="508"/>
      <c r="E21" s="508"/>
      <c r="F21" s="508"/>
      <c r="G21" s="508"/>
      <c r="H21" s="508"/>
      <c r="I21" s="508"/>
      <c r="J21" s="508"/>
      <c r="K21" s="508"/>
      <c r="L21" s="508"/>
      <c r="M21" s="508"/>
      <c r="N21" s="508"/>
      <c r="O21" s="508"/>
      <c r="P21" s="508"/>
      <c r="Q21" s="508"/>
      <c r="R21" s="508"/>
      <c r="S21" s="512"/>
      <c r="T21" s="1"/>
      <c r="U21" s="1"/>
      <c r="V21" s="507" t="s">
        <v>1066</v>
      </c>
      <c r="W21" s="508"/>
      <c r="X21" s="508"/>
      <c r="Y21" s="508"/>
      <c r="Z21" s="508"/>
      <c r="AA21" s="508"/>
      <c r="AB21" s="508"/>
      <c r="AC21" s="508"/>
      <c r="AD21" s="508"/>
      <c r="AE21" s="508"/>
      <c r="AF21" s="508"/>
      <c r="AG21" s="508"/>
      <c r="AH21" s="508"/>
      <c r="AI21" s="508"/>
      <c r="AJ21" s="508"/>
      <c r="AK21" s="508"/>
    </row>
    <row r="22" spans="2:37" x14ac:dyDescent="0.3">
      <c r="B22" s="140"/>
      <c r="C22" s="38" t="s">
        <v>846</v>
      </c>
      <c r="D22" s="38" t="s">
        <v>847</v>
      </c>
      <c r="E22" s="38" t="s">
        <v>848</v>
      </c>
      <c r="F22" s="38" t="s">
        <v>849</v>
      </c>
      <c r="G22" s="38" t="s">
        <v>850</v>
      </c>
      <c r="H22" s="38" t="s">
        <v>851</v>
      </c>
      <c r="I22" s="38" t="s">
        <v>852</v>
      </c>
      <c r="J22" s="38" t="s">
        <v>853</v>
      </c>
      <c r="K22" s="38" t="s">
        <v>854</v>
      </c>
      <c r="L22" s="38" t="s">
        <v>855</v>
      </c>
      <c r="M22" s="38" t="s">
        <v>856</v>
      </c>
      <c r="N22" s="38" t="s">
        <v>857</v>
      </c>
      <c r="O22" s="38" t="s">
        <v>858</v>
      </c>
      <c r="P22" s="38" t="s">
        <v>859</v>
      </c>
      <c r="Q22" s="38" t="s">
        <v>860</v>
      </c>
      <c r="R22" s="38" t="s">
        <v>861</v>
      </c>
      <c r="S22" s="39" t="s">
        <v>863</v>
      </c>
      <c r="U22" s="232"/>
      <c r="V22" s="38" t="s">
        <v>846</v>
      </c>
      <c r="W22" s="38" t="s">
        <v>847</v>
      </c>
      <c r="X22" s="38" t="s">
        <v>848</v>
      </c>
      <c r="Y22" s="38" t="s">
        <v>849</v>
      </c>
      <c r="Z22" s="38" t="s">
        <v>850</v>
      </c>
      <c r="AA22" s="38" t="s">
        <v>851</v>
      </c>
      <c r="AB22" s="38" t="s">
        <v>852</v>
      </c>
      <c r="AC22" s="38" t="s">
        <v>853</v>
      </c>
      <c r="AD22" s="38" t="s">
        <v>854</v>
      </c>
      <c r="AE22" s="38" t="s">
        <v>855</v>
      </c>
      <c r="AF22" s="38" t="s">
        <v>856</v>
      </c>
      <c r="AG22" s="38" t="s">
        <v>857</v>
      </c>
      <c r="AH22" s="38" t="s">
        <v>858</v>
      </c>
      <c r="AI22" s="38" t="s">
        <v>859</v>
      </c>
      <c r="AJ22" s="38" t="s">
        <v>860</v>
      </c>
      <c r="AK22" s="38" t="s">
        <v>861</v>
      </c>
    </row>
    <row r="23" spans="2:37" x14ac:dyDescent="0.3">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3">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3">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3">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3">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3">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3">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3">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3">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3">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3">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3">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3">
      <c r="B35" s="110" t="s">
        <v>1064</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1064</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4">
      <c r="C38" s="509" t="s">
        <v>1067</v>
      </c>
      <c r="D38" s="510"/>
      <c r="E38" s="510"/>
      <c r="F38" s="510"/>
      <c r="G38" s="510"/>
      <c r="H38" s="510"/>
      <c r="I38" s="510"/>
      <c r="J38" s="510"/>
      <c r="K38" s="510"/>
      <c r="L38" s="510"/>
      <c r="M38" s="510"/>
      <c r="N38" s="510"/>
      <c r="O38" s="510"/>
      <c r="P38" s="510"/>
      <c r="Q38" s="510"/>
      <c r="R38" s="510"/>
      <c r="S38" s="511"/>
      <c r="T38" s="1"/>
      <c r="U38" s="1"/>
      <c r="V38" s="509" t="s">
        <v>1068</v>
      </c>
      <c r="W38" s="510"/>
      <c r="X38" s="510"/>
      <c r="Y38" s="510"/>
      <c r="Z38" s="510"/>
      <c r="AA38" s="510"/>
      <c r="AB38" s="510"/>
      <c r="AC38" s="510"/>
      <c r="AD38" s="510"/>
      <c r="AE38" s="510"/>
      <c r="AF38" s="510"/>
      <c r="AG38" s="510"/>
      <c r="AH38" s="510"/>
      <c r="AI38" s="510"/>
      <c r="AJ38" s="510"/>
      <c r="AK38" s="510"/>
    </row>
    <row r="39" spans="2:37" ht="18.75" customHeight="1" x14ac:dyDescent="0.3">
      <c r="B39" s="139"/>
      <c r="C39" s="38" t="s">
        <v>846</v>
      </c>
      <c r="D39" s="38" t="s">
        <v>847</v>
      </c>
      <c r="E39" s="38" t="s">
        <v>848</v>
      </c>
      <c r="F39" s="38" t="s">
        <v>849</v>
      </c>
      <c r="G39" s="38" t="s">
        <v>850</v>
      </c>
      <c r="H39" s="38" t="s">
        <v>851</v>
      </c>
      <c r="I39" s="38" t="s">
        <v>852</v>
      </c>
      <c r="J39" s="38" t="s">
        <v>853</v>
      </c>
      <c r="K39" s="38" t="s">
        <v>854</v>
      </c>
      <c r="L39" s="38" t="s">
        <v>855</v>
      </c>
      <c r="M39" s="38" t="s">
        <v>856</v>
      </c>
      <c r="N39" s="38" t="s">
        <v>857</v>
      </c>
      <c r="O39" s="38" t="s">
        <v>858</v>
      </c>
      <c r="P39" s="38" t="s">
        <v>859</v>
      </c>
      <c r="Q39" s="38" t="s">
        <v>860</v>
      </c>
      <c r="R39" s="38" t="s">
        <v>861</v>
      </c>
      <c r="S39" s="39" t="s">
        <v>863</v>
      </c>
      <c r="T39" s="91"/>
      <c r="U39" s="231"/>
      <c r="V39" s="38" t="s">
        <v>846</v>
      </c>
      <c r="W39" s="38" t="s">
        <v>847</v>
      </c>
      <c r="X39" s="38" t="s">
        <v>848</v>
      </c>
      <c r="Y39" s="38" t="s">
        <v>849</v>
      </c>
      <c r="Z39" s="38" t="s">
        <v>850</v>
      </c>
      <c r="AA39" s="38" t="s">
        <v>851</v>
      </c>
      <c r="AB39" s="38" t="s">
        <v>852</v>
      </c>
      <c r="AC39" s="38" t="s">
        <v>853</v>
      </c>
      <c r="AD39" s="38" t="s">
        <v>854</v>
      </c>
      <c r="AE39" s="38" t="s">
        <v>855</v>
      </c>
      <c r="AF39" s="38" t="s">
        <v>856</v>
      </c>
      <c r="AG39" s="38" t="s">
        <v>857</v>
      </c>
      <c r="AH39" s="38" t="s">
        <v>858</v>
      </c>
      <c r="AI39" s="38" t="s">
        <v>859</v>
      </c>
      <c r="AJ39" s="38" t="s">
        <v>860</v>
      </c>
      <c r="AK39" s="38" t="s">
        <v>861</v>
      </c>
    </row>
    <row r="40" spans="2:37" x14ac:dyDescent="0.3">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3">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3">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3">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3">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3">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3">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3">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3">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1069</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3">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3">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3">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3">
      <c r="B52" s="110" t="s">
        <v>1064</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1064</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4">
      <c r="C54" s="509" t="s">
        <v>1070</v>
      </c>
      <c r="D54" s="510"/>
      <c r="E54" s="510"/>
      <c r="F54" s="510"/>
      <c r="G54" s="510"/>
      <c r="H54" s="510"/>
      <c r="I54" s="510"/>
      <c r="J54" s="510"/>
      <c r="K54" s="510"/>
      <c r="L54" s="510"/>
      <c r="M54" s="510"/>
      <c r="N54" s="510"/>
      <c r="O54" s="510"/>
      <c r="P54" s="510"/>
      <c r="Q54" s="510"/>
      <c r="R54" s="510"/>
      <c r="S54" s="511"/>
      <c r="V54" s="509" t="s">
        <v>1071</v>
      </c>
      <c r="W54" s="510"/>
      <c r="X54" s="510"/>
      <c r="Y54" s="510"/>
      <c r="Z54" s="510"/>
      <c r="AA54" s="510"/>
      <c r="AB54" s="510"/>
      <c r="AC54" s="510"/>
      <c r="AD54" s="510"/>
      <c r="AE54" s="510"/>
      <c r="AF54" s="510"/>
      <c r="AG54" s="510"/>
      <c r="AH54" s="510"/>
      <c r="AI54" s="510"/>
      <c r="AJ54" s="510"/>
      <c r="AK54" s="510"/>
    </row>
    <row r="55" spans="2:37" ht="15.75" customHeight="1" x14ac:dyDescent="0.3">
      <c r="B55" s="139"/>
      <c r="C55" s="38" t="s">
        <v>846</v>
      </c>
      <c r="D55" s="38" t="s">
        <v>847</v>
      </c>
      <c r="E55" s="38" t="s">
        <v>848</v>
      </c>
      <c r="F55" s="38" t="s">
        <v>849</v>
      </c>
      <c r="G55" s="38" t="s">
        <v>850</v>
      </c>
      <c r="H55" s="38" t="s">
        <v>851</v>
      </c>
      <c r="I55" s="38" t="s">
        <v>852</v>
      </c>
      <c r="J55" s="38" t="s">
        <v>853</v>
      </c>
      <c r="K55" s="38" t="s">
        <v>854</v>
      </c>
      <c r="L55" s="38" t="s">
        <v>855</v>
      </c>
      <c r="M55" s="38" t="s">
        <v>856</v>
      </c>
      <c r="N55" s="38" t="s">
        <v>857</v>
      </c>
      <c r="O55" s="38" t="s">
        <v>858</v>
      </c>
      <c r="P55" s="38" t="s">
        <v>859</v>
      </c>
      <c r="Q55" s="38" t="s">
        <v>860</v>
      </c>
      <c r="R55" s="38" t="s">
        <v>861</v>
      </c>
      <c r="S55" s="39" t="s">
        <v>863</v>
      </c>
      <c r="T55" s="91"/>
      <c r="U55" s="231"/>
      <c r="V55" s="38" t="s">
        <v>846</v>
      </c>
      <c r="W55" s="38" t="s">
        <v>847</v>
      </c>
      <c r="X55" s="38" t="s">
        <v>848</v>
      </c>
      <c r="Y55" s="38" t="s">
        <v>849</v>
      </c>
      <c r="Z55" s="38" t="s">
        <v>850</v>
      </c>
      <c r="AA55" s="38" t="s">
        <v>851</v>
      </c>
      <c r="AB55" s="38" t="s">
        <v>852</v>
      </c>
      <c r="AC55" s="38" t="s">
        <v>853</v>
      </c>
      <c r="AD55" s="38" t="s">
        <v>854</v>
      </c>
      <c r="AE55" s="38" t="s">
        <v>855</v>
      </c>
      <c r="AF55" s="38" t="s">
        <v>856</v>
      </c>
      <c r="AG55" s="38" t="s">
        <v>857</v>
      </c>
      <c r="AH55" s="38" t="s">
        <v>858</v>
      </c>
      <c r="AI55" s="38" t="s">
        <v>859</v>
      </c>
      <c r="AJ55" s="38" t="s">
        <v>860</v>
      </c>
      <c r="AK55" s="38" t="s">
        <v>861</v>
      </c>
    </row>
    <row r="56" spans="2:37" x14ac:dyDescent="0.3">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3">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3">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3">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3">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3">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3">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3">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3">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3">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3">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3">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3">
      <c r="B68" s="110" t="s">
        <v>1064</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1064</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C54:S54"/>
    <mergeCell ref="V38:AK38"/>
    <mergeCell ref="V54:AK54"/>
    <mergeCell ref="A2:AN2"/>
    <mergeCell ref="C4:S4"/>
    <mergeCell ref="C21:S21"/>
    <mergeCell ref="AA1:AM1"/>
    <mergeCell ref="A1:Z1"/>
    <mergeCell ref="V4:AK4"/>
    <mergeCell ref="V21:AK21"/>
    <mergeCell ref="C38:S38"/>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topLeftCell="A16" zoomScale="85" zoomScaleNormal="85" workbookViewId="0">
      <selection activeCell="B5" sqref="B5"/>
    </sheetView>
  </sheetViews>
  <sheetFormatPr defaultColWidth="8.81640625" defaultRowHeight="14" x14ac:dyDescent="0.3"/>
  <cols>
    <col min="1" max="1" width="2.453125" customWidth="1"/>
    <col min="2" max="2" width="36.1796875" customWidth="1"/>
    <col min="20" max="20" width="33" customWidth="1"/>
  </cols>
  <sheetData>
    <row r="1" spans="1:41" ht="63" customHeight="1" x14ac:dyDescent="0.3">
      <c r="A1" s="486" t="s">
        <v>1072</v>
      </c>
      <c r="B1" s="486"/>
      <c r="C1" s="486"/>
      <c r="D1" s="486"/>
      <c r="E1" s="486"/>
      <c r="F1" s="486"/>
      <c r="G1" s="486"/>
      <c r="H1" s="486"/>
      <c r="I1" s="486"/>
      <c r="J1" s="486"/>
      <c r="K1" s="486"/>
      <c r="L1" s="486"/>
      <c r="M1" s="486"/>
      <c r="N1" s="486"/>
      <c r="O1" s="486"/>
      <c r="P1" s="486"/>
      <c r="Q1" s="486"/>
      <c r="R1" s="486"/>
      <c r="S1" s="486"/>
      <c r="T1" s="486"/>
      <c r="U1" s="486"/>
      <c r="V1" s="486"/>
      <c r="W1" s="486"/>
      <c r="X1" s="486"/>
      <c r="Y1" s="486"/>
      <c r="Z1" s="486"/>
      <c r="AA1" s="486"/>
      <c r="AB1" s="486"/>
      <c r="AC1" s="486"/>
      <c r="AD1" s="486"/>
      <c r="AE1" s="486"/>
      <c r="AF1" s="486"/>
      <c r="AG1" s="486"/>
      <c r="AH1" s="486"/>
      <c r="AI1" s="486"/>
      <c r="AJ1" s="486"/>
      <c r="AK1" s="486"/>
      <c r="AL1" s="486"/>
      <c r="AM1" s="486"/>
      <c r="AN1" s="486"/>
      <c r="AO1" s="486"/>
    </row>
    <row r="2" spans="1:41" ht="56.25" customHeight="1" x14ac:dyDescent="0.3">
      <c r="A2" s="528"/>
      <c r="B2" s="528"/>
      <c r="C2" s="528"/>
      <c r="D2" s="528"/>
      <c r="E2" s="528"/>
      <c r="F2" s="528"/>
      <c r="G2" s="528"/>
      <c r="H2" s="528"/>
      <c r="I2" s="528"/>
      <c r="J2" s="528"/>
      <c r="K2" s="528"/>
      <c r="L2" s="528"/>
      <c r="M2" s="528"/>
      <c r="N2" s="528"/>
      <c r="O2" s="528"/>
      <c r="P2" s="528"/>
      <c r="Q2" s="528"/>
      <c r="R2" s="528"/>
      <c r="S2" s="528"/>
      <c r="T2" s="528"/>
      <c r="U2" s="528"/>
      <c r="V2" s="528"/>
      <c r="W2" s="528"/>
      <c r="X2" s="528"/>
      <c r="Y2" s="528"/>
      <c r="Z2" s="528"/>
      <c r="AA2" s="528"/>
      <c r="AB2" s="528"/>
      <c r="AC2" s="528"/>
      <c r="AD2" s="528"/>
      <c r="AE2" s="528"/>
      <c r="AF2" s="528"/>
      <c r="AG2" s="528"/>
      <c r="AH2" s="528"/>
      <c r="AI2" s="528"/>
      <c r="AJ2" s="528"/>
      <c r="AK2" s="528"/>
      <c r="AL2" s="528"/>
      <c r="AM2" s="528"/>
      <c r="AN2" s="528"/>
      <c r="AO2" s="528"/>
    </row>
    <row r="3" spans="1:41" s="48" customFormat="1" ht="15.5" x14ac:dyDescent="0.3">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6" x14ac:dyDescent="0.3">
      <c r="B4" s="143" t="s">
        <v>917</v>
      </c>
    </row>
    <row r="5" spans="1:41" ht="25.5" customHeight="1" x14ac:dyDescent="0.3">
      <c r="B5" s="242" t="s">
        <v>22</v>
      </c>
      <c r="P5" s="40"/>
      <c r="Q5" s="40"/>
    </row>
    <row r="6" spans="1:41" x14ac:dyDescent="0.3">
      <c r="B6" s="46"/>
    </row>
    <row r="8" spans="1:41" ht="28.5" customHeight="1" x14ac:dyDescent="0.3">
      <c r="B8" s="289" t="str">
        <f>HLOOKUP($B$5,Region_Table,2,0)</f>
        <v>Corporate Services - N54</v>
      </c>
      <c r="C8" s="521" t="s">
        <v>1073</v>
      </c>
      <c r="D8" s="522"/>
      <c r="E8" s="522"/>
      <c r="F8" s="522"/>
      <c r="G8" s="522"/>
      <c r="H8" s="522"/>
      <c r="I8" s="522"/>
      <c r="J8" s="522"/>
      <c r="K8" s="522"/>
      <c r="L8" s="522"/>
      <c r="M8" s="526"/>
      <c r="N8" s="526"/>
      <c r="O8" s="527"/>
      <c r="P8" s="516">
        <f>SUMIF('caseload data'!C:C,'divisional &amp; regional caseload'!B8,'caseload data'!V:V)</f>
        <v>0</v>
      </c>
      <c r="Q8" s="517"/>
      <c r="R8" s="518"/>
      <c r="S8" s="91"/>
      <c r="T8" s="289" t="str">
        <f>HLOOKUP($B$5,Region_Table,3,0)</f>
        <v>County Durham and Darlington</v>
      </c>
      <c r="U8" s="521" t="s">
        <v>1073</v>
      </c>
      <c r="V8" s="522"/>
      <c r="W8" s="522"/>
      <c r="X8" s="522"/>
      <c r="Y8" s="522"/>
      <c r="Z8" s="522"/>
      <c r="AA8" s="522"/>
      <c r="AB8" s="522"/>
      <c r="AC8" s="522"/>
      <c r="AD8" s="522"/>
      <c r="AE8" s="522"/>
      <c r="AF8" s="522"/>
      <c r="AG8" s="523"/>
      <c r="AH8" s="516">
        <f>SUMIF('caseload data'!C:C,'divisional &amp; regional caseload'!T8,'caseload data'!V:V)</f>
        <v>0</v>
      </c>
      <c r="AI8" s="519"/>
      <c r="AJ8" s="520"/>
    </row>
    <row r="9" spans="1:41" x14ac:dyDescent="0.3">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91"/>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41" x14ac:dyDescent="0.3">
      <c r="B10" s="96" t="s">
        <v>979</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979</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3">
      <c r="B11" s="97" t="s">
        <v>984</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984</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3">
      <c r="B12" s="97" t="s">
        <v>985</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985</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3">
      <c r="B13" s="98" t="s">
        <v>986</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986</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3">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3">
      <c r="B15" s="289" t="str">
        <f>HLOOKUP($B$5,Region_Table,4,0)</f>
        <v>Gateshead and South Tyneside</v>
      </c>
      <c r="C15" s="521" t="s">
        <v>1073</v>
      </c>
      <c r="D15" s="522"/>
      <c r="E15" s="522"/>
      <c r="F15" s="522"/>
      <c r="G15" s="522"/>
      <c r="H15" s="522"/>
      <c r="I15" s="522"/>
      <c r="J15" s="522"/>
      <c r="K15" s="522"/>
      <c r="L15" s="522"/>
      <c r="M15" s="526"/>
      <c r="N15" s="526"/>
      <c r="O15" s="527"/>
      <c r="P15" s="516">
        <f>SUMIF('caseload data'!$C:$C,'divisional &amp; regional caseload'!B15,'caseload data'!V:V)</f>
        <v>0</v>
      </c>
      <c r="Q15" s="517"/>
      <c r="R15" s="518"/>
      <c r="S15" s="91"/>
      <c r="T15" s="289" t="str">
        <f>HLOOKUP($B$5,Region_Table,5,0)</f>
        <v>Inactive Level 2(N54)</v>
      </c>
      <c r="U15" s="521" t="s">
        <v>1073</v>
      </c>
      <c r="V15" s="522"/>
      <c r="W15" s="522"/>
      <c r="X15" s="522"/>
      <c r="Y15" s="522"/>
      <c r="Z15" s="522"/>
      <c r="AA15" s="522"/>
      <c r="AB15" s="522"/>
      <c r="AC15" s="522"/>
      <c r="AD15" s="522"/>
      <c r="AE15" s="522"/>
      <c r="AF15" s="522"/>
      <c r="AG15" s="523"/>
      <c r="AH15" s="516">
        <f>SUMIF('caseload data'!$C:$C,'divisional &amp; regional caseload'!T15,'caseload data'!V:V)</f>
        <v>0</v>
      </c>
      <c r="AI15" s="517"/>
      <c r="AJ15" s="518"/>
    </row>
    <row r="16" spans="1:41" x14ac:dyDescent="0.3">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91"/>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3">
      <c r="B17" s="96" t="s">
        <v>979</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979</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3">
      <c r="B18" s="97" t="s">
        <v>984</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984</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3">
      <c r="B19" s="97" t="s">
        <v>985</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985</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3">
      <c r="B20" s="98" t="s">
        <v>986</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986</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3">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3">
      <c r="B22" s="289" t="str">
        <f>HLOOKUP($B$5,Region_Table,6,0)</f>
        <v>Newcastle Upon Tyne - N54</v>
      </c>
      <c r="C22" s="521" t="s">
        <v>1073</v>
      </c>
      <c r="D22" s="522"/>
      <c r="E22" s="522"/>
      <c r="F22" s="522"/>
      <c r="G22" s="522"/>
      <c r="H22" s="522"/>
      <c r="I22" s="522"/>
      <c r="J22" s="522"/>
      <c r="K22" s="522"/>
      <c r="L22" s="522"/>
      <c r="M22" s="526"/>
      <c r="N22" s="526"/>
      <c r="O22" s="527"/>
      <c r="P22" s="516">
        <f>SUMIF('caseload data'!$C:$C,'divisional &amp; regional caseload'!B22,'caseload data'!V:V)</f>
        <v>0</v>
      </c>
      <c r="Q22" s="517"/>
      <c r="R22" s="518"/>
      <c r="S22" s="91"/>
      <c r="T22" s="289" t="str">
        <f>HLOOKUP($B$5,Region_Table,7,0)</f>
        <v>North Tyneside and Northumberland</v>
      </c>
      <c r="U22" s="521" t="s">
        <v>1073</v>
      </c>
      <c r="V22" s="522"/>
      <c r="W22" s="522"/>
      <c r="X22" s="522"/>
      <c r="Y22" s="522"/>
      <c r="Z22" s="522"/>
      <c r="AA22" s="522"/>
      <c r="AB22" s="522"/>
      <c r="AC22" s="522"/>
      <c r="AD22" s="522"/>
      <c r="AE22" s="522"/>
      <c r="AF22" s="522"/>
      <c r="AG22" s="523"/>
      <c r="AH22" s="516">
        <f>SUMIF('caseload data'!$C:$C,'divisional &amp; regional caseload'!T22,'caseload data'!V:V)</f>
        <v>0</v>
      </c>
      <c r="AI22" s="517"/>
      <c r="AJ22" s="518"/>
    </row>
    <row r="23" spans="2:36" x14ac:dyDescent="0.3">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91"/>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3">
      <c r="B24" s="96" t="s">
        <v>979</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979</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3">
      <c r="B25" s="97" t="s">
        <v>984</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984</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3">
      <c r="B26" s="97" t="s">
        <v>985</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985</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3">
      <c r="B27" s="98" t="s">
        <v>986</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986</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3">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3">
      <c r="B29" s="289" t="str">
        <f>HLOOKUP($B$5,Region_Table,8,0)</f>
        <v>Redcar, Cleveland and Middlesbrough</v>
      </c>
      <c r="C29" s="521" t="s">
        <v>1073</v>
      </c>
      <c r="D29" s="522"/>
      <c r="E29" s="522"/>
      <c r="F29" s="522"/>
      <c r="G29" s="522"/>
      <c r="H29" s="522"/>
      <c r="I29" s="522"/>
      <c r="J29" s="522"/>
      <c r="K29" s="522"/>
      <c r="L29" s="522"/>
      <c r="M29" s="526"/>
      <c r="N29" s="526"/>
      <c r="O29" s="527"/>
      <c r="P29" s="516">
        <f>SUMIF('caseload data'!$C:$C,'divisional &amp; regional caseload'!B29,'caseload data'!V:V)</f>
        <v>0</v>
      </c>
      <c r="Q29" s="517"/>
      <c r="R29" s="518"/>
      <c r="S29" s="91"/>
      <c r="T29" s="289" t="str">
        <f>HLOOKUP($B$5,Region_Table,9,0)</f>
        <v>Stockton and Hartlepool</v>
      </c>
      <c r="U29" s="521" t="s">
        <v>1073</v>
      </c>
      <c r="V29" s="522"/>
      <c r="W29" s="522"/>
      <c r="X29" s="522"/>
      <c r="Y29" s="522"/>
      <c r="Z29" s="522"/>
      <c r="AA29" s="522"/>
      <c r="AB29" s="522"/>
      <c r="AC29" s="522"/>
      <c r="AD29" s="522"/>
      <c r="AE29" s="522"/>
      <c r="AF29" s="522"/>
      <c r="AG29" s="523"/>
      <c r="AH29" s="516">
        <f>SUMIF('caseload data'!$C:$C,'divisional &amp; regional caseload'!T29,'caseload data'!V:V)</f>
        <v>0</v>
      </c>
      <c r="AI29" s="517"/>
      <c r="AJ29" s="518"/>
    </row>
    <row r="30" spans="2:36" x14ac:dyDescent="0.3">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91"/>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3">
      <c r="B31" s="96" t="s">
        <v>979</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979</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3">
      <c r="B32" s="97" t="s">
        <v>984</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984</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3">
      <c r="B33" s="97" t="s">
        <v>985</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985</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3">
      <c r="B34" s="98" t="s">
        <v>986</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986</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3">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3">
      <c r="B36" s="289" t="str">
        <f>HLOOKUP($B$5,Region_Table,10,0)</f>
        <v>Sunderland - N54</v>
      </c>
      <c r="C36" s="521" t="s">
        <v>1074</v>
      </c>
      <c r="D36" s="522"/>
      <c r="E36" s="522"/>
      <c r="F36" s="522"/>
      <c r="G36" s="522"/>
      <c r="H36" s="522"/>
      <c r="I36" s="522"/>
      <c r="J36" s="522"/>
      <c r="K36" s="522"/>
      <c r="L36" s="522"/>
      <c r="M36" s="526"/>
      <c r="N36" s="526"/>
      <c r="O36" s="527"/>
      <c r="P36" s="516">
        <f>SUMIF('caseload data'!$C:$C,'divisional &amp; regional caseload'!B36,'caseload data'!V:V)</f>
        <v>0</v>
      </c>
      <c r="Q36" s="517"/>
      <c r="R36" s="518"/>
      <c r="S36" s="91"/>
      <c r="T36" s="289" t="str">
        <f>HLOOKUP($B$5,Region_Table,11,0)</f>
        <v>Unallocated Level(N54)</v>
      </c>
      <c r="U36" s="521" t="s">
        <v>1073</v>
      </c>
      <c r="V36" s="522"/>
      <c r="W36" s="522"/>
      <c r="X36" s="522"/>
      <c r="Y36" s="522"/>
      <c r="Z36" s="522"/>
      <c r="AA36" s="522"/>
      <c r="AB36" s="522"/>
      <c r="AC36" s="522"/>
      <c r="AD36" s="522"/>
      <c r="AE36" s="522"/>
      <c r="AF36" s="522"/>
      <c r="AG36" s="523"/>
      <c r="AH36" s="516">
        <f>SUMIF('caseload data'!$C:$C,'divisional &amp; regional caseload'!T36,'caseload data'!V:V)</f>
        <v>0</v>
      </c>
      <c r="AI36" s="517"/>
      <c r="AJ36" s="518"/>
    </row>
    <row r="37" spans="2:36" x14ac:dyDescent="0.3">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91"/>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3">
      <c r="B38" s="96" t="s">
        <v>979</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979</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3">
      <c r="B39" s="97" t="s">
        <v>984</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984</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3">
      <c r="B40" s="97" t="s">
        <v>985</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985</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3">
      <c r="B41" s="98" t="s">
        <v>986</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986</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3">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3">
      <c r="B43" s="289" t="str">
        <f>HLOOKUP($B$5,Region_Table,12,0)</f>
        <v>Unpaid Work and Attendance Centres - N54</v>
      </c>
      <c r="C43" s="521" t="s">
        <v>1075</v>
      </c>
      <c r="D43" s="522"/>
      <c r="E43" s="522"/>
      <c r="F43" s="522"/>
      <c r="G43" s="522"/>
      <c r="H43" s="522"/>
      <c r="I43" s="522"/>
      <c r="J43" s="522"/>
      <c r="K43" s="522"/>
      <c r="L43" s="522"/>
      <c r="M43" s="526"/>
      <c r="N43" s="526"/>
      <c r="O43" s="527"/>
      <c r="P43" s="516">
        <f>SUMIF('caseload data'!$C:$C,'divisional &amp; regional caseload'!B43,'caseload data'!V:V)</f>
        <v>0</v>
      </c>
      <c r="Q43" s="517"/>
      <c r="R43" s="518"/>
      <c r="S43" s="91"/>
      <c r="T43" s="289">
        <f>HLOOKUP($B$5,Region_Table,13,0)</f>
        <v>0</v>
      </c>
      <c r="U43" s="521" t="s">
        <v>1073</v>
      </c>
      <c r="V43" s="522"/>
      <c r="W43" s="522"/>
      <c r="X43" s="522"/>
      <c r="Y43" s="522"/>
      <c r="Z43" s="522"/>
      <c r="AA43" s="522"/>
      <c r="AB43" s="522"/>
      <c r="AC43" s="522"/>
      <c r="AD43" s="522"/>
      <c r="AE43" s="522"/>
      <c r="AF43" s="522"/>
      <c r="AG43" s="523"/>
      <c r="AH43" s="516">
        <f>SUMIF('caseload data'!$C:$C,'divisional &amp; regional caseload'!T43,'caseload data'!V:V)</f>
        <v>0</v>
      </c>
      <c r="AI43" s="517"/>
      <c r="AJ43" s="518"/>
    </row>
    <row r="44" spans="2:36" x14ac:dyDescent="0.3">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91"/>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3">
      <c r="B45" s="96" t="s">
        <v>979</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979</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3">
      <c r="B46" s="97" t="s">
        <v>984</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984</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3">
      <c r="B47" s="97" t="s">
        <v>985</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985</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3">
      <c r="B48" s="98" t="s">
        <v>986</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986</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3">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3">
      <c r="B50" s="289">
        <f>HLOOKUP($B$5,Region_Table,14,0)</f>
        <v>0</v>
      </c>
      <c r="C50" s="521" t="s">
        <v>1073</v>
      </c>
      <c r="D50" s="522"/>
      <c r="E50" s="522"/>
      <c r="F50" s="522"/>
      <c r="G50" s="522"/>
      <c r="H50" s="522"/>
      <c r="I50" s="522"/>
      <c r="J50" s="522"/>
      <c r="K50" s="522"/>
      <c r="L50" s="522"/>
      <c r="M50" s="526"/>
      <c r="N50" s="526"/>
      <c r="O50" s="527"/>
      <c r="P50" s="516">
        <f>SUMIF('caseload data'!$C:$C,'divisional &amp; regional caseload'!B50,'caseload data'!V:V)</f>
        <v>0</v>
      </c>
      <c r="Q50" s="517"/>
      <c r="R50" s="518"/>
      <c r="S50" s="91"/>
      <c r="T50" s="289">
        <f>HLOOKUP($B$5,Region_Table,15,0)</f>
        <v>0</v>
      </c>
      <c r="U50" s="521" t="s">
        <v>1073</v>
      </c>
      <c r="V50" s="522"/>
      <c r="W50" s="522"/>
      <c r="X50" s="522"/>
      <c r="Y50" s="522"/>
      <c r="Z50" s="522"/>
      <c r="AA50" s="522"/>
      <c r="AB50" s="522"/>
      <c r="AC50" s="522"/>
      <c r="AD50" s="522"/>
      <c r="AE50" s="522"/>
      <c r="AF50" s="522"/>
      <c r="AG50" s="523"/>
      <c r="AH50" s="516">
        <f>SUMIF('caseload data'!$C:$C,'divisional &amp; regional caseload'!T50,'caseload data'!V:V)</f>
        <v>0</v>
      </c>
      <c r="AI50" s="517"/>
      <c r="AJ50" s="518"/>
    </row>
    <row r="51" spans="2:36" x14ac:dyDescent="0.3">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91"/>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3">
      <c r="B52" s="96" t="s">
        <v>979</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979</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3">
      <c r="B53" s="97" t="s">
        <v>984</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984</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3">
      <c r="B54" s="97" t="s">
        <v>985</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985</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3">
      <c r="B55" s="98" t="s">
        <v>986</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986</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3">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3">
      <c r="B57" s="289">
        <f>HLOOKUP($B$5,Region_Table,16,0)</f>
        <v>0</v>
      </c>
      <c r="C57" s="521" t="s">
        <v>1073</v>
      </c>
      <c r="D57" s="522"/>
      <c r="E57" s="522"/>
      <c r="F57" s="522"/>
      <c r="G57" s="522"/>
      <c r="H57" s="522"/>
      <c r="I57" s="522"/>
      <c r="J57" s="522"/>
      <c r="K57" s="522"/>
      <c r="L57" s="522"/>
      <c r="M57" s="526"/>
      <c r="N57" s="526"/>
      <c r="O57" s="527"/>
      <c r="P57" s="516">
        <f>SUMIF('caseload data'!$C:$C,'divisional &amp; regional caseload'!B57,'caseload data'!V:V)</f>
        <v>0</v>
      </c>
      <c r="Q57" s="517"/>
      <c r="R57" s="518"/>
      <c r="S57" s="91"/>
      <c r="T57" s="289">
        <f>HLOOKUP($B$5,Region_Table,17,0)</f>
        <v>0</v>
      </c>
      <c r="U57" s="521" t="s">
        <v>1073</v>
      </c>
      <c r="V57" s="522"/>
      <c r="W57" s="522"/>
      <c r="X57" s="522"/>
      <c r="Y57" s="522"/>
      <c r="Z57" s="522"/>
      <c r="AA57" s="522"/>
      <c r="AB57" s="522"/>
      <c r="AC57" s="522"/>
      <c r="AD57" s="522"/>
      <c r="AE57" s="522"/>
      <c r="AF57" s="522"/>
      <c r="AG57" s="523"/>
      <c r="AH57" s="516">
        <f>SUMIF('caseload data'!$C:$C,'divisional &amp; regional caseload'!T57,'caseload data'!V:V)</f>
        <v>0</v>
      </c>
      <c r="AI57" s="517"/>
      <c r="AJ57" s="518"/>
    </row>
    <row r="58" spans="2:36" x14ac:dyDescent="0.3">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91"/>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3">
      <c r="B59" s="96" t="s">
        <v>979</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979</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3">
      <c r="B60" s="97" t="s">
        <v>984</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984</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3">
      <c r="B61" s="97" t="s">
        <v>985</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985</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3">
      <c r="B62" s="98" t="s">
        <v>986</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986</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3">
      <c r="B64" s="289">
        <f>HLOOKUP($B$5,Region_Table,18,0)</f>
        <v>0</v>
      </c>
      <c r="C64" s="513" t="s">
        <v>1073</v>
      </c>
      <c r="D64" s="514"/>
      <c r="E64" s="514"/>
      <c r="F64" s="514"/>
      <c r="G64" s="514"/>
      <c r="H64" s="514"/>
      <c r="I64" s="514"/>
      <c r="J64" s="514"/>
      <c r="K64" s="514"/>
      <c r="L64" s="514"/>
      <c r="M64" s="524"/>
      <c r="N64" s="524"/>
      <c r="O64" s="525"/>
      <c r="P64" s="516">
        <f>SUMIF('caseload data'!$C:$C,'divisional &amp; regional caseload'!B64,'caseload data'!V:V)</f>
        <v>0</v>
      </c>
      <c r="Q64" s="517"/>
      <c r="R64" s="518"/>
      <c r="S64" s="91"/>
      <c r="T64" s="289">
        <f>HLOOKUP($B$5,Region_Table,19,0)</f>
        <v>0</v>
      </c>
      <c r="U64" s="513" t="s">
        <v>1073</v>
      </c>
      <c r="V64" s="514"/>
      <c r="W64" s="514"/>
      <c r="X64" s="514"/>
      <c r="Y64" s="514"/>
      <c r="Z64" s="514"/>
      <c r="AA64" s="514"/>
      <c r="AB64" s="514"/>
      <c r="AC64" s="514"/>
      <c r="AD64" s="514"/>
      <c r="AE64" s="514"/>
      <c r="AF64" s="514"/>
      <c r="AG64" s="515"/>
      <c r="AH64" s="516">
        <f>SUMIF('caseload data'!$C:$C,'divisional &amp; regional caseload'!T64,'caseload data'!V:V)</f>
        <v>0</v>
      </c>
      <c r="AI64" s="517"/>
      <c r="AJ64" s="518"/>
    </row>
    <row r="65" spans="2:36" x14ac:dyDescent="0.3">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91"/>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3">
      <c r="B66" s="96" t="s">
        <v>979</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979</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3">
      <c r="B67" s="97" t="s">
        <v>984</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984</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3">
      <c r="B68" s="97" t="s">
        <v>985</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985</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3">
      <c r="B69" s="98" t="s">
        <v>986</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986</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3">
      <c r="B71" s="289">
        <f>HLOOKUP($B$5,Region_Table,20,0)</f>
        <v>0</v>
      </c>
      <c r="C71" s="513" t="s">
        <v>1073</v>
      </c>
      <c r="D71" s="514"/>
      <c r="E71" s="514"/>
      <c r="F71" s="514"/>
      <c r="G71" s="514"/>
      <c r="H71" s="514"/>
      <c r="I71" s="514"/>
      <c r="J71" s="514"/>
      <c r="K71" s="514"/>
      <c r="L71" s="514"/>
      <c r="M71" s="524"/>
      <c r="N71" s="524"/>
      <c r="O71" s="525"/>
      <c r="P71" s="516">
        <f>SUMIF('caseload data'!$C:$C,'divisional &amp; regional caseload'!B71,'caseload data'!V:V)</f>
        <v>0</v>
      </c>
      <c r="Q71" s="517"/>
      <c r="R71" s="518"/>
      <c r="T71" s="289">
        <f>HLOOKUP($B$5,Region_Table,21,0)</f>
        <v>0</v>
      </c>
      <c r="U71" s="513" t="s">
        <v>1073</v>
      </c>
      <c r="V71" s="514"/>
      <c r="W71" s="514"/>
      <c r="X71" s="514"/>
      <c r="Y71" s="514"/>
      <c r="Z71" s="514"/>
      <c r="AA71" s="514"/>
      <c r="AB71" s="514"/>
      <c r="AC71" s="514"/>
      <c r="AD71" s="514"/>
      <c r="AE71" s="514"/>
      <c r="AF71" s="514"/>
      <c r="AG71" s="515"/>
      <c r="AH71" s="516">
        <f>SUMIF('caseload data'!$C:$C,'divisional &amp; regional caseload'!T71,'caseload data'!V:V)</f>
        <v>0</v>
      </c>
      <c r="AI71" s="519"/>
      <c r="AJ71" s="520"/>
    </row>
    <row r="72" spans="2:36" x14ac:dyDescent="0.3">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3">
      <c r="B73" s="96" t="s">
        <v>979</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979</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3">
      <c r="B74" s="97" t="s">
        <v>984</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984</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3">
      <c r="B75" s="97" t="s">
        <v>985</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985</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3">
      <c r="B76" s="98" t="s">
        <v>986</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986</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3">
      <c r="B78" s="289">
        <f>HLOOKUP($B$5,Region_Table,22,0)</f>
        <v>0</v>
      </c>
      <c r="C78" s="513" t="s">
        <v>1073</v>
      </c>
      <c r="D78" s="514"/>
      <c r="E78" s="514"/>
      <c r="F78" s="514"/>
      <c r="G78" s="514"/>
      <c r="H78" s="514"/>
      <c r="I78" s="514"/>
      <c r="J78" s="514"/>
      <c r="K78" s="514"/>
      <c r="L78" s="514"/>
      <c r="M78" s="524"/>
      <c r="N78" s="524"/>
      <c r="O78" s="525"/>
      <c r="P78" s="516">
        <f>SUMIF('caseload data'!$C:$C,'divisional &amp; regional caseload'!B78,'caseload data'!V:V)</f>
        <v>0</v>
      </c>
      <c r="Q78" s="517"/>
      <c r="R78" s="518"/>
      <c r="T78" s="289">
        <f>HLOOKUP($B$5,Region_Table,23,0)</f>
        <v>0</v>
      </c>
      <c r="U78" s="513" t="s">
        <v>1073</v>
      </c>
      <c r="V78" s="514"/>
      <c r="W78" s="514"/>
      <c r="X78" s="514"/>
      <c r="Y78" s="514"/>
      <c r="Z78" s="514"/>
      <c r="AA78" s="514"/>
      <c r="AB78" s="514"/>
      <c r="AC78" s="514"/>
      <c r="AD78" s="514"/>
      <c r="AE78" s="514"/>
      <c r="AF78" s="514"/>
      <c r="AG78" s="515"/>
      <c r="AH78" s="516">
        <f>SUMIF('caseload data'!$C:$C,'divisional &amp; regional caseload'!T78,'caseload data'!V:V)</f>
        <v>0</v>
      </c>
      <c r="AI78" s="519"/>
      <c r="AJ78" s="520"/>
    </row>
    <row r="79" spans="2:36" x14ac:dyDescent="0.3">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3">
      <c r="B80" s="96" t="s">
        <v>979</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979</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3">
      <c r="B81" s="97" t="s">
        <v>984</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984</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3">
      <c r="B82" s="97" t="s">
        <v>985</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985</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3">
      <c r="B83" s="98" t="s">
        <v>986</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986</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3">
      <c r="B85" s="289">
        <f>HLOOKUP($B$5,Region_Table,24,0)</f>
        <v>0</v>
      </c>
      <c r="C85" s="513" t="s">
        <v>1073</v>
      </c>
      <c r="D85" s="514"/>
      <c r="E85" s="514"/>
      <c r="F85" s="514"/>
      <c r="G85" s="514"/>
      <c r="H85" s="514"/>
      <c r="I85" s="514"/>
      <c r="J85" s="514"/>
      <c r="K85" s="514"/>
      <c r="L85" s="514"/>
      <c r="M85" s="524"/>
      <c r="N85" s="524"/>
      <c r="O85" s="525"/>
      <c r="P85" s="516">
        <f>SUMIF('caseload data'!$C:$C,'divisional &amp; regional caseload'!B85,'caseload data'!V:V)</f>
        <v>0</v>
      </c>
      <c r="Q85" s="517"/>
      <c r="R85" s="518"/>
      <c r="T85" s="289">
        <f>HLOOKUP($B$5,Region_Table,25,0)</f>
        <v>0</v>
      </c>
      <c r="U85" s="513" t="s">
        <v>1073</v>
      </c>
      <c r="V85" s="514"/>
      <c r="W85" s="514"/>
      <c r="X85" s="514"/>
      <c r="Y85" s="514"/>
      <c r="Z85" s="514"/>
      <c r="AA85" s="514"/>
      <c r="AB85" s="514"/>
      <c r="AC85" s="514"/>
      <c r="AD85" s="514"/>
      <c r="AE85" s="514"/>
      <c r="AF85" s="514"/>
      <c r="AG85" s="515"/>
      <c r="AH85" s="516">
        <f>SUMIF('caseload data'!$C:$C,'divisional &amp; regional caseload'!T85,'caseload data'!V:V)</f>
        <v>0</v>
      </c>
      <c r="AI85" s="519"/>
      <c r="AJ85" s="520"/>
    </row>
    <row r="86" spans="2:36" x14ac:dyDescent="0.3">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3">
      <c r="B87" s="96" t="s">
        <v>979</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979</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3">
      <c r="B88" s="97" t="s">
        <v>984</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984</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3">
      <c r="B89" s="97" t="s">
        <v>985</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985</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3">
      <c r="B90" s="98" t="s">
        <v>986</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986</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3">
      <c r="B92" s="142">
        <f>HLOOKUP($B$5,Region_Table,26,0)</f>
        <v>0</v>
      </c>
      <c r="C92" s="513" t="s">
        <v>1073</v>
      </c>
      <c r="D92" s="514"/>
      <c r="E92" s="514"/>
      <c r="F92" s="514"/>
      <c r="G92" s="514"/>
      <c r="H92" s="514"/>
      <c r="I92" s="514"/>
      <c r="J92" s="514"/>
      <c r="K92" s="514"/>
      <c r="L92" s="514"/>
      <c r="M92" s="524"/>
      <c r="N92" s="524"/>
      <c r="O92" s="525"/>
      <c r="P92" s="516">
        <f>SUMIF('caseload data'!$C:$C,'divisional &amp; regional caseload'!B92,'caseload data'!V:V)</f>
        <v>0</v>
      </c>
      <c r="Q92" s="517"/>
      <c r="R92" s="518"/>
      <c r="T92" s="142">
        <f>HLOOKUP($B$5,Region_Table,27,0)</f>
        <v>0</v>
      </c>
      <c r="U92" s="513" t="s">
        <v>1073</v>
      </c>
      <c r="V92" s="514"/>
      <c r="W92" s="514"/>
      <c r="X92" s="514"/>
      <c r="Y92" s="514"/>
      <c r="Z92" s="514"/>
      <c r="AA92" s="514"/>
      <c r="AB92" s="514"/>
      <c r="AC92" s="514"/>
      <c r="AD92" s="514"/>
      <c r="AE92" s="514"/>
      <c r="AF92" s="514"/>
      <c r="AG92" s="515"/>
      <c r="AH92" s="516">
        <f>SUMIF('caseload data'!$C:$C,'divisional &amp; regional caseload'!T92,'caseload data'!V:V)</f>
        <v>0</v>
      </c>
      <c r="AI92" s="519"/>
      <c r="AJ92" s="520"/>
    </row>
    <row r="93" spans="2:36" x14ac:dyDescent="0.3">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3">
      <c r="B94" s="96" t="s">
        <v>979</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979</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3">
      <c r="B95" s="97" t="s">
        <v>984</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984</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3">
      <c r="B96" s="97" t="s">
        <v>985</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985</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3">
      <c r="B97" s="98" t="s">
        <v>986</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986</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3">
      <c r="B99" s="142">
        <f>HLOOKUP($B$5,Region_Table,28,0)</f>
        <v>0</v>
      </c>
      <c r="C99" s="513" t="s">
        <v>1073</v>
      </c>
      <c r="D99" s="514"/>
      <c r="E99" s="514"/>
      <c r="F99" s="514"/>
      <c r="G99" s="514"/>
      <c r="H99" s="514"/>
      <c r="I99" s="514"/>
      <c r="J99" s="514"/>
      <c r="K99" s="514"/>
      <c r="L99" s="514"/>
      <c r="M99" s="524"/>
      <c r="N99" s="524"/>
      <c r="O99" s="525"/>
      <c r="P99" s="516">
        <f>SUMIF('caseload data'!$C:$C,'divisional &amp; regional caseload'!B99,'caseload data'!V:V)</f>
        <v>0</v>
      </c>
      <c r="Q99" s="517"/>
      <c r="R99" s="518"/>
      <c r="T99" s="142">
        <f>HLOOKUP($B$5,Region_Table,29,0)</f>
        <v>0</v>
      </c>
      <c r="U99" s="513" t="s">
        <v>1073</v>
      </c>
      <c r="V99" s="514"/>
      <c r="W99" s="514"/>
      <c r="X99" s="514"/>
      <c r="Y99" s="514"/>
      <c r="Z99" s="514"/>
      <c r="AA99" s="514"/>
      <c r="AB99" s="514"/>
      <c r="AC99" s="514"/>
      <c r="AD99" s="514"/>
      <c r="AE99" s="514"/>
      <c r="AF99" s="514"/>
      <c r="AG99" s="515"/>
      <c r="AH99" s="516">
        <f>SUMIF('caseload data'!$C:$C,'divisional &amp; regional caseload'!T99,'caseload data'!V:V)</f>
        <v>0</v>
      </c>
      <c r="AI99" s="519"/>
      <c r="AJ99" s="520"/>
    </row>
    <row r="100" spans="2:36" x14ac:dyDescent="0.3">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982</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3">
      <c r="B101" s="96" t="s">
        <v>979</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979</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3">
      <c r="B102" s="97" t="s">
        <v>984</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984</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3">
      <c r="B103" s="97" t="s">
        <v>985</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985</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3">
      <c r="B104" s="98" t="s">
        <v>986</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986</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A2:AO2"/>
    <mergeCell ref="C8:O8"/>
    <mergeCell ref="P8:R8"/>
    <mergeCell ref="C15:O15"/>
    <mergeCell ref="P15:R15"/>
    <mergeCell ref="AH8:AJ8"/>
    <mergeCell ref="AH15:AJ15"/>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U85:AG85"/>
    <mergeCell ref="AH50:AJ50"/>
    <mergeCell ref="AH99:AJ99"/>
    <mergeCell ref="U92:AG92"/>
    <mergeCell ref="U99:AG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topLeftCell="A7" zoomScale="85" zoomScaleNormal="85" workbookViewId="0">
      <selection activeCell="C24" sqref="C24"/>
    </sheetView>
  </sheetViews>
  <sheetFormatPr defaultColWidth="9.1796875" defaultRowHeight="14" x14ac:dyDescent="0.3"/>
  <cols>
    <col min="1" max="1" width="2.1796875" customWidth="1"/>
    <col min="2" max="2" width="36.1796875" customWidth="1"/>
    <col min="20" max="20" width="33" customWidth="1"/>
  </cols>
  <sheetData>
    <row r="1" spans="1:50" ht="60.75" customHeight="1" x14ac:dyDescent="0.3">
      <c r="A1" s="486" t="s">
        <v>1076</v>
      </c>
      <c r="B1" s="486"/>
      <c r="C1" s="486"/>
      <c r="D1" s="486"/>
      <c r="E1" s="486"/>
      <c r="F1" s="486"/>
      <c r="G1" s="486"/>
      <c r="H1" s="486"/>
      <c r="I1" s="486"/>
      <c r="J1" s="486"/>
      <c r="K1" s="486"/>
      <c r="L1" s="486"/>
      <c r="M1" s="486"/>
      <c r="N1" s="486"/>
      <c r="O1" s="486"/>
      <c r="P1" s="486"/>
      <c r="Q1" s="486"/>
      <c r="R1" s="486"/>
      <c r="S1" s="486"/>
      <c r="T1" s="486"/>
      <c r="U1" s="486"/>
      <c r="V1" s="486"/>
      <c r="W1" s="486"/>
      <c r="X1" s="486"/>
      <c r="Y1" s="486"/>
      <c r="Z1" s="486"/>
      <c r="AA1" s="486"/>
      <c r="AB1" s="486"/>
      <c r="AC1" s="486"/>
      <c r="AD1" s="486"/>
      <c r="AE1" s="486"/>
      <c r="AF1" s="486"/>
      <c r="AG1" s="486"/>
      <c r="AH1" s="486"/>
      <c r="AI1" s="486"/>
      <c r="AJ1" s="486"/>
      <c r="AK1" s="257"/>
      <c r="AL1" s="257"/>
      <c r="AM1" s="257"/>
      <c r="AN1" s="257"/>
      <c r="AO1" s="257"/>
      <c r="AP1" s="257"/>
      <c r="AQ1" s="257"/>
      <c r="AR1" s="257"/>
      <c r="AS1" s="257"/>
      <c r="AT1" s="257"/>
      <c r="AU1" s="257"/>
      <c r="AV1" s="257"/>
      <c r="AW1" s="257"/>
      <c r="AX1" s="257"/>
    </row>
    <row r="2" spans="1:50" ht="48" customHeight="1" x14ac:dyDescent="0.3">
      <c r="A2" s="430"/>
      <c r="B2" s="430"/>
      <c r="C2" s="430"/>
      <c r="D2" s="430"/>
      <c r="E2" s="430"/>
      <c r="F2" s="430"/>
      <c r="G2" s="430"/>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262"/>
      <c r="AL2" s="262"/>
      <c r="AM2" s="262"/>
      <c r="AN2" s="262"/>
      <c r="AO2" s="262"/>
      <c r="AP2" s="262"/>
      <c r="AQ2" s="262"/>
      <c r="AR2" s="262"/>
      <c r="AS2" s="262"/>
      <c r="AT2" s="262"/>
      <c r="AU2" s="262"/>
      <c r="AV2" s="262"/>
      <c r="AW2" s="262"/>
      <c r="AX2" s="262"/>
    </row>
    <row r="3" spans="1:50" s="48" customFormat="1" ht="15.5" x14ac:dyDescent="0.3">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28" x14ac:dyDescent="0.3">
      <c r="B4" s="36" t="s">
        <v>917</v>
      </c>
    </row>
    <row r="5" spans="1:50" ht="27" customHeight="1" x14ac:dyDescent="0.3">
      <c r="B5" s="242" t="s">
        <v>17</v>
      </c>
      <c r="P5" s="40"/>
    </row>
    <row r="6" spans="1:50" x14ac:dyDescent="0.3">
      <c r="B6" s="46"/>
    </row>
    <row r="8" spans="1:50" ht="28.5" customHeight="1" x14ac:dyDescent="0.3">
      <c r="B8" s="289" t="str">
        <f>HLOOKUP($B$5,Region_Table,2,0)</f>
        <v>All East Midlands Region</v>
      </c>
      <c r="C8" s="529" t="s">
        <v>1077</v>
      </c>
      <c r="D8" s="530"/>
      <c r="E8" s="530"/>
      <c r="F8" s="530"/>
      <c r="G8" s="530"/>
      <c r="H8" s="530"/>
      <c r="I8" s="530"/>
      <c r="J8" s="530"/>
      <c r="K8" s="530"/>
      <c r="L8" s="530"/>
      <c r="M8" s="531"/>
      <c r="N8" s="531"/>
      <c r="O8" s="532"/>
      <c r="P8" s="516">
        <f>SUMIF('caseload data'!C:C,'divisional &amp; regional caseload%'!B8,'caseload data'!V:V)</f>
        <v>0</v>
      </c>
      <c r="Q8" s="533"/>
      <c r="R8" s="534"/>
      <c r="S8" s="64"/>
      <c r="T8" s="289" t="str">
        <f>HLOOKUP($B$5,Region_Table,3,0)</f>
        <v>Derby City - N53</v>
      </c>
      <c r="U8" s="529" t="s">
        <v>1077</v>
      </c>
      <c r="V8" s="530"/>
      <c r="W8" s="530"/>
      <c r="X8" s="530"/>
      <c r="Y8" s="530"/>
      <c r="Z8" s="530"/>
      <c r="AA8" s="530"/>
      <c r="AB8" s="530"/>
      <c r="AC8" s="530"/>
      <c r="AD8" s="530"/>
      <c r="AE8" s="531"/>
      <c r="AF8" s="531"/>
      <c r="AG8" s="532"/>
      <c r="AH8" s="516">
        <f>SUMIF('caseload data'!C:C,'divisional &amp; regional caseload%'!T8,'caseload data'!V:V)</f>
        <v>0</v>
      </c>
      <c r="AI8" s="533"/>
      <c r="AJ8" s="534"/>
    </row>
    <row r="9" spans="1:50" x14ac:dyDescent="0.3">
      <c r="B9" s="95" t="s">
        <v>983</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983</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3">
      <c r="B10" s="96" t="s">
        <v>979</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979</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3">
      <c r="B11" s="97" t="s">
        <v>984</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984</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3">
      <c r="B12" s="97" t="s">
        <v>985</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985</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3">
      <c r="B13" s="98" t="s">
        <v>986</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986</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3">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3">
      <c r="B15" s="289" t="str">
        <f>HLOOKUP($B$5,Region_Table,4,0)</f>
        <v>Derbyshire - N53</v>
      </c>
      <c r="C15" s="529" t="s">
        <v>1077</v>
      </c>
      <c r="D15" s="530"/>
      <c r="E15" s="530"/>
      <c r="F15" s="530"/>
      <c r="G15" s="530"/>
      <c r="H15" s="530"/>
      <c r="I15" s="530"/>
      <c r="J15" s="530"/>
      <c r="K15" s="530"/>
      <c r="L15" s="530"/>
      <c r="M15" s="531"/>
      <c r="N15" s="531"/>
      <c r="O15" s="532"/>
      <c r="P15" s="516">
        <f>SUMIF('caseload data'!$C:$C,'divisional &amp; regional caseload%'!B15,'caseload data'!V:V)</f>
        <v>0</v>
      </c>
      <c r="Q15" s="533"/>
      <c r="R15" s="534"/>
      <c r="S15" s="64"/>
      <c r="T15" s="289" t="str">
        <f>HLOOKUP($B$5,Region_Table,5,0)</f>
        <v>Leicester, Leicestershire and Rutland</v>
      </c>
      <c r="U15" s="529" t="s">
        <v>1077</v>
      </c>
      <c r="V15" s="530"/>
      <c r="W15" s="530"/>
      <c r="X15" s="530"/>
      <c r="Y15" s="530"/>
      <c r="Z15" s="530"/>
      <c r="AA15" s="530"/>
      <c r="AB15" s="530"/>
      <c r="AC15" s="530"/>
      <c r="AD15" s="530"/>
      <c r="AE15" s="531"/>
      <c r="AF15" s="531"/>
      <c r="AG15" s="532"/>
      <c r="AH15" s="516">
        <f>SUMIF('caseload data'!$C:$C,'divisional &amp; regional caseload%'!T15,'caseload data'!V:V)</f>
        <v>0</v>
      </c>
      <c r="AI15" s="533"/>
      <c r="AJ15" s="534"/>
    </row>
    <row r="16" spans="1:50" x14ac:dyDescent="0.3">
      <c r="B16" s="95" t="s">
        <v>983</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983</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3">
      <c r="B17" s="96" t="s">
        <v>979</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979</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3">
      <c r="B18" s="97" t="s">
        <v>984</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984</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3">
      <c r="B19" s="97" t="s">
        <v>985</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985</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3">
      <c r="B20" s="98" t="s">
        <v>986</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986</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3">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3">
      <c r="B22" s="289" t="str">
        <f>HLOOKUP($B$5,Region_Table,6,0)</f>
        <v>Lincolnshire East and West - N53</v>
      </c>
      <c r="C22" s="529" t="s">
        <v>1077</v>
      </c>
      <c r="D22" s="530"/>
      <c r="E22" s="530"/>
      <c r="F22" s="530"/>
      <c r="G22" s="530"/>
      <c r="H22" s="530"/>
      <c r="I22" s="530"/>
      <c r="J22" s="530"/>
      <c r="K22" s="530"/>
      <c r="L22" s="530"/>
      <c r="M22" s="531"/>
      <c r="N22" s="531"/>
      <c r="O22" s="532"/>
      <c r="P22" s="516">
        <f>SUMIF('caseload data'!$C:$C,'divisional &amp; regional caseload%'!B22,'caseload data'!V:V)</f>
        <v>0</v>
      </c>
      <c r="Q22" s="533"/>
      <c r="R22" s="534"/>
      <c r="S22" s="64"/>
      <c r="T22" s="289" t="str">
        <f>HLOOKUP($B$5,Region_Table,7,0)</f>
        <v>Nottingham City</v>
      </c>
      <c r="U22" s="529" t="s">
        <v>1077</v>
      </c>
      <c r="V22" s="530"/>
      <c r="W22" s="530"/>
      <c r="X22" s="530"/>
      <c r="Y22" s="530"/>
      <c r="Z22" s="530"/>
      <c r="AA22" s="530"/>
      <c r="AB22" s="530"/>
      <c r="AC22" s="530"/>
      <c r="AD22" s="530"/>
      <c r="AE22" s="531"/>
      <c r="AF22" s="531"/>
      <c r="AG22" s="532"/>
      <c r="AH22" s="516">
        <f>SUMIF('caseload data'!$C:$C,'divisional &amp; regional caseload%'!T22,'caseload data'!V:V)</f>
        <v>0</v>
      </c>
      <c r="AI22" s="533"/>
      <c r="AJ22" s="534"/>
    </row>
    <row r="23" spans="2:36" x14ac:dyDescent="0.3">
      <c r="B23" s="95" t="s">
        <v>983</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983</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3">
      <c r="B24" s="96" t="s">
        <v>979</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979</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3">
      <c r="B25" s="97" t="s">
        <v>984</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984</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3">
      <c r="B26" s="97" t="s">
        <v>985</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985</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3">
      <c r="B27" s="98" t="s">
        <v>986</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986</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3">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3">
      <c r="B29" s="289" t="str">
        <f>HLOOKUP($B$5,Region_Table,8,0)</f>
        <v>Nottinghamshire - N53</v>
      </c>
      <c r="C29" s="529" t="s">
        <v>1077</v>
      </c>
      <c r="D29" s="530"/>
      <c r="E29" s="530"/>
      <c r="F29" s="530"/>
      <c r="G29" s="530"/>
      <c r="H29" s="530"/>
      <c r="I29" s="530"/>
      <c r="J29" s="530"/>
      <c r="K29" s="530"/>
      <c r="L29" s="530"/>
      <c r="M29" s="531"/>
      <c r="N29" s="531"/>
      <c r="O29" s="532"/>
      <c r="P29" s="516">
        <f>SUMIF('caseload data'!$C:$C,'divisional &amp; regional caseload%'!B29,'caseload data'!V:V)</f>
        <v>0</v>
      </c>
      <c r="Q29" s="533"/>
      <c r="R29" s="534"/>
      <c r="S29" s="64"/>
      <c r="T29" s="289" t="str">
        <f>HLOOKUP($B$5,Region_Table,9,0)</f>
        <v>Unpaid Work and Attendance Centres - N53</v>
      </c>
      <c r="U29" s="529" t="s">
        <v>1077</v>
      </c>
      <c r="V29" s="530"/>
      <c r="W29" s="530"/>
      <c r="X29" s="530"/>
      <c r="Y29" s="530"/>
      <c r="Z29" s="530"/>
      <c r="AA29" s="530"/>
      <c r="AB29" s="530"/>
      <c r="AC29" s="530"/>
      <c r="AD29" s="530"/>
      <c r="AE29" s="531"/>
      <c r="AF29" s="531"/>
      <c r="AG29" s="532"/>
      <c r="AH29" s="516">
        <f>SUMIF('caseload data'!$C:$C,'divisional &amp; regional caseload%'!T29,'caseload data'!V:V)</f>
        <v>0</v>
      </c>
      <c r="AI29" s="533"/>
      <c r="AJ29" s="534"/>
    </row>
    <row r="30" spans="2:36" x14ac:dyDescent="0.3">
      <c r="B30" s="95" t="s">
        <v>983</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983</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3">
      <c r="B31" s="96" t="s">
        <v>979</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979</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3">
      <c r="B32" s="97" t="s">
        <v>984</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984</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3">
      <c r="B33" s="97" t="s">
        <v>985</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985</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3">
      <c r="B34" s="98" t="s">
        <v>986</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986</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3">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3">
      <c r="B36" s="289">
        <f>HLOOKUP($B$5,Region_Table,10,0)</f>
        <v>0</v>
      </c>
      <c r="C36" s="529" t="s">
        <v>1077</v>
      </c>
      <c r="D36" s="530"/>
      <c r="E36" s="530"/>
      <c r="F36" s="530"/>
      <c r="G36" s="530"/>
      <c r="H36" s="530"/>
      <c r="I36" s="530"/>
      <c r="J36" s="530"/>
      <c r="K36" s="530"/>
      <c r="L36" s="530"/>
      <c r="M36" s="531"/>
      <c r="N36" s="531"/>
      <c r="O36" s="532"/>
      <c r="P36" s="516">
        <f>SUMIF('caseload data'!$C:$C,'divisional &amp; regional caseload%'!B36,'caseload data'!V:V)</f>
        <v>0</v>
      </c>
      <c r="Q36" s="533"/>
      <c r="R36" s="534"/>
      <c r="S36" s="64"/>
      <c r="T36" s="289">
        <f>HLOOKUP($B$5,Region_Table,11,0)</f>
        <v>0</v>
      </c>
      <c r="U36" s="529" t="s">
        <v>1077</v>
      </c>
      <c r="V36" s="530"/>
      <c r="W36" s="530"/>
      <c r="X36" s="530"/>
      <c r="Y36" s="530"/>
      <c r="Z36" s="530"/>
      <c r="AA36" s="530"/>
      <c r="AB36" s="530"/>
      <c r="AC36" s="530"/>
      <c r="AD36" s="530"/>
      <c r="AE36" s="531"/>
      <c r="AF36" s="531"/>
      <c r="AG36" s="532"/>
      <c r="AH36" s="516">
        <f>SUMIF('caseload data'!$C:$C,'divisional &amp; regional caseload%'!T36,'caseload data'!V:V)</f>
        <v>0</v>
      </c>
      <c r="AI36" s="533"/>
      <c r="AJ36" s="534"/>
    </row>
    <row r="37" spans="2:36" x14ac:dyDescent="0.3">
      <c r="B37" s="95" t="s">
        <v>983</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983</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3">
      <c r="B38" s="96" t="s">
        <v>979</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979</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3">
      <c r="B39" s="97" t="s">
        <v>984</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984</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3">
      <c r="B40" s="97" t="s">
        <v>985</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985</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3">
      <c r="B41" s="98" t="s">
        <v>986</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986</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3">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3">
      <c r="B43" s="289">
        <f>HLOOKUP($B$5,Region_Table,12,0)</f>
        <v>0</v>
      </c>
      <c r="C43" s="529" t="s">
        <v>1077</v>
      </c>
      <c r="D43" s="530"/>
      <c r="E43" s="530"/>
      <c r="F43" s="530"/>
      <c r="G43" s="530"/>
      <c r="H43" s="530"/>
      <c r="I43" s="530"/>
      <c r="J43" s="530"/>
      <c r="K43" s="530"/>
      <c r="L43" s="530"/>
      <c r="M43" s="531"/>
      <c r="N43" s="531"/>
      <c r="O43" s="532"/>
      <c r="P43" s="516">
        <f>SUMIF('caseload data'!$C:$C,'divisional &amp; regional caseload%'!B43,'caseload data'!V:V)</f>
        <v>0</v>
      </c>
      <c r="Q43" s="533"/>
      <c r="R43" s="534"/>
      <c r="S43" s="64"/>
      <c r="T43" s="289">
        <f>HLOOKUP($B$5,Region_Table,13,0)</f>
        <v>0</v>
      </c>
      <c r="U43" s="529" t="s">
        <v>1077</v>
      </c>
      <c r="V43" s="530"/>
      <c r="W43" s="530"/>
      <c r="X43" s="530"/>
      <c r="Y43" s="530"/>
      <c r="Z43" s="530"/>
      <c r="AA43" s="530"/>
      <c r="AB43" s="530"/>
      <c r="AC43" s="530"/>
      <c r="AD43" s="530"/>
      <c r="AE43" s="531"/>
      <c r="AF43" s="531"/>
      <c r="AG43" s="532"/>
      <c r="AH43" s="516">
        <f>SUMIF('caseload data'!$C:$C,'divisional &amp; regional caseload%'!T43,'caseload data'!V:V)</f>
        <v>0</v>
      </c>
      <c r="AI43" s="533"/>
      <c r="AJ43" s="534"/>
    </row>
    <row r="44" spans="2:36" x14ac:dyDescent="0.3">
      <c r="B44" s="95" t="s">
        <v>983</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983</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3">
      <c r="B45" s="96" t="s">
        <v>979</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979</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3">
      <c r="B46" s="97" t="s">
        <v>984</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984</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3">
      <c r="B47" s="97" t="s">
        <v>985</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985</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3">
      <c r="B48" s="98" t="s">
        <v>986</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986</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3">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3">
      <c r="B50" s="289">
        <f>HLOOKUP($B$5,Region_Table,14,0)</f>
        <v>0</v>
      </c>
      <c r="C50" s="529" t="s">
        <v>1077</v>
      </c>
      <c r="D50" s="530"/>
      <c r="E50" s="530"/>
      <c r="F50" s="530"/>
      <c r="G50" s="530"/>
      <c r="H50" s="530"/>
      <c r="I50" s="530"/>
      <c r="J50" s="530"/>
      <c r="K50" s="530"/>
      <c r="L50" s="530"/>
      <c r="M50" s="531"/>
      <c r="N50" s="531"/>
      <c r="O50" s="532"/>
      <c r="P50" s="516">
        <f>SUMIF('caseload data'!$C:$C,'divisional &amp; regional caseload%'!B50,'caseload data'!V:V)</f>
        <v>0</v>
      </c>
      <c r="Q50" s="533"/>
      <c r="R50" s="534"/>
      <c r="S50" s="64"/>
      <c r="T50" s="289">
        <f>HLOOKUP($B$5,Region_Table,15,0)</f>
        <v>0</v>
      </c>
      <c r="U50" s="529" t="s">
        <v>1077</v>
      </c>
      <c r="V50" s="530"/>
      <c r="W50" s="530"/>
      <c r="X50" s="530"/>
      <c r="Y50" s="530"/>
      <c r="Z50" s="530"/>
      <c r="AA50" s="530"/>
      <c r="AB50" s="530"/>
      <c r="AC50" s="530"/>
      <c r="AD50" s="530"/>
      <c r="AE50" s="531"/>
      <c r="AF50" s="531"/>
      <c r="AG50" s="532"/>
      <c r="AH50" s="516">
        <f>SUMIF('caseload data'!$C:$C,'divisional &amp; regional caseload%'!T50,'caseload data'!V:V)</f>
        <v>0</v>
      </c>
      <c r="AI50" s="533"/>
      <c r="AJ50" s="534"/>
    </row>
    <row r="51" spans="2:36" x14ac:dyDescent="0.3">
      <c r="B51" s="95" t="s">
        <v>983</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983</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3">
      <c r="B52" s="96" t="s">
        <v>979</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979</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3">
      <c r="B53" s="97" t="s">
        <v>984</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984</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3">
      <c r="B54" s="97" t="s">
        <v>985</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985</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3">
      <c r="B55" s="98" t="s">
        <v>986</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986</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3">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3">
      <c r="B57" s="289">
        <f>HLOOKUP($B$5,Region_Table,16,0)</f>
        <v>0</v>
      </c>
      <c r="C57" s="529" t="s">
        <v>1077</v>
      </c>
      <c r="D57" s="530"/>
      <c r="E57" s="530"/>
      <c r="F57" s="530"/>
      <c r="G57" s="530"/>
      <c r="H57" s="530"/>
      <c r="I57" s="530"/>
      <c r="J57" s="530"/>
      <c r="K57" s="530"/>
      <c r="L57" s="530"/>
      <c r="M57" s="531"/>
      <c r="N57" s="531"/>
      <c r="O57" s="532"/>
      <c r="P57" s="516">
        <f>SUMIF('caseload data'!$C:$C,'divisional &amp; regional caseload%'!B57,'caseload data'!V:V)</f>
        <v>0</v>
      </c>
      <c r="Q57" s="533"/>
      <c r="R57" s="534"/>
      <c r="S57" s="64"/>
      <c r="T57" s="289">
        <f>HLOOKUP($B$5,Region_Table,17,0)</f>
        <v>0</v>
      </c>
      <c r="U57" s="529" t="s">
        <v>1073</v>
      </c>
      <c r="V57" s="530"/>
      <c r="W57" s="530"/>
      <c r="X57" s="530"/>
      <c r="Y57" s="530"/>
      <c r="Z57" s="530"/>
      <c r="AA57" s="530"/>
      <c r="AB57" s="530"/>
      <c r="AC57" s="530"/>
      <c r="AD57" s="530"/>
      <c r="AE57" s="531"/>
      <c r="AF57" s="531"/>
      <c r="AG57" s="532"/>
      <c r="AH57" s="516">
        <f>SUMIF('caseload data'!$C:$C,'divisional &amp; regional caseload%'!T57,'caseload data'!V:V)</f>
        <v>0</v>
      </c>
      <c r="AI57" s="533"/>
      <c r="AJ57" s="534"/>
    </row>
    <row r="58" spans="2:36" x14ac:dyDescent="0.3">
      <c r="B58" s="95" t="s">
        <v>983</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983</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3">
      <c r="B59" s="96" t="s">
        <v>979</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979</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3">
      <c r="B60" s="97" t="s">
        <v>984</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984</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3">
      <c r="B61" s="97" t="s">
        <v>985</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985</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3">
      <c r="B62" s="98" t="s">
        <v>986</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986</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5" customHeight="1" x14ac:dyDescent="0.3">
      <c r="B64" s="289">
        <f>HLOOKUP($B$5,Region_Table,18,0)</f>
        <v>0</v>
      </c>
      <c r="C64" s="529" t="s">
        <v>1077</v>
      </c>
      <c r="D64" s="530"/>
      <c r="E64" s="530"/>
      <c r="F64" s="530"/>
      <c r="G64" s="530"/>
      <c r="H64" s="530"/>
      <c r="I64" s="530"/>
      <c r="J64" s="530"/>
      <c r="K64" s="530"/>
      <c r="L64" s="530"/>
      <c r="M64" s="531"/>
      <c r="N64" s="531"/>
      <c r="O64" s="532"/>
      <c r="P64" s="516">
        <f>SUMIF('caseload data'!$C:$C,'divisional &amp; regional caseload%'!B64,'caseload data'!V:V)</f>
        <v>0</v>
      </c>
      <c r="Q64" s="533"/>
      <c r="R64" s="534"/>
      <c r="S64" s="64"/>
      <c r="T64" s="289">
        <f>HLOOKUP($B$5,Region_Table,19,0)</f>
        <v>0</v>
      </c>
      <c r="U64" s="529" t="s">
        <v>1077</v>
      </c>
      <c r="V64" s="530"/>
      <c r="W64" s="530"/>
      <c r="X64" s="530"/>
      <c r="Y64" s="530"/>
      <c r="Z64" s="530"/>
      <c r="AA64" s="530"/>
      <c r="AB64" s="530"/>
      <c r="AC64" s="530"/>
      <c r="AD64" s="530"/>
      <c r="AE64" s="531"/>
      <c r="AF64" s="531"/>
      <c r="AG64" s="532"/>
      <c r="AH64" s="516">
        <f>SUMIF('caseload data'!$C:$C,'divisional &amp; regional caseload%'!T64,'caseload data'!V:V)</f>
        <v>0</v>
      </c>
      <c r="AI64" s="533"/>
      <c r="AJ64" s="534"/>
    </row>
    <row r="65" spans="2:36" x14ac:dyDescent="0.3">
      <c r="B65" s="95" t="s">
        <v>983</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983</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3">
      <c r="B66" s="96" t="s">
        <v>979</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979</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3">
      <c r="B67" s="97" t="s">
        <v>984</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984</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3">
      <c r="B68" s="97" t="s">
        <v>985</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985</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3">
      <c r="B69" s="98" t="s">
        <v>986</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986</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3">
      <c r="B71" s="289">
        <f>HLOOKUP($B$5,Region_Table,20,0)</f>
        <v>0</v>
      </c>
      <c r="C71" s="529" t="s">
        <v>1077</v>
      </c>
      <c r="D71" s="530"/>
      <c r="E71" s="530"/>
      <c r="F71" s="530"/>
      <c r="G71" s="530"/>
      <c r="H71" s="530"/>
      <c r="I71" s="530"/>
      <c r="J71" s="530"/>
      <c r="K71" s="530"/>
      <c r="L71" s="530"/>
      <c r="M71" s="531"/>
      <c r="N71" s="531"/>
      <c r="O71" s="532"/>
      <c r="P71" s="516">
        <f>SUMIF('caseload data'!$C:$C,'divisional &amp; regional caseload%'!B71,'caseload data'!V:V)</f>
        <v>0</v>
      </c>
      <c r="Q71" s="533"/>
      <c r="R71" s="534"/>
      <c r="T71" s="289">
        <f>HLOOKUP($B$5,Region_Table,21,0)</f>
        <v>0</v>
      </c>
      <c r="U71" s="529" t="s">
        <v>1077</v>
      </c>
      <c r="V71" s="530"/>
      <c r="W71" s="530"/>
      <c r="X71" s="530"/>
      <c r="Y71" s="530"/>
      <c r="Z71" s="530"/>
      <c r="AA71" s="530"/>
      <c r="AB71" s="530"/>
      <c r="AC71" s="530"/>
      <c r="AD71" s="530"/>
      <c r="AE71" s="531"/>
      <c r="AF71" s="531"/>
      <c r="AG71" s="532"/>
      <c r="AH71" s="516">
        <f>SUMIF('caseload data'!$C:$C,'divisional &amp; regional caseload%'!T71,'caseload data'!V:V)</f>
        <v>0</v>
      </c>
      <c r="AI71" s="533"/>
      <c r="AJ71" s="534"/>
    </row>
    <row r="72" spans="2:36" x14ac:dyDescent="0.3">
      <c r="B72" s="95" t="s">
        <v>983</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983</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3">
      <c r="B73" s="96" t="s">
        <v>979</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979</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3">
      <c r="B74" s="97" t="s">
        <v>984</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984</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3">
      <c r="B75" s="97" t="s">
        <v>985</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985</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3">
      <c r="B76" s="98" t="s">
        <v>986</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986</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3">
      <c r="B78" s="289">
        <f>HLOOKUP($B$5,Region_Table,22,0)</f>
        <v>0</v>
      </c>
      <c r="C78" s="529" t="s">
        <v>1077</v>
      </c>
      <c r="D78" s="530"/>
      <c r="E78" s="530"/>
      <c r="F78" s="530"/>
      <c r="G78" s="530"/>
      <c r="H78" s="530"/>
      <c r="I78" s="530"/>
      <c r="J78" s="530"/>
      <c r="K78" s="530"/>
      <c r="L78" s="530"/>
      <c r="M78" s="531"/>
      <c r="N78" s="531"/>
      <c r="O78" s="532"/>
      <c r="P78" s="516">
        <f>SUMIF('caseload data'!$C:$C,'divisional &amp; regional caseload%'!B78,'caseload data'!V:V)</f>
        <v>0</v>
      </c>
      <c r="Q78" s="533"/>
      <c r="R78" s="534"/>
      <c r="T78" s="289">
        <f>HLOOKUP($B$5,Region_Table,23,0)</f>
        <v>0</v>
      </c>
      <c r="U78" s="529" t="s">
        <v>1077</v>
      </c>
      <c r="V78" s="530"/>
      <c r="W78" s="530"/>
      <c r="X78" s="530"/>
      <c r="Y78" s="530"/>
      <c r="Z78" s="530"/>
      <c r="AA78" s="530"/>
      <c r="AB78" s="530"/>
      <c r="AC78" s="530"/>
      <c r="AD78" s="530"/>
      <c r="AE78" s="531"/>
      <c r="AF78" s="531"/>
      <c r="AG78" s="532"/>
      <c r="AH78" s="516">
        <f>SUMIF('caseload data'!$C:$C,'divisional &amp; regional caseload%'!T78,'caseload data'!V:V)</f>
        <v>0</v>
      </c>
      <c r="AI78" s="533"/>
      <c r="AJ78" s="534"/>
    </row>
    <row r="79" spans="2:36" x14ac:dyDescent="0.3">
      <c r="B79" s="95" t="s">
        <v>983</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983</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3">
      <c r="B80" s="96" t="s">
        <v>979</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979</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3">
      <c r="B81" s="97" t="s">
        <v>984</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984</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3">
      <c r="B82" s="97" t="s">
        <v>985</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985</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3">
      <c r="B83" s="98" t="s">
        <v>986</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986</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3">
      <c r="B85" s="289">
        <f>HLOOKUP($B$5,Region_Table,24,0)</f>
        <v>0</v>
      </c>
      <c r="C85" s="529" t="s">
        <v>1077</v>
      </c>
      <c r="D85" s="530"/>
      <c r="E85" s="530"/>
      <c r="F85" s="530"/>
      <c r="G85" s="530"/>
      <c r="H85" s="530"/>
      <c r="I85" s="530"/>
      <c r="J85" s="530"/>
      <c r="K85" s="530"/>
      <c r="L85" s="530"/>
      <c r="M85" s="531"/>
      <c r="N85" s="531"/>
      <c r="O85" s="532"/>
      <c r="P85" s="516">
        <f>SUMIF('caseload data'!$C:$C,'divisional &amp; regional caseload%'!B85,'caseload data'!V:V)</f>
        <v>0</v>
      </c>
      <c r="Q85" s="533"/>
      <c r="R85" s="534"/>
      <c r="T85" s="289">
        <f>HLOOKUP($B$5,Region_Table,25,0)</f>
        <v>0</v>
      </c>
      <c r="U85" s="529" t="s">
        <v>1077</v>
      </c>
      <c r="V85" s="530"/>
      <c r="W85" s="530"/>
      <c r="X85" s="530"/>
      <c r="Y85" s="530"/>
      <c r="Z85" s="530"/>
      <c r="AA85" s="530"/>
      <c r="AB85" s="530"/>
      <c r="AC85" s="530"/>
      <c r="AD85" s="530"/>
      <c r="AE85" s="531"/>
      <c r="AF85" s="531"/>
      <c r="AG85" s="532"/>
      <c r="AH85" s="516">
        <f>SUMIF('caseload data'!$C:$C,'divisional &amp; regional caseload%'!T85,'caseload data'!V:V)</f>
        <v>0</v>
      </c>
      <c r="AI85" s="533"/>
      <c r="AJ85" s="534"/>
    </row>
    <row r="86" spans="2:36" x14ac:dyDescent="0.3">
      <c r="B86" s="95" t="s">
        <v>983</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983</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3">
      <c r="B87" s="96" t="s">
        <v>979</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979</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3">
      <c r="B88" s="97" t="s">
        <v>984</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984</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3">
      <c r="B89" s="97" t="s">
        <v>985</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985</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3">
      <c r="B90" s="98" t="s">
        <v>986</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986</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3">
      <c r="B92" s="142">
        <f>HLOOKUP($B$5,Region_Table,26,0)</f>
        <v>0</v>
      </c>
      <c r="C92" s="529" t="s">
        <v>1073</v>
      </c>
      <c r="D92" s="530"/>
      <c r="E92" s="530"/>
      <c r="F92" s="530"/>
      <c r="G92" s="530"/>
      <c r="H92" s="530"/>
      <c r="I92" s="530"/>
      <c r="J92" s="530"/>
      <c r="K92" s="530"/>
      <c r="L92" s="530"/>
      <c r="M92" s="531"/>
      <c r="N92" s="531"/>
      <c r="O92" s="532"/>
      <c r="P92" s="516">
        <f>SUMIF('caseload data'!$C:$C,'divisional &amp; regional caseload%'!B92,'caseload data'!V:V)</f>
        <v>0</v>
      </c>
      <c r="Q92" s="533"/>
      <c r="R92" s="534"/>
      <c r="T92" s="142">
        <f>HLOOKUP($B$5,Region_Table,27,0)</f>
        <v>0</v>
      </c>
      <c r="U92" s="529" t="s">
        <v>1073</v>
      </c>
      <c r="V92" s="530"/>
      <c r="W92" s="530"/>
      <c r="X92" s="530"/>
      <c r="Y92" s="530"/>
      <c r="Z92" s="530"/>
      <c r="AA92" s="530"/>
      <c r="AB92" s="530"/>
      <c r="AC92" s="530"/>
      <c r="AD92" s="530"/>
      <c r="AE92" s="531"/>
      <c r="AF92" s="531"/>
      <c r="AG92" s="532"/>
      <c r="AH92" s="516">
        <f>SUMIF('caseload data'!$C:$C,'divisional &amp; regional caseload%'!T92,'caseload data'!V:V)</f>
        <v>0</v>
      </c>
      <c r="AI92" s="533"/>
      <c r="AJ92" s="534"/>
    </row>
    <row r="93" spans="2:36" x14ac:dyDescent="0.3">
      <c r="B93" s="95" t="s">
        <v>983</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983</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3">
      <c r="B94" s="96" t="s">
        <v>979</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979</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3">
      <c r="B95" s="97" t="s">
        <v>984</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984</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3">
      <c r="B96" s="97" t="s">
        <v>985</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985</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3">
      <c r="B97" s="98" t="s">
        <v>986</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986</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3">
      <c r="B99" s="142">
        <f>HLOOKUP($B$5,Region_Table,28,0)</f>
        <v>0</v>
      </c>
      <c r="C99" s="529" t="s">
        <v>1073</v>
      </c>
      <c r="D99" s="530"/>
      <c r="E99" s="530"/>
      <c r="F99" s="530"/>
      <c r="G99" s="530"/>
      <c r="H99" s="530"/>
      <c r="I99" s="530"/>
      <c r="J99" s="530"/>
      <c r="K99" s="530"/>
      <c r="L99" s="530"/>
      <c r="M99" s="531"/>
      <c r="N99" s="531"/>
      <c r="O99" s="532"/>
      <c r="P99" s="516">
        <f>SUMIF('caseload data'!$C:$C,'divisional &amp; regional caseload%'!B99,'caseload data'!V:V)</f>
        <v>0</v>
      </c>
      <c r="Q99" s="533"/>
      <c r="R99" s="534"/>
      <c r="T99" s="142">
        <f>HLOOKUP($B$5,Region_Table,29,0)</f>
        <v>0</v>
      </c>
      <c r="U99" s="529" t="s">
        <v>1073</v>
      </c>
      <c r="V99" s="530"/>
      <c r="W99" s="530"/>
      <c r="X99" s="530"/>
      <c r="Y99" s="530"/>
      <c r="Z99" s="530"/>
      <c r="AA99" s="530"/>
      <c r="AB99" s="530"/>
      <c r="AC99" s="530"/>
      <c r="AD99" s="530"/>
      <c r="AE99" s="531"/>
      <c r="AF99" s="531"/>
      <c r="AG99" s="532"/>
      <c r="AH99" s="516">
        <f>SUMIF('caseload data'!$C:$C,'divisional &amp; regional caseload%'!T99,'caseload data'!V:V)</f>
        <v>0</v>
      </c>
      <c r="AI99" s="533"/>
      <c r="AJ99" s="534"/>
    </row>
    <row r="100" spans="2:36" x14ac:dyDescent="0.3">
      <c r="B100" s="95" t="s">
        <v>983</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983</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3">
      <c r="B101" s="96" t="s">
        <v>979</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979</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3">
      <c r="B102" s="97" t="s">
        <v>984</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984</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3">
      <c r="B103" s="97" t="s">
        <v>985</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985</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3">
      <c r="B104" s="98" t="s">
        <v>986</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986</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85:O85"/>
    <mergeCell ref="P85:R85"/>
    <mergeCell ref="C92:O92"/>
    <mergeCell ref="P92:R92"/>
    <mergeCell ref="C99:O99"/>
    <mergeCell ref="P99:R99"/>
    <mergeCell ref="U85:AG85"/>
    <mergeCell ref="AH85:AJ85"/>
    <mergeCell ref="U92:AG92"/>
    <mergeCell ref="AH92:AJ92"/>
    <mergeCell ref="U99:AG99"/>
    <mergeCell ref="AH99:AJ99"/>
    <mergeCell ref="C71:O71"/>
    <mergeCell ref="P71:R71"/>
    <mergeCell ref="U71:AG71"/>
    <mergeCell ref="AH71:AJ71"/>
    <mergeCell ref="C78:O78"/>
    <mergeCell ref="P78:R78"/>
    <mergeCell ref="U78:AG78"/>
    <mergeCell ref="AH78:AJ78"/>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heetViews>
  <sheetFormatPr defaultColWidth="8.81640625" defaultRowHeight="14" x14ac:dyDescent="0.3"/>
  <cols>
    <col min="1" max="1" width="36.453125" style="8" hidden="1" customWidth="1"/>
    <col min="2" max="2" width="58" customWidth="1"/>
    <col min="3" max="3" width="15" style="6" bestFit="1" customWidth="1"/>
    <col min="4" max="4" width="13.453125" style="6" customWidth="1"/>
    <col min="5" max="5" width="15.81640625" style="6" customWidth="1"/>
    <col min="6" max="6" width="10.81640625" style="6" bestFit="1" customWidth="1"/>
    <col min="7" max="7" width="12.453125" style="6" customWidth="1"/>
    <col min="8" max="8" width="14.81640625" style="6" bestFit="1" customWidth="1"/>
    <col min="9" max="9" width="13" style="6" customWidth="1"/>
    <col min="10" max="10" width="15.1796875" style="6" customWidth="1"/>
    <col min="11" max="11" width="13.453125" style="6" customWidth="1"/>
    <col min="12" max="12" width="10.453125" style="6" bestFit="1" customWidth="1"/>
    <col min="13" max="13" width="12" style="6" customWidth="1"/>
    <col min="14" max="15" width="13.453125" style="6" customWidth="1"/>
    <col min="16" max="16" width="10.453125" style="6" bestFit="1" customWidth="1"/>
    <col min="17" max="17" width="9.453125" style="6" bestFit="1" customWidth="1"/>
    <col min="18" max="18" width="12.453125" style="6" customWidth="1"/>
    <col min="19" max="19" width="14.81640625" style="6" bestFit="1" customWidth="1"/>
    <col min="20" max="20" width="15.1796875" style="6" customWidth="1"/>
    <col min="21" max="21" width="15.453125" style="6" customWidth="1"/>
    <col min="22" max="22" width="16" style="6" customWidth="1"/>
    <col min="23" max="23" width="12.453125" bestFit="1" customWidth="1"/>
  </cols>
  <sheetData>
    <row r="1" spans="1:26" ht="67.5" customHeight="1" x14ac:dyDescent="0.3">
      <c r="A1"/>
      <c r="B1" s="537" t="s">
        <v>1078</v>
      </c>
      <c r="C1" s="486"/>
      <c r="D1" s="486"/>
      <c r="E1" s="486"/>
      <c r="F1" s="486"/>
      <c r="G1" s="486"/>
      <c r="H1" s="486"/>
      <c r="I1" s="486"/>
      <c r="J1" s="486"/>
      <c r="K1" s="486"/>
      <c r="L1" s="257"/>
      <c r="M1" s="257"/>
      <c r="N1" s="257"/>
      <c r="O1" s="257"/>
      <c r="P1" s="257"/>
      <c r="Q1" s="257"/>
      <c r="R1" s="257"/>
      <c r="S1" s="257"/>
      <c r="T1" s="257"/>
      <c r="U1" s="257"/>
      <c r="V1" s="257"/>
      <c r="W1" s="257"/>
      <c r="X1" s="257"/>
      <c r="Y1" s="257"/>
      <c r="Z1" s="257"/>
    </row>
    <row r="2" spans="1:26" ht="42" customHeight="1" x14ac:dyDescent="0.3">
      <c r="A2"/>
      <c r="B2" s="538"/>
      <c r="C2" s="430"/>
      <c r="D2" s="430"/>
      <c r="E2" s="430"/>
      <c r="F2" s="430"/>
      <c r="G2" s="430"/>
      <c r="H2" s="430"/>
      <c r="I2" s="430"/>
      <c r="J2" s="430"/>
      <c r="K2" s="430"/>
      <c r="L2" s="258"/>
      <c r="M2" s="258"/>
      <c r="N2" s="258"/>
      <c r="O2" s="258"/>
      <c r="P2" s="258"/>
      <c r="Q2" s="258"/>
      <c r="R2" s="258"/>
      <c r="S2" s="258"/>
      <c r="T2" s="258"/>
      <c r="U2" s="258"/>
      <c r="V2" s="258"/>
      <c r="W2" s="258"/>
      <c r="X2" s="258"/>
      <c r="Y2" s="258"/>
      <c r="Z2" s="258"/>
    </row>
    <row r="3" spans="1:26" ht="58.5" customHeight="1" x14ac:dyDescent="0.3">
      <c r="A3"/>
      <c r="B3" s="189" t="s">
        <v>917</v>
      </c>
    </row>
    <row r="4" spans="1:26" ht="33" customHeight="1" x14ac:dyDescent="0.35">
      <c r="A4" s="10"/>
      <c r="B4" s="242" t="s">
        <v>17</v>
      </c>
      <c r="C4" s="2"/>
      <c r="D4" s="2"/>
      <c r="E4" s="2"/>
      <c r="F4" s="2"/>
      <c r="G4" s="2"/>
      <c r="H4" s="2"/>
      <c r="I4" s="2"/>
      <c r="J4" s="2"/>
      <c r="K4" s="2"/>
      <c r="L4" s="2"/>
      <c r="M4" s="2"/>
      <c r="N4" s="2"/>
      <c r="O4" s="2"/>
      <c r="P4" s="2"/>
      <c r="Q4" s="2"/>
      <c r="R4" s="2"/>
      <c r="S4" s="2"/>
      <c r="T4" s="2"/>
      <c r="U4" s="2"/>
      <c r="V4" s="2"/>
      <c r="W4" s="1"/>
    </row>
    <row r="5" spans="1:26" ht="15.5" x14ac:dyDescent="0.35">
      <c r="A5" s="10"/>
      <c r="B5" s="1"/>
      <c r="C5" s="2"/>
      <c r="D5" s="2"/>
      <c r="E5" s="2"/>
      <c r="F5" s="2"/>
      <c r="G5" s="2"/>
      <c r="H5" s="2"/>
      <c r="I5" s="2"/>
      <c r="J5" s="2"/>
      <c r="K5" s="2"/>
      <c r="L5" s="2"/>
      <c r="M5" s="2"/>
      <c r="N5" s="2"/>
      <c r="O5" s="2"/>
      <c r="P5" s="2"/>
      <c r="Q5" s="2"/>
      <c r="R5" s="2"/>
      <c r="S5" s="2"/>
      <c r="T5" s="2"/>
      <c r="U5" s="2"/>
      <c r="V5" s="2"/>
      <c r="W5" s="1"/>
    </row>
    <row r="6" spans="1:26" ht="105" customHeight="1" x14ac:dyDescent="0.3">
      <c r="A6" s="14"/>
      <c r="B6" s="219" t="s">
        <v>1079</v>
      </c>
      <c r="C6" s="219" t="s">
        <v>1080</v>
      </c>
      <c r="D6" s="219" t="s">
        <v>1081</v>
      </c>
      <c r="E6" s="219" t="s">
        <v>1082</v>
      </c>
      <c r="F6" s="153"/>
      <c r="G6" s="219" t="s">
        <v>923</v>
      </c>
      <c r="H6" s="219" t="s">
        <v>924</v>
      </c>
      <c r="I6" s="153"/>
      <c r="J6" s="219" t="s">
        <v>925</v>
      </c>
      <c r="K6" s="219" t="s">
        <v>926</v>
      </c>
    </row>
    <row r="7" spans="1:26" ht="15.5" x14ac:dyDescent="0.3">
      <c r="A7" s="11"/>
      <c r="B7" s="154" t="s">
        <v>1002</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5.5" x14ac:dyDescent="0.35">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5.5" x14ac:dyDescent="0.35">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5.5" x14ac:dyDescent="0.35">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5.5" x14ac:dyDescent="0.35">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5.5" x14ac:dyDescent="0.35">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5.5" x14ac:dyDescent="0.35">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5.5" x14ac:dyDescent="0.35">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5.5" x14ac:dyDescent="0.35">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5.5" x14ac:dyDescent="0.35">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5.5" x14ac:dyDescent="0.35">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5.5" x14ac:dyDescent="0.35">
      <c r="A18" s="12" t="s">
        <v>1083</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5.5" x14ac:dyDescent="0.35">
      <c r="A19" s="12" t="s">
        <v>1084</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5.5" x14ac:dyDescent="0.35">
      <c r="A20" s="12" t="s">
        <v>1085</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5.5" x14ac:dyDescent="0.35">
      <c r="A21" s="12" t="s">
        <v>1086</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5.5" x14ac:dyDescent="0.35">
      <c r="A22" s="12" t="s">
        <v>1087</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6" customHeight="1" x14ac:dyDescent="0.35">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5.5" x14ac:dyDescent="0.35">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5.5" x14ac:dyDescent="0.35">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5.5" x14ac:dyDescent="0.35">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5.5" x14ac:dyDescent="0.35">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5.5" x14ac:dyDescent="0.35">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5.5" x14ac:dyDescent="0.35">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5.5" x14ac:dyDescent="0.35">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5.5" x14ac:dyDescent="0.35">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5.5" x14ac:dyDescent="0.35">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5.5" x14ac:dyDescent="0.35">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5.5" x14ac:dyDescent="0.35">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35">
      <c r="A35" s="10"/>
      <c r="B35" s="1"/>
      <c r="C35" s="2"/>
      <c r="D35" s="2"/>
      <c r="E35" s="2"/>
      <c r="F35" s="2"/>
      <c r="G35" s="2"/>
      <c r="H35" s="2"/>
      <c r="I35" s="2"/>
      <c r="J35" s="2"/>
      <c r="K35" s="2"/>
      <c r="L35" s="2"/>
      <c r="M35" s="2"/>
      <c r="N35" s="2"/>
      <c r="O35" s="2"/>
      <c r="P35" s="2"/>
      <c r="Q35" s="2"/>
      <c r="R35" s="2"/>
      <c r="S35" s="2"/>
      <c r="T35" s="2"/>
      <c r="U35" s="2"/>
      <c r="V35" s="2"/>
      <c r="W35" s="1"/>
    </row>
    <row r="36" spans="1:23" ht="78" x14ac:dyDescent="0.35">
      <c r="A36" s="10"/>
      <c r="B36" s="219" t="s">
        <v>1079</v>
      </c>
      <c r="C36" s="157" t="s">
        <v>1088</v>
      </c>
      <c r="D36" s="157" t="s">
        <v>1089</v>
      </c>
      <c r="E36" s="157" t="s">
        <v>1090</v>
      </c>
      <c r="F36" s="157" t="s">
        <v>1091</v>
      </c>
      <c r="G36" s="157" t="s">
        <v>1092</v>
      </c>
      <c r="H36" s="157" t="s">
        <v>1093</v>
      </c>
      <c r="I36" s="157" t="s">
        <v>1094</v>
      </c>
      <c r="J36" s="158" t="s">
        <v>1095</v>
      </c>
      <c r="K36" s="157" t="s">
        <v>1096</v>
      </c>
      <c r="L36" s="157" t="s">
        <v>1097</v>
      </c>
      <c r="M36" s="157" t="s">
        <v>1098</v>
      </c>
      <c r="N36" s="2"/>
      <c r="O36" s="2"/>
      <c r="P36" s="2"/>
      <c r="Q36" s="2"/>
      <c r="R36" s="2"/>
      <c r="S36" s="2"/>
      <c r="T36" s="2"/>
      <c r="U36" s="2"/>
      <c r="V36" s="2"/>
      <c r="W36" s="1"/>
    </row>
    <row r="37" spans="1:23" ht="15.5" x14ac:dyDescent="0.35">
      <c r="A37" s="10"/>
      <c r="B37" s="154" t="s">
        <v>1002</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5.5" x14ac:dyDescent="0.35">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5.5" x14ac:dyDescent="0.35">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5.5" x14ac:dyDescent="0.35">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5.5" x14ac:dyDescent="0.35">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5.5" x14ac:dyDescent="0.35">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5.5" x14ac:dyDescent="0.35">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5.5" x14ac:dyDescent="0.35">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5.5" x14ac:dyDescent="0.35">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5.5" x14ac:dyDescent="0.35">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5.5" x14ac:dyDescent="0.35">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5.5" x14ac:dyDescent="0.35">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5.5" x14ac:dyDescent="0.35">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5.5" x14ac:dyDescent="0.35">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5.5" x14ac:dyDescent="0.35">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5.5" x14ac:dyDescent="0.35">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5.5" x14ac:dyDescent="0.35">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5.5" x14ac:dyDescent="0.35">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5.5" x14ac:dyDescent="0.35">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5.5" x14ac:dyDescent="0.35">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5.5" x14ac:dyDescent="0.35">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5.5" x14ac:dyDescent="0.35">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5.5" x14ac:dyDescent="0.35">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5.5" x14ac:dyDescent="0.35">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5.5" x14ac:dyDescent="0.35">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5.5" x14ac:dyDescent="0.35">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5.5" x14ac:dyDescent="0.35">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5.5" x14ac:dyDescent="0.35">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35">
      <c r="A65" s="10"/>
      <c r="B65" s="1"/>
      <c r="C65" s="535"/>
      <c r="D65" s="536"/>
      <c r="E65" s="536"/>
      <c r="F65" s="536"/>
      <c r="G65" s="536"/>
      <c r="H65" s="536"/>
      <c r="I65" s="536"/>
      <c r="J65" s="536"/>
      <c r="K65" s="536"/>
      <c r="L65" s="2"/>
      <c r="M65" s="2"/>
      <c r="N65" s="2"/>
      <c r="O65" s="2"/>
      <c r="P65" s="2"/>
      <c r="Q65" s="2"/>
      <c r="R65" s="2"/>
      <c r="S65" s="2"/>
      <c r="T65" s="2"/>
      <c r="U65" s="2"/>
      <c r="V65" s="2"/>
      <c r="W65" s="1"/>
    </row>
    <row r="66" spans="1:23" ht="72.75" customHeight="1" x14ac:dyDescent="0.35">
      <c r="A66" s="10"/>
      <c r="B66" s="219" t="s">
        <v>1079</v>
      </c>
      <c r="C66" s="219" t="s">
        <v>951</v>
      </c>
      <c r="D66" s="219" t="s">
        <v>952</v>
      </c>
      <c r="E66" s="219" t="s">
        <v>953</v>
      </c>
      <c r="F66" s="219" t="s">
        <v>954</v>
      </c>
      <c r="G66" s="219" t="s">
        <v>955</v>
      </c>
      <c r="H66" s="219" t="s">
        <v>956</v>
      </c>
      <c r="I66" s="219" t="s">
        <v>957</v>
      </c>
      <c r="J66" s="219" t="s">
        <v>958</v>
      </c>
      <c r="K66" s="219" t="s">
        <v>959</v>
      </c>
      <c r="O66" s="2"/>
      <c r="P66" s="2"/>
      <c r="Q66" s="2"/>
      <c r="R66" s="2"/>
      <c r="S66" s="2"/>
      <c r="T66" s="2"/>
      <c r="U66" s="2"/>
      <c r="V66" s="2"/>
      <c r="W66" s="1"/>
    </row>
    <row r="67" spans="1:23" ht="15.5" x14ac:dyDescent="0.35">
      <c r="A67" s="10"/>
      <c r="B67" s="154" t="s">
        <v>1031</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5.5" x14ac:dyDescent="0.35">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5.5" x14ac:dyDescent="0.35">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3">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3">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3">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3">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3">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3">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3">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3">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3">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3">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3">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3">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3">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3">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3">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3">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3">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3">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3">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3">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3">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3">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3">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3">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3">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3"/>
    <row r="96" spans="2:11" ht="52" x14ac:dyDescent="0.3">
      <c r="B96" s="219" t="s">
        <v>1079</v>
      </c>
      <c r="C96" s="219" t="s">
        <v>1099</v>
      </c>
      <c r="D96" s="219" t="s">
        <v>1100</v>
      </c>
      <c r="E96" s="219" t="s">
        <v>1101</v>
      </c>
      <c r="F96" s="219" t="s">
        <v>1102</v>
      </c>
      <c r="G96" s="219" t="s">
        <v>1103</v>
      </c>
      <c r="H96" s="219" t="s">
        <v>1104</v>
      </c>
      <c r="I96" s="219" t="s">
        <v>1105</v>
      </c>
    </row>
    <row r="97" spans="2:9" x14ac:dyDescent="0.3">
      <c r="B97" s="154" t="s">
        <v>1031</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3">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3">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3">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3">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3">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3">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3">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3">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3">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3">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3">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3">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3">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3">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3">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3">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3">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3">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3">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3">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3">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3">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3">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3">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3">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3">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3">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topLeftCell="A16" zoomScale="85" zoomScaleNormal="85" workbookViewId="0">
      <selection sqref="A1:AJ1"/>
    </sheetView>
  </sheetViews>
  <sheetFormatPr defaultColWidth="9.1796875" defaultRowHeight="14" x14ac:dyDescent="0.3"/>
  <cols>
    <col min="1" max="1" width="1.453125" customWidth="1"/>
    <col min="2" max="2" width="36.1796875" customWidth="1"/>
    <col min="20" max="20" width="33" customWidth="1"/>
  </cols>
  <sheetData>
    <row r="1" spans="1:50" ht="66" customHeight="1" x14ac:dyDescent="0.3">
      <c r="A1" s="537" t="s">
        <v>1106</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57"/>
      <c r="AL1" s="257"/>
      <c r="AM1" s="257"/>
      <c r="AN1" s="257"/>
      <c r="AO1" s="261"/>
      <c r="AP1" s="257"/>
      <c r="AQ1" s="257"/>
      <c r="AR1" s="257"/>
      <c r="AS1" s="257"/>
      <c r="AT1" s="257"/>
      <c r="AU1" s="257"/>
      <c r="AV1" s="257"/>
      <c r="AW1" s="257"/>
      <c r="AX1" s="257"/>
    </row>
    <row r="2" spans="1:50" ht="53.25" customHeight="1" x14ac:dyDescent="0.3">
      <c r="A2" s="253"/>
      <c r="B2" s="430"/>
      <c r="C2" s="430"/>
      <c r="D2" s="430"/>
      <c r="E2" s="430"/>
      <c r="F2" s="430"/>
      <c r="G2" s="430"/>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262"/>
      <c r="AL2" s="262"/>
      <c r="AM2" s="262"/>
      <c r="AN2" s="262"/>
      <c r="AO2" s="262"/>
      <c r="AP2" s="262"/>
      <c r="AQ2" s="262"/>
      <c r="AR2" s="262"/>
      <c r="AS2" s="262"/>
      <c r="AT2" s="262"/>
      <c r="AU2" s="262"/>
      <c r="AV2" s="262"/>
      <c r="AW2" s="262"/>
      <c r="AX2" s="262"/>
    </row>
    <row r="3" spans="1:50" s="48" customFormat="1" ht="15.5" x14ac:dyDescent="0.3">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28" x14ac:dyDescent="0.3">
      <c r="B4" s="36" t="s">
        <v>917</v>
      </c>
    </row>
    <row r="5" spans="1:50" ht="24" customHeight="1" x14ac:dyDescent="0.3">
      <c r="B5" s="242" t="s">
        <v>17</v>
      </c>
      <c r="P5" s="40"/>
      <c r="Q5" s="40"/>
    </row>
    <row r="6" spans="1:50" x14ac:dyDescent="0.3">
      <c r="B6" s="46"/>
    </row>
    <row r="8" spans="1:50" ht="28.5" customHeight="1" x14ac:dyDescent="0.3">
      <c r="B8" s="142" t="str">
        <f>HLOOKUP($B$5,Region_Table,2,0)</f>
        <v>All East Midlands Region</v>
      </c>
      <c r="C8" s="529" t="s">
        <v>1107</v>
      </c>
      <c r="D8" s="530"/>
      <c r="E8" s="530"/>
      <c r="F8" s="530"/>
      <c r="G8" s="530"/>
      <c r="H8" s="530"/>
      <c r="I8" s="530"/>
      <c r="J8" s="530"/>
      <c r="K8" s="530"/>
      <c r="L8" s="530"/>
      <c r="M8" s="539"/>
      <c r="N8" s="539"/>
      <c r="O8" s="540"/>
      <c r="P8" s="516">
        <f>SUMIFS('caseload data'!V:V,'caseload data'!B:B,"custody",'caseload data'!C:C,'custody caseload'!B8)</f>
        <v>0</v>
      </c>
      <c r="Q8" s="533"/>
      <c r="R8" s="534"/>
      <c r="S8" s="64"/>
      <c r="T8" s="142" t="str">
        <f>HLOOKUP($B$5,Region_Table,3,0)</f>
        <v>Derby City - N53</v>
      </c>
      <c r="U8" s="529" t="s">
        <v>1107</v>
      </c>
      <c r="V8" s="530"/>
      <c r="W8" s="530"/>
      <c r="X8" s="530"/>
      <c r="Y8" s="530"/>
      <c r="Z8" s="530"/>
      <c r="AA8" s="530"/>
      <c r="AB8" s="530"/>
      <c r="AC8" s="530"/>
      <c r="AD8" s="530"/>
      <c r="AE8" s="539"/>
      <c r="AF8" s="539"/>
      <c r="AG8" s="540"/>
      <c r="AH8" s="516">
        <f>SUMIFS('caseload data'!V:V,'caseload data'!B:B,"custody",'caseload data'!C:C,'custody caseload'!T8)</f>
        <v>0</v>
      </c>
      <c r="AI8" s="533"/>
      <c r="AJ8" s="534"/>
    </row>
    <row r="9" spans="1:50" x14ac:dyDescent="0.3">
      <c r="B9" s="95" t="s">
        <v>983</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983</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3">
      <c r="B10" s="96" t="s">
        <v>979</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979</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ht="14.5" x14ac:dyDescent="0.35">
      <c r="B11" s="97" t="s">
        <v>984</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984</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ht="14.5" x14ac:dyDescent="0.35">
      <c r="B12" s="97" t="s">
        <v>985</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985</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3">
      <c r="B13" s="98" t="s">
        <v>986</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986</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3">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3">
      <c r="B15" s="142" t="str">
        <f>HLOOKUP($B$5,Region_Table,4,0)</f>
        <v>Derbyshire - N53</v>
      </c>
      <c r="C15" s="529" t="s">
        <v>1107</v>
      </c>
      <c r="D15" s="530"/>
      <c r="E15" s="530"/>
      <c r="F15" s="530"/>
      <c r="G15" s="530"/>
      <c r="H15" s="530"/>
      <c r="I15" s="530"/>
      <c r="J15" s="530"/>
      <c r="K15" s="530"/>
      <c r="L15" s="530"/>
      <c r="M15" s="539"/>
      <c r="N15" s="539"/>
      <c r="O15" s="540"/>
      <c r="P15" s="516">
        <f>SUMIFS('caseload data'!V:V,'caseload data'!B:B,"custody",'caseload data'!$C:$C,'custody caseload'!B15)</f>
        <v>0</v>
      </c>
      <c r="Q15" s="533"/>
      <c r="R15" s="534"/>
      <c r="S15" s="64"/>
      <c r="T15" s="142" t="str">
        <f>HLOOKUP($B$5,Region_Table,5,0)</f>
        <v>Leicester, Leicestershire and Rutland</v>
      </c>
      <c r="U15" s="529" t="s">
        <v>1107</v>
      </c>
      <c r="V15" s="530"/>
      <c r="W15" s="530"/>
      <c r="X15" s="530"/>
      <c r="Y15" s="530"/>
      <c r="Z15" s="530"/>
      <c r="AA15" s="530"/>
      <c r="AB15" s="530"/>
      <c r="AC15" s="530"/>
      <c r="AD15" s="530"/>
      <c r="AE15" s="539"/>
      <c r="AF15" s="539"/>
      <c r="AG15" s="540"/>
      <c r="AH15" s="516">
        <f>SUMIFS('caseload data'!V:V,'caseload data'!B:B,"custody",'caseload data'!$C:$C,'custody caseload'!T15)</f>
        <v>0</v>
      </c>
      <c r="AI15" s="533"/>
      <c r="AJ15" s="534"/>
    </row>
    <row r="16" spans="1:50" x14ac:dyDescent="0.3">
      <c r="B16" s="95" t="s">
        <v>983</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983</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3">
      <c r="B17" s="96" t="s">
        <v>979</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979</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ht="14.5" x14ac:dyDescent="0.35">
      <c r="B18" s="97" t="s">
        <v>984</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984</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ht="14.5" x14ac:dyDescent="0.35">
      <c r="B19" s="97" t="s">
        <v>985</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985</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3">
      <c r="B20" s="98" t="s">
        <v>986</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986</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3">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3">
      <c r="B22" s="142" t="str">
        <f>HLOOKUP($B$5,Region_Table,6,0)</f>
        <v>Lincolnshire East and West - N53</v>
      </c>
      <c r="C22" s="529" t="s">
        <v>1107</v>
      </c>
      <c r="D22" s="530"/>
      <c r="E22" s="530"/>
      <c r="F22" s="530"/>
      <c r="G22" s="530"/>
      <c r="H22" s="530"/>
      <c r="I22" s="530"/>
      <c r="J22" s="530"/>
      <c r="K22" s="530"/>
      <c r="L22" s="530"/>
      <c r="M22" s="539"/>
      <c r="N22" s="539"/>
      <c r="O22" s="540"/>
      <c r="P22" s="516">
        <f>SUMIFS('caseload data'!V:V,'caseload data'!B:B,"custody",'caseload data'!$C:$C,'custody caseload'!B22)</f>
        <v>0</v>
      </c>
      <c r="Q22" s="533"/>
      <c r="R22" s="534"/>
      <c r="S22" s="64"/>
      <c r="T22" s="142" t="str">
        <f>HLOOKUP($B$5,Region_Table,7,0)</f>
        <v>Nottingham City</v>
      </c>
      <c r="U22" s="529" t="s">
        <v>1107</v>
      </c>
      <c r="V22" s="530"/>
      <c r="W22" s="530"/>
      <c r="X22" s="530"/>
      <c r="Y22" s="530"/>
      <c r="Z22" s="530"/>
      <c r="AA22" s="530"/>
      <c r="AB22" s="530"/>
      <c r="AC22" s="530"/>
      <c r="AD22" s="530"/>
      <c r="AE22" s="539"/>
      <c r="AF22" s="539"/>
      <c r="AG22" s="540"/>
      <c r="AH22" s="516">
        <f>SUMIFS('caseload data'!V:V,'caseload data'!B:B,"custody",'caseload data'!$C:$C,'custody caseload'!T22)</f>
        <v>0</v>
      </c>
      <c r="AI22" s="533"/>
      <c r="AJ22" s="534"/>
    </row>
    <row r="23" spans="2:36" x14ac:dyDescent="0.3">
      <c r="B23" s="95" t="s">
        <v>983</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983</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3">
      <c r="B24" s="96" t="s">
        <v>979</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979</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ht="14.5" x14ac:dyDescent="0.35">
      <c r="B25" s="97" t="s">
        <v>984</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984</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ht="14.5" x14ac:dyDescent="0.35">
      <c r="B26" s="97" t="s">
        <v>985</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985</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3">
      <c r="B27" s="98" t="s">
        <v>986</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986</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3">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3">
      <c r="B29" s="142" t="str">
        <f>HLOOKUP($B$5,Region_Table,8,0)</f>
        <v>Nottinghamshire - N53</v>
      </c>
      <c r="C29" s="529" t="s">
        <v>1107</v>
      </c>
      <c r="D29" s="530"/>
      <c r="E29" s="530"/>
      <c r="F29" s="530"/>
      <c r="G29" s="530"/>
      <c r="H29" s="530"/>
      <c r="I29" s="530"/>
      <c r="J29" s="530"/>
      <c r="K29" s="530"/>
      <c r="L29" s="530"/>
      <c r="M29" s="539"/>
      <c r="N29" s="539"/>
      <c r="O29" s="540"/>
      <c r="P29" s="516">
        <f>SUMIFS('caseload data'!V:V,'caseload data'!B:B,"custody",'caseload data'!$C:$C,'custody caseload'!B29)</f>
        <v>0</v>
      </c>
      <c r="Q29" s="533"/>
      <c r="R29" s="534"/>
      <c r="S29" s="64"/>
      <c r="T29" s="142" t="str">
        <f>HLOOKUP($B$5,Region_Table,9,0)</f>
        <v>Unpaid Work and Attendance Centres - N53</v>
      </c>
      <c r="U29" s="529" t="s">
        <v>1107</v>
      </c>
      <c r="V29" s="530"/>
      <c r="W29" s="530"/>
      <c r="X29" s="530"/>
      <c r="Y29" s="530"/>
      <c r="Z29" s="530"/>
      <c r="AA29" s="530"/>
      <c r="AB29" s="530"/>
      <c r="AC29" s="530"/>
      <c r="AD29" s="530"/>
      <c r="AE29" s="539"/>
      <c r="AF29" s="539"/>
      <c r="AG29" s="540"/>
      <c r="AH29" s="516">
        <f>SUMIFS('caseload data'!V:V,'caseload data'!B:B,"custody",'caseload data'!$C:$C,'custody caseload'!T29)</f>
        <v>0</v>
      </c>
      <c r="AI29" s="533"/>
      <c r="AJ29" s="534"/>
    </row>
    <row r="30" spans="2:36" x14ac:dyDescent="0.3">
      <c r="B30" s="95" t="s">
        <v>983</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983</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3">
      <c r="B31" s="96" t="s">
        <v>979</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979</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ht="14.5" x14ac:dyDescent="0.35">
      <c r="B32" s="97" t="s">
        <v>984</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984</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ht="14.5" x14ac:dyDescent="0.35">
      <c r="B33" s="97" t="s">
        <v>985</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985</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3">
      <c r="B34" s="98" t="s">
        <v>986</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986</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3">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3">
      <c r="B36" s="142">
        <f>HLOOKUP($B$5,Region_Table,10,0)</f>
        <v>0</v>
      </c>
      <c r="C36" s="529" t="s">
        <v>1108</v>
      </c>
      <c r="D36" s="530"/>
      <c r="E36" s="530"/>
      <c r="F36" s="530"/>
      <c r="G36" s="530"/>
      <c r="H36" s="530"/>
      <c r="I36" s="530"/>
      <c r="J36" s="530"/>
      <c r="K36" s="530"/>
      <c r="L36" s="530"/>
      <c r="M36" s="539"/>
      <c r="N36" s="539"/>
      <c r="O36" s="540"/>
      <c r="P36" s="516">
        <f>SUMIFS('caseload data'!V:V,'caseload data'!B:B,"custody",'caseload data'!$C:$C,'custody caseload'!B36)</f>
        <v>0</v>
      </c>
      <c r="Q36" s="533"/>
      <c r="R36" s="534"/>
      <c r="S36" s="64"/>
      <c r="T36" s="142">
        <f>HLOOKUP($B$5,Region_Table,11,0)</f>
        <v>0</v>
      </c>
      <c r="U36" s="529" t="s">
        <v>1107</v>
      </c>
      <c r="V36" s="530"/>
      <c r="W36" s="530"/>
      <c r="X36" s="530"/>
      <c r="Y36" s="530"/>
      <c r="Z36" s="530"/>
      <c r="AA36" s="530"/>
      <c r="AB36" s="530"/>
      <c r="AC36" s="530"/>
      <c r="AD36" s="530"/>
      <c r="AE36" s="539"/>
      <c r="AF36" s="539"/>
      <c r="AG36" s="540"/>
      <c r="AH36" s="516">
        <f>SUMIFS('caseload data'!V:V,'caseload data'!B:B,"custody",'caseload data'!$C:$C,'custody caseload'!T36)</f>
        <v>0</v>
      </c>
      <c r="AI36" s="533"/>
      <c r="AJ36" s="534"/>
    </row>
    <row r="37" spans="2:36" x14ac:dyDescent="0.3">
      <c r="B37" s="95" t="s">
        <v>983</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983</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3">
      <c r="B38" s="96" t="s">
        <v>979</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979</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ht="14.5" x14ac:dyDescent="0.35">
      <c r="B39" s="97" t="s">
        <v>984</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984</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ht="14.5" x14ac:dyDescent="0.35">
      <c r="B40" s="97" t="s">
        <v>985</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985</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3">
      <c r="B41" s="98" t="s">
        <v>986</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986</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3">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3">
      <c r="B43" s="142">
        <f>HLOOKUP($B$5,Region_Table,12,0)</f>
        <v>0</v>
      </c>
      <c r="C43" s="529" t="s">
        <v>1107</v>
      </c>
      <c r="D43" s="530"/>
      <c r="E43" s="530"/>
      <c r="F43" s="530"/>
      <c r="G43" s="530"/>
      <c r="H43" s="530"/>
      <c r="I43" s="530"/>
      <c r="J43" s="530"/>
      <c r="K43" s="530"/>
      <c r="L43" s="530"/>
      <c r="M43" s="539"/>
      <c r="N43" s="539"/>
      <c r="O43" s="540"/>
      <c r="P43" s="516">
        <f>SUMIFS('caseload data'!V:V,'caseload data'!B:B,"custody",'caseload data'!$C:$C,'custody caseload'!B43)</f>
        <v>0</v>
      </c>
      <c r="Q43" s="533"/>
      <c r="R43" s="534"/>
      <c r="S43" s="64"/>
      <c r="T43" s="142">
        <f>HLOOKUP($B$5,Region_Table,13,0)</f>
        <v>0</v>
      </c>
      <c r="U43" s="529" t="s">
        <v>1107</v>
      </c>
      <c r="V43" s="530"/>
      <c r="W43" s="530"/>
      <c r="X43" s="530"/>
      <c r="Y43" s="530"/>
      <c r="Z43" s="530"/>
      <c r="AA43" s="530"/>
      <c r="AB43" s="530"/>
      <c r="AC43" s="530"/>
      <c r="AD43" s="530"/>
      <c r="AE43" s="539"/>
      <c r="AF43" s="539"/>
      <c r="AG43" s="540"/>
      <c r="AH43" s="516">
        <f>SUMIFS('caseload data'!V:V,'caseload data'!B:B,"custody",'caseload data'!$C:$C,'custody caseload'!T43)</f>
        <v>0</v>
      </c>
      <c r="AI43" s="533"/>
      <c r="AJ43" s="534"/>
    </row>
    <row r="44" spans="2:36" x14ac:dyDescent="0.3">
      <c r="B44" s="95" t="s">
        <v>983</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983</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3">
      <c r="B45" s="96" t="s">
        <v>979</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979</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ht="14.5" x14ac:dyDescent="0.35">
      <c r="B46" s="97" t="s">
        <v>984</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984</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ht="14.5" x14ac:dyDescent="0.35">
      <c r="B47" s="97" t="s">
        <v>985</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985</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3">
      <c r="B48" s="98" t="s">
        <v>986</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986</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3">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3">
      <c r="B50" s="142">
        <f>HLOOKUP($B$5,Region_Table,14,0)</f>
        <v>0</v>
      </c>
      <c r="C50" s="529" t="s">
        <v>1107</v>
      </c>
      <c r="D50" s="530"/>
      <c r="E50" s="530"/>
      <c r="F50" s="530"/>
      <c r="G50" s="530"/>
      <c r="H50" s="530"/>
      <c r="I50" s="530"/>
      <c r="J50" s="530"/>
      <c r="K50" s="530"/>
      <c r="L50" s="530"/>
      <c r="M50" s="539"/>
      <c r="N50" s="539"/>
      <c r="O50" s="540"/>
      <c r="P50" s="516">
        <f>SUMIFS('caseload data'!V:V,'caseload data'!B:B,"custody",'caseload data'!$C:$C,'custody caseload'!B50)</f>
        <v>0</v>
      </c>
      <c r="Q50" s="533"/>
      <c r="R50" s="534"/>
      <c r="S50" s="64"/>
      <c r="T50" s="142">
        <f>HLOOKUP($B$5,Region_Table,15,0)</f>
        <v>0</v>
      </c>
      <c r="U50" s="529" t="s">
        <v>1107</v>
      </c>
      <c r="V50" s="530"/>
      <c r="W50" s="530"/>
      <c r="X50" s="530"/>
      <c r="Y50" s="530"/>
      <c r="Z50" s="530"/>
      <c r="AA50" s="530"/>
      <c r="AB50" s="530"/>
      <c r="AC50" s="530"/>
      <c r="AD50" s="530"/>
      <c r="AE50" s="539"/>
      <c r="AF50" s="539"/>
      <c r="AG50" s="540"/>
      <c r="AH50" s="516">
        <f>SUMIFS('caseload data'!V:V,'caseload data'!B:B,"custody",'caseload data'!$C:$C,'custody caseload'!T50)</f>
        <v>0</v>
      </c>
      <c r="AI50" s="533"/>
      <c r="AJ50" s="534"/>
    </row>
    <row r="51" spans="2:36" x14ac:dyDescent="0.3">
      <c r="B51" s="95" t="s">
        <v>983</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983</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3">
      <c r="B52" s="96" t="s">
        <v>979</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979</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ht="14.5" x14ac:dyDescent="0.35">
      <c r="B53" s="97" t="s">
        <v>984</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984</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ht="14.5" x14ac:dyDescent="0.35">
      <c r="B54" s="97" t="s">
        <v>985</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985</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3">
      <c r="B55" s="98" t="s">
        <v>986</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986</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3">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3">
      <c r="B57" s="142">
        <f>HLOOKUP($B$5,Region_Table,16,0)</f>
        <v>0</v>
      </c>
      <c r="C57" s="529" t="s">
        <v>1107</v>
      </c>
      <c r="D57" s="530"/>
      <c r="E57" s="530"/>
      <c r="F57" s="530"/>
      <c r="G57" s="530"/>
      <c r="H57" s="530"/>
      <c r="I57" s="530"/>
      <c r="J57" s="530"/>
      <c r="K57" s="530"/>
      <c r="L57" s="530"/>
      <c r="M57" s="539"/>
      <c r="N57" s="539"/>
      <c r="O57" s="540"/>
      <c r="P57" s="516">
        <f>SUMIFS('caseload data'!V:V,'caseload data'!B:B,"custody",'caseload data'!$C:$C,'custody caseload'!B57)</f>
        <v>0</v>
      </c>
      <c r="Q57" s="533"/>
      <c r="R57" s="534"/>
      <c r="S57" s="64"/>
      <c r="T57" s="142">
        <f>HLOOKUP($B$5,Region_Table,17,0)</f>
        <v>0</v>
      </c>
      <c r="U57" s="529" t="s">
        <v>1107</v>
      </c>
      <c r="V57" s="530"/>
      <c r="W57" s="530"/>
      <c r="X57" s="530"/>
      <c r="Y57" s="530"/>
      <c r="Z57" s="530"/>
      <c r="AA57" s="530"/>
      <c r="AB57" s="530"/>
      <c r="AC57" s="530"/>
      <c r="AD57" s="530"/>
      <c r="AE57" s="539"/>
      <c r="AF57" s="539"/>
      <c r="AG57" s="540"/>
      <c r="AH57" s="516">
        <f>SUMIFS('caseload data'!V:V,'caseload data'!B:B,"custody",'caseload data'!$C:$C,'custody caseload'!T57)</f>
        <v>0</v>
      </c>
      <c r="AI57" s="533"/>
      <c r="AJ57" s="534"/>
    </row>
    <row r="58" spans="2:36" x14ac:dyDescent="0.3">
      <c r="B58" s="95" t="s">
        <v>983</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983</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3">
      <c r="B59" s="96" t="s">
        <v>979</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979</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ht="14.5" x14ac:dyDescent="0.35">
      <c r="B60" s="97" t="s">
        <v>984</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984</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ht="14.5" x14ac:dyDescent="0.35">
      <c r="B61" s="97" t="s">
        <v>985</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985</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3">
      <c r="B62" s="98" t="s">
        <v>986</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986</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3">
      <c r="B64" s="142">
        <f>HLOOKUP($B$5,Region_Table,18,0)</f>
        <v>0</v>
      </c>
      <c r="C64" s="529" t="s">
        <v>1107</v>
      </c>
      <c r="D64" s="530"/>
      <c r="E64" s="530"/>
      <c r="F64" s="530"/>
      <c r="G64" s="530"/>
      <c r="H64" s="530"/>
      <c r="I64" s="530"/>
      <c r="J64" s="530"/>
      <c r="K64" s="530"/>
      <c r="L64" s="530"/>
      <c r="M64" s="539"/>
      <c r="N64" s="539"/>
      <c r="O64" s="540"/>
      <c r="P64" s="516">
        <f>SUMIFS('caseload data'!V:V,'caseload data'!B:B,"custody",'caseload data'!$C:$C,'custody caseload'!B64)</f>
        <v>0</v>
      </c>
      <c r="Q64" s="533"/>
      <c r="R64" s="534"/>
      <c r="S64" s="64"/>
      <c r="T64" s="142">
        <f>HLOOKUP($B$5,Region_Table,19,0)</f>
        <v>0</v>
      </c>
      <c r="U64" s="529" t="s">
        <v>1107</v>
      </c>
      <c r="V64" s="530"/>
      <c r="W64" s="530"/>
      <c r="X64" s="530"/>
      <c r="Y64" s="530"/>
      <c r="Z64" s="530"/>
      <c r="AA64" s="530"/>
      <c r="AB64" s="530"/>
      <c r="AC64" s="530"/>
      <c r="AD64" s="530"/>
      <c r="AE64" s="539"/>
      <c r="AF64" s="539"/>
      <c r="AG64" s="540"/>
      <c r="AH64" s="516">
        <f>SUMIFS('caseload data'!V:V,'caseload data'!B:B,"custody",'caseload data'!$C:$C,'custody caseload'!T64)</f>
        <v>0</v>
      </c>
      <c r="AI64" s="533"/>
      <c r="AJ64" s="534"/>
    </row>
    <row r="65" spans="2:36" x14ac:dyDescent="0.3">
      <c r="B65" s="95" t="s">
        <v>983</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983</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3">
      <c r="B66" s="96" t="s">
        <v>979</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979</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ht="14.5" x14ac:dyDescent="0.35">
      <c r="B67" s="97" t="s">
        <v>984</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984</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ht="14.5" x14ac:dyDescent="0.35">
      <c r="B68" s="97" t="s">
        <v>985</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985</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3">
      <c r="B69" s="98" t="s">
        <v>986</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986</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3">
      <c r="B71" s="142">
        <f>HLOOKUP($B$5,Region_Table,20,0)</f>
        <v>0</v>
      </c>
      <c r="C71" s="529" t="s">
        <v>1107</v>
      </c>
      <c r="D71" s="530"/>
      <c r="E71" s="530"/>
      <c r="F71" s="530"/>
      <c r="G71" s="530"/>
      <c r="H71" s="530"/>
      <c r="I71" s="530"/>
      <c r="J71" s="530"/>
      <c r="K71" s="530"/>
      <c r="L71" s="530"/>
      <c r="M71" s="539"/>
      <c r="N71" s="539"/>
      <c r="O71" s="540"/>
      <c r="P71" s="516">
        <f>SUMIFS('caseload data'!V:V,'caseload data'!B:B,"custody",'caseload data'!$C:$C,'custody caseload'!B71)</f>
        <v>0</v>
      </c>
      <c r="Q71" s="533"/>
      <c r="R71" s="534"/>
      <c r="T71" s="142">
        <f>HLOOKUP($B$5,Region_Table,21,0)</f>
        <v>0</v>
      </c>
      <c r="U71" s="529" t="s">
        <v>1107</v>
      </c>
      <c r="V71" s="530"/>
      <c r="W71" s="530"/>
      <c r="X71" s="530"/>
      <c r="Y71" s="530"/>
      <c r="Z71" s="530"/>
      <c r="AA71" s="530"/>
      <c r="AB71" s="530"/>
      <c r="AC71" s="530"/>
      <c r="AD71" s="530"/>
      <c r="AE71" s="539"/>
      <c r="AF71" s="539"/>
      <c r="AG71" s="540"/>
      <c r="AH71" s="516">
        <f>SUMIFS('caseload data'!V:V,'caseload data'!B:B,"custody",'caseload data'!$C:$C,'custody caseload'!T71)</f>
        <v>0</v>
      </c>
      <c r="AI71" s="533"/>
      <c r="AJ71" s="534"/>
    </row>
    <row r="72" spans="2:36" x14ac:dyDescent="0.3">
      <c r="B72" s="95" t="s">
        <v>983</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983</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3">
      <c r="B73" s="96" t="s">
        <v>979</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979</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ht="14.5" x14ac:dyDescent="0.35">
      <c r="B74" s="97" t="s">
        <v>984</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984</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ht="14.5" x14ac:dyDescent="0.35">
      <c r="B75" s="97" t="s">
        <v>985</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985</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3">
      <c r="B76" s="98" t="s">
        <v>986</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986</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3">
      <c r="B78" s="142">
        <f>HLOOKUP($B$5,Region_Table,22,0)</f>
        <v>0</v>
      </c>
      <c r="C78" s="529" t="s">
        <v>1107</v>
      </c>
      <c r="D78" s="530"/>
      <c r="E78" s="530"/>
      <c r="F78" s="530"/>
      <c r="G78" s="530"/>
      <c r="H78" s="530"/>
      <c r="I78" s="530"/>
      <c r="J78" s="530"/>
      <c r="K78" s="530"/>
      <c r="L78" s="530"/>
      <c r="M78" s="539"/>
      <c r="N78" s="539"/>
      <c r="O78" s="540"/>
      <c r="P78" s="516">
        <f>SUMIFS('caseload data'!V:V,'caseload data'!B:B,"custody",'caseload data'!$C:$C,'custody caseload'!B78)</f>
        <v>0</v>
      </c>
      <c r="Q78" s="533"/>
      <c r="R78" s="534"/>
      <c r="T78" s="142">
        <f>HLOOKUP($B$5,Region_Table,23,0)</f>
        <v>0</v>
      </c>
      <c r="U78" s="529" t="s">
        <v>1107</v>
      </c>
      <c r="V78" s="530"/>
      <c r="W78" s="530"/>
      <c r="X78" s="530"/>
      <c r="Y78" s="530"/>
      <c r="Z78" s="530"/>
      <c r="AA78" s="530"/>
      <c r="AB78" s="530"/>
      <c r="AC78" s="530"/>
      <c r="AD78" s="530"/>
      <c r="AE78" s="539"/>
      <c r="AF78" s="539"/>
      <c r="AG78" s="540"/>
      <c r="AH78" s="516">
        <f>SUMIFS('caseload data'!V:V,'caseload data'!B:B,"custody",'caseload data'!$C:$C,'custody caseload'!T78)</f>
        <v>0</v>
      </c>
      <c r="AI78" s="533"/>
      <c r="AJ78" s="534"/>
    </row>
    <row r="79" spans="2:36" x14ac:dyDescent="0.3">
      <c r="B79" s="95" t="s">
        <v>983</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983</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3">
      <c r="B80" s="96" t="s">
        <v>979</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979</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ht="14.5" x14ac:dyDescent="0.35">
      <c r="B81" s="97" t="s">
        <v>984</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984</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ht="14.5" x14ac:dyDescent="0.35">
      <c r="B82" s="97" t="s">
        <v>985</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985</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3">
      <c r="B83" s="98" t="s">
        <v>986</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986</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3">
      <c r="B85" s="142">
        <f>HLOOKUP($B$5,Region_Table,24,0)</f>
        <v>0</v>
      </c>
      <c r="C85" s="529" t="s">
        <v>1107</v>
      </c>
      <c r="D85" s="530"/>
      <c r="E85" s="530"/>
      <c r="F85" s="530"/>
      <c r="G85" s="530"/>
      <c r="H85" s="530"/>
      <c r="I85" s="530"/>
      <c r="J85" s="530"/>
      <c r="K85" s="530"/>
      <c r="L85" s="530"/>
      <c r="M85" s="539"/>
      <c r="N85" s="539"/>
      <c r="O85" s="540"/>
      <c r="P85" s="516">
        <f>SUMIFS('caseload data'!V:V,'caseload data'!B:B,"custody",'caseload data'!$C:$C,'custody caseload'!B85)</f>
        <v>0</v>
      </c>
      <c r="Q85" s="533"/>
      <c r="R85" s="534"/>
      <c r="T85" s="142">
        <f>HLOOKUP($B$5,Region_Table,25,0)</f>
        <v>0</v>
      </c>
      <c r="U85" s="529" t="s">
        <v>1107</v>
      </c>
      <c r="V85" s="530"/>
      <c r="W85" s="530"/>
      <c r="X85" s="530"/>
      <c r="Y85" s="530"/>
      <c r="Z85" s="530"/>
      <c r="AA85" s="530"/>
      <c r="AB85" s="530"/>
      <c r="AC85" s="530"/>
      <c r="AD85" s="530"/>
      <c r="AE85" s="539"/>
      <c r="AF85" s="539"/>
      <c r="AG85" s="540"/>
      <c r="AH85" s="516">
        <f>SUMIFS('caseload data'!V:V,'caseload data'!B:B,"custody",'caseload data'!$C:$C,'custody caseload'!T85)</f>
        <v>0</v>
      </c>
      <c r="AI85" s="533"/>
      <c r="AJ85" s="534"/>
    </row>
    <row r="86" spans="2:36" x14ac:dyDescent="0.3">
      <c r="B86" s="95" t="s">
        <v>983</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983</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3">
      <c r="B87" s="96" t="s">
        <v>979</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979</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ht="14.5" x14ac:dyDescent="0.35">
      <c r="B88" s="97" t="s">
        <v>984</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984</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ht="14.5" x14ac:dyDescent="0.35">
      <c r="B89" s="97" t="s">
        <v>985</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985</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3">
      <c r="B90" s="98" t="s">
        <v>986</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986</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3">
      <c r="B92" s="142">
        <f>HLOOKUP($B$5,Region_Table,26,0)</f>
        <v>0</v>
      </c>
      <c r="C92" s="529" t="s">
        <v>1107</v>
      </c>
      <c r="D92" s="530"/>
      <c r="E92" s="530"/>
      <c r="F92" s="530"/>
      <c r="G92" s="530"/>
      <c r="H92" s="530"/>
      <c r="I92" s="530"/>
      <c r="J92" s="530"/>
      <c r="K92" s="530"/>
      <c r="L92" s="530"/>
      <c r="M92" s="539"/>
      <c r="N92" s="539"/>
      <c r="O92" s="540"/>
      <c r="P92" s="516">
        <f>SUMIFS('caseload data'!V:V,'caseload data'!B:B,"custody",'caseload data'!$C:$C,'custody caseload'!B92)</f>
        <v>0</v>
      </c>
      <c r="Q92" s="533"/>
      <c r="R92" s="534"/>
      <c r="T92" s="142">
        <f>HLOOKUP($B$5,Region_Table,27,0)</f>
        <v>0</v>
      </c>
      <c r="U92" s="529" t="s">
        <v>1107</v>
      </c>
      <c r="V92" s="530"/>
      <c r="W92" s="530"/>
      <c r="X92" s="530"/>
      <c r="Y92" s="530"/>
      <c r="Z92" s="530"/>
      <c r="AA92" s="530"/>
      <c r="AB92" s="530"/>
      <c r="AC92" s="530"/>
      <c r="AD92" s="530"/>
      <c r="AE92" s="539"/>
      <c r="AF92" s="539"/>
      <c r="AG92" s="540"/>
      <c r="AH92" s="516">
        <f>SUMIFS('caseload data'!V:V,'caseload data'!B:B,"custody",'caseload data'!$C:$C,'custody caseload'!T92)</f>
        <v>0</v>
      </c>
      <c r="AI92" s="533"/>
      <c r="AJ92" s="534"/>
    </row>
    <row r="93" spans="2:36" x14ac:dyDescent="0.3">
      <c r="B93" s="95" t="s">
        <v>983</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983</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3">
      <c r="B94" s="96" t="s">
        <v>979</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979</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ht="14.5" x14ac:dyDescent="0.35">
      <c r="B95" s="97" t="s">
        <v>984</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984</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ht="14.5" x14ac:dyDescent="0.35">
      <c r="B96" s="97" t="s">
        <v>985</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985</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3">
      <c r="B97" s="98" t="s">
        <v>986</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986</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3">
      <c r="B99" s="142">
        <f>HLOOKUP($B$5,Region_Table,28,0)</f>
        <v>0</v>
      </c>
      <c r="C99" s="529" t="s">
        <v>1107</v>
      </c>
      <c r="D99" s="530"/>
      <c r="E99" s="530"/>
      <c r="F99" s="530"/>
      <c r="G99" s="530"/>
      <c r="H99" s="530"/>
      <c r="I99" s="530"/>
      <c r="J99" s="530"/>
      <c r="K99" s="530"/>
      <c r="L99" s="530"/>
      <c r="M99" s="539"/>
      <c r="N99" s="539"/>
      <c r="O99" s="540"/>
      <c r="P99" s="516">
        <f>SUMIFS('caseload data'!V:V,'caseload data'!B:B,"custody",'caseload data'!$C:$C,'custody caseload'!B99)</f>
        <v>0</v>
      </c>
      <c r="Q99" s="533"/>
      <c r="R99" s="534"/>
      <c r="T99" s="142">
        <f>HLOOKUP($B$5,Region_Table,29,0)</f>
        <v>0</v>
      </c>
      <c r="U99" s="529" t="s">
        <v>1107</v>
      </c>
      <c r="V99" s="530"/>
      <c r="W99" s="530"/>
      <c r="X99" s="530"/>
      <c r="Y99" s="530"/>
      <c r="Z99" s="530"/>
      <c r="AA99" s="530"/>
      <c r="AB99" s="530"/>
      <c r="AC99" s="530"/>
      <c r="AD99" s="530"/>
      <c r="AE99" s="539"/>
      <c r="AF99" s="539"/>
      <c r="AG99" s="540"/>
      <c r="AH99" s="516">
        <f>SUMIFS('caseload data'!V:V,'caseload data'!B:B,"custody",'caseload data'!$C:$C,'custody caseload'!T99)</f>
        <v>0</v>
      </c>
      <c r="AI99" s="533"/>
      <c r="AJ99" s="534"/>
    </row>
    <row r="100" spans="2:36" x14ac:dyDescent="0.3">
      <c r="B100" s="95" t="s">
        <v>983</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95" t="s">
        <v>983</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3">
      <c r="B101" s="96" t="s">
        <v>979</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979</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ht="14.5" x14ac:dyDescent="0.35">
      <c r="B102" s="97" t="s">
        <v>984</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984</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ht="14.5" x14ac:dyDescent="0.35">
      <c r="B103" s="97" t="s">
        <v>985</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985</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3">
      <c r="B104" s="98" t="s">
        <v>986</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986</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J1"/>
    <mergeCell ref="B2:AJ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C10" sqref="C10"/>
    </sheetView>
  </sheetViews>
  <sheetFormatPr defaultColWidth="9.1796875" defaultRowHeight="14" x14ac:dyDescent="0.3"/>
  <cols>
    <col min="1" max="1" width="2.453125" customWidth="1"/>
    <col min="2" max="2" width="36.1796875" customWidth="1"/>
    <col min="20" max="20" width="33" customWidth="1"/>
  </cols>
  <sheetData>
    <row r="1" spans="1:49" ht="75" customHeight="1" x14ac:dyDescent="0.3">
      <c r="A1" s="537" t="s">
        <v>1109</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61"/>
      <c r="AL1" s="261"/>
      <c r="AM1" s="261"/>
      <c r="AN1" s="261"/>
      <c r="AO1" s="261"/>
      <c r="AP1" s="261"/>
      <c r="AQ1" s="261"/>
      <c r="AR1" s="261"/>
      <c r="AS1" s="261"/>
      <c r="AT1" s="261"/>
      <c r="AU1" s="261"/>
      <c r="AV1" s="261"/>
      <c r="AW1" s="261"/>
    </row>
    <row r="2" spans="1:49" ht="59.25" customHeight="1" x14ac:dyDescent="0.3">
      <c r="A2" s="430"/>
      <c r="B2" s="430"/>
      <c r="C2" s="430"/>
      <c r="D2" s="430"/>
      <c r="E2" s="430"/>
      <c r="F2" s="430"/>
      <c r="G2" s="430"/>
      <c r="H2" s="430"/>
      <c r="I2" s="430"/>
      <c r="J2" s="430"/>
      <c r="K2" s="430"/>
      <c r="L2" s="430"/>
      <c r="M2" s="430"/>
      <c r="N2" s="430"/>
      <c r="O2" s="430"/>
      <c r="P2" s="430"/>
      <c r="Q2" s="430"/>
      <c r="R2" s="430"/>
      <c r="S2" s="430"/>
      <c r="T2" s="430"/>
      <c r="U2" s="430"/>
      <c r="V2" s="430"/>
      <c r="W2" s="430"/>
      <c r="X2" s="430"/>
      <c r="Y2" s="430"/>
      <c r="Z2" s="430"/>
      <c r="AA2" s="430"/>
      <c r="AB2" s="430"/>
      <c r="AC2" s="430"/>
      <c r="AD2" s="430"/>
      <c r="AE2" s="430"/>
      <c r="AF2" s="430"/>
      <c r="AG2" s="430"/>
      <c r="AH2" s="430"/>
      <c r="AI2" s="430"/>
      <c r="AJ2" s="430"/>
      <c r="AK2" s="263"/>
      <c r="AL2" s="263"/>
      <c r="AM2" s="263"/>
      <c r="AN2" s="263"/>
      <c r="AO2" s="263"/>
      <c r="AP2" s="263"/>
      <c r="AQ2" s="263"/>
      <c r="AR2" s="263"/>
      <c r="AS2" s="263"/>
      <c r="AT2" s="263"/>
      <c r="AU2" s="263"/>
      <c r="AV2" s="263"/>
    </row>
    <row r="3" spans="1:49" s="48" customFormat="1" ht="15.5" x14ac:dyDescent="0.3">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28" x14ac:dyDescent="0.3">
      <c r="B4" s="36" t="s">
        <v>917</v>
      </c>
    </row>
    <row r="5" spans="1:49" ht="23.25" customHeight="1" x14ac:dyDescent="0.3">
      <c r="B5" s="242" t="s">
        <v>17</v>
      </c>
      <c r="P5" s="40"/>
    </row>
    <row r="6" spans="1:49" x14ac:dyDescent="0.3">
      <c r="B6" s="46"/>
    </row>
    <row r="8" spans="1:49" ht="28.5" customHeight="1" x14ac:dyDescent="0.3">
      <c r="B8" s="289" t="str">
        <f>HLOOKUP($B$5,Region_Table,2,0)</f>
        <v>All East Midlands Region</v>
      </c>
      <c r="C8" s="521" t="s">
        <v>1107</v>
      </c>
      <c r="D8" s="522"/>
      <c r="E8" s="522"/>
      <c r="F8" s="522"/>
      <c r="G8" s="522"/>
      <c r="H8" s="522"/>
      <c r="I8" s="522"/>
      <c r="J8" s="522"/>
      <c r="K8" s="522"/>
      <c r="L8" s="522"/>
      <c r="M8" s="541"/>
      <c r="N8" s="541"/>
      <c r="O8" s="542"/>
      <c r="P8" s="516">
        <f>SUMIF('caseload data'!C:C,'custody %'!B8,'caseload data'!V:V)</f>
        <v>0</v>
      </c>
      <c r="Q8" s="533"/>
      <c r="R8" s="534"/>
      <c r="S8" s="64"/>
      <c r="T8" s="289" t="str">
        <f>HLOOKUP($B$5,Region_Table,3,0)</f>
        <v>Derby City - N53</v>
      </c>
      <c r="U8" s="521" t="s">
        <v>1107</v>
      </c>
      <c r="V8" s="522"/>
      <c r="W8" s="522"/>
      <c r="X8" s="522"/>
      <c r="Y8" s="522"/>
      <c r="Z8" s="522"/>
      <c r="AA8" s="522"/>
      <c r="AB8" s="522"/>
      <c r="AC8" s="541"/>
      <c r="AD8" s="541"/>
      <c r="AE8" s="542"/>
      <c r="AF8" s="516">
        <f>SUMIF('caseload data'!C:C,'custody %'!T8,'caseload data'!V:V)</f>
        <v>0</v>
      </c>
      <c r="AG8" s="533"/>
      <c r="AH8" s="534"/>
    </row>
    <row r="9" spans="1:49" x14ac:dyDescent="0.3">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49" x14ac:dyDescent="0.3">
      <c r="B10" s="96" t="s">
        <v>979</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979</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3">
      <c r="B11" s="97" t="s">
        <v>984</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984</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3">
      <c r="B12" s="97" t="s">
        <v>985</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985</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3">
      <c r="B13" s="98" t="s">
        <v>986</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986</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3">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3">
      <c r="B15" s="289" t="str">
        <f>HLOOKUP($B$5,Region_Table,4,0)</f>
        <v>Derbyshire - N53</v>
      </c>
      <c r="C15" s="521" t="s">
        <v>1107</v>
      </c>
      <c r="D15" s="522"/>
      <c r="E15" s="522"/>
      <c r="F15" s="522"/>
      <c r="G15" s="522"/>
      <c r="H15" s="522"/>
      <c r="I15" s="522"/>
      <c r="J15" s="522"/>
      <c r="K15" s="522"/>
      <c r="L15" s="522"/>
      <c r="M15" s="541"/>
      <c r="N15" s="541"/>
      <c r="O15" s="542"/>
      <c r="P15" s="516">
        <f>SUMIF('caseload data'!$C:$C,'custody %'!B15,'caseload data'!V:V)</f>
        <v>0</v>
      </c>
      <c r="Q15" s="533"/>
      <c r="R15" s="534"/>
      <c r="S15" s="64"/>
      <c r="T15" s="289" t="str">
        <f>HLOOKUP($B$5,Region_Table,5,0)</f>
        <v>Leicester, Leicestershire and Rutland</v>
      </c>
      <c r="U15" s="521" t="s">
        <v>1107</v>
      </c>
      <c r="V15" s="522"/>
      <c r="W15" s="522"/>
      <c r="X15" s="522"/>
      <c r="Y15" s="522"/>
      <c r="Z15" s="522"/>
      <c r="AA15" s="522"/>
      <c r="AB15" s="522"/>
      <c r="AC15" s="541"/>
      <c r="AD15" s="541"/>
      <c r="AE15" s="542"/>
      <c r="AF15" s="516">
        <f>SUMIF('caseload data'!$C:$C,'custody %'!T15,'caseload data'!V:V)</f>
        <v>0</v>
      </c>
      <c r="AG15" s="533"/>
      <c r="AH15" s="534"/>
    </row>
    <row r="16" spans="1:49" x14ac:dyDescent="0.3">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3">
      <c r="B17" s="96" t="s">
        <v>979</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979</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3">
      <c r="B18" s="97" t="s">
        <v>984</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984</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3">
      <c r="B19" s="97" t="s">
        <v>985</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985</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3">
      <c r="B20" s="98" t="s">
        <v>986</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986</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3">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3">
      <c r="B22" s="289" t="str">
        <f>HLOOKUP($B$5,Region_Table,6,0)</f>
        <v>Lincolnshire East and West - N53</v>
      </c>
      <c r="C22" s="521" t="s">
        <v>1107</v>
      </c>
      <c r="D22" s="522"/>
      <c r="E22" s="522"/>
      <c r="F22" s="522"/>
      <c r="G22" s="522"/>
      <c r="H22" s="522"/>
      <c r="I22" s="522"/>
      <c r="J22" s="522"/>
      <c r="K22" s="522"/>
      <c r="L22" s="522"/>
      <c r="M22" s="541"/>
      <c r="N22" s="541"/>
      <c r="O22" s="542"/>
      <c r="P22" s="516">
        <f>SUMIF('caseload data'!$C:$C,'custody %'!B22,'caseload data'!V:V)</f>
        <v>0</v>
      </c>
      <c r="Q22" s="533"/>
      <c r="R22" s="534"/>
      <c r="S22" s="64"/>
      <c r="T22" s="289" t="str">
        <f>HLOOKUP($B$5,Region_Table,7,0)</f>
        <v>Nottingham City</v>
      </c>
      <c r="U22" s="521" t="s">
        <v>1107</v>
      </c>
      <c r="V22" s="522"/>
      <c r="W22" s="522"/>
      <c r="X22" s="522"/>
      <c r="Y22" s="522"/>
      <c r="Z22" s="522"/>
      <c r="AA22" s="522"/>
      <c r="AB22" s="522"/>
      <c r="AC22" s="541"/>
      <c r="AD22" s="541"/>
      <c r="AE22" s="542"/>
      <c r="AF22" s="516">
        <f>SUMIF('caseload data'!$C:$C,'custody %'!T22,'caseload data'!V:V)</f>
        <v>0</v>
      </c>
      <c r="AG22" s="533"/>
      <c r="AH22" s="534"/>
    </row>
    <row r="23" spans="2:36" x14ac:dyDescent="0.3">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3">
      <c r="B24" s="96" t="s">
        <v>979</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979</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3">
      <c r="B25" s="97" t="s">
        <v>984</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984</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3">
      <c r="B26" s="97" t="s">
        <v>985</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985</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3">
      <c r="B27" s="98" t="s">
        <v>986</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986</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3">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3">
      <c r="B29" s="289" t="str">
        <f>HLOOKUP($B$5,Region_Table,8,0)</f>
        <v>Nottinghamshire - N53</v>
      </c>
      <c r="C29" s="521" t="s">
        <v>1107</v>
      </c>
      <c r="D29" s="522"/>
      <c r="E29" s="522"/>
      <c r="F29" s="522"/>
      <c r="G29" s="522"/>
      <c r="H29" s="522"/>
      <c r="I29" s="522"/>
      <c r="J29" s="522"/>
      <c r="K29" s="522"/>
      <c r="L29" s="522"/>
      <c r="M29" s="541"/>
      <c r="N29" s="541"/>
      <c r="O29" s="542"/>
      <c r="P29" s="516">
        <f>SUMIF('caseload data'!$C:$C,'custody %'!B29,'caseload data'!V:V)</f>
        <v>0</v>
      </c>
      <c r="Q29" s="533"/>
      <c r="R29" s="534"/>
      <c r="S29" s="64"/>
      <c r="T29" s="289" t="str">
        <f>HLOOKUP($B$5,Region_Table,9,0)</f>
        <v>Unpaid Work and Attendance Centres - N53</v>
      </c>
      <c r="U29" s="521" t="s">
        <v>1107</v>
      </c>
      <c r="V29" s="522"/>
      <c r="W29" s="522"/>
      <c r="X29" s="522"/>
      <c r="Y29" s="522"/>
      <c r="Z29" s="522"/>
      <c r="AA29" s="522"/>
      <c r="AB29" s="522"/>
      <c r="AC29" s="541"/>
      <c r="AD29" s="541"/>
      <c r="AE29" s="542"/>
      <c r="AF29" s="516">
        <f>SUMIF('caseload data'!$C:$C,'custody %'!T29,'caseload data'!V:V)</f>
        <v>0</v>
      </c>
      <c r="AG29" s="533"/>
      <c r="AH29" s="534"/>
    </row>
    <row r="30" spans="2:36" x14ac:dyDescent="0.3">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3">
      <c r="B31" s="96" t="s">
        <v>979</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979</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3">
      <c r="B32" s="97" t="s">
        <v>984</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984</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3">
      <c r="B33" s="97" t="s">
        <v>985</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985</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3">
      <c r="B34" s="98" t="s">
        <v>986</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986</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3">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3">
      <c r="B36" s="289">
        <f>HLOOKUP($B$5,Region_Table,10,0)</f>
        <v>0</v>
      </c>
      <c r="C36" s="521" t="s">
        <v>1107</v>
      </c>
      <c r="D36" s="522"/>
      <c r="E36" s="522"/>
      <c r="F36" s="522"/>
      <c r="G36" s="522"/>
      <c r="H36" s="522"/>
      <c r="I36" s="522"/>
      <c r="J36" s="522"/>
      <c r="K36" s="522"/>
      <c r="L36" s="522"/>
      <c r="M36" s="541"/>
      <c r="N36" s="541"/>
      <c r="O36" s="542"/>
      <c r="P36" s="516">
        <f>SUMIF('caseload data'!$C:$C,'custody %'!B36,'caseload data'!V:V)</f>
        <v>0</v>
      </c>
      <c r="Q36" s="533"/>
      <c r="R36" s="534"/>
      <c r="S36" s="64"/>
      <c r="T36" s="289">
        <f>HLOOKUP($B$5,Region_Table,11,0)</f>
        <v>0</v>
      </c>
      <c r="U36" s="521" t="s">
        <v>1107</v>
      </c>
      <c r="V36" s="522"/>
      <c r="W36" s="522"/>
      <c r="X36" s="522"/>
      <c r="Y36" s="522"/>
      <c r="Z36" s="522"/>
      <c r="AA36" s="522"/>
      <c r="AB36" s="522"/>
      <c r="AC36" s="541"/>
      <c r="AD36" s="541"/>
      <c r="AE36" s="542"/>
      <c r="AF36" s="516">
        <f>SUMIF('caseload data'!$C:$C,'custody %'!T36,'caseload data'!V:V)</f>
        <v>0</v>
      </c>
      <c r="AG36" s="533"/>
      <c r="AH36" s="534"/>
    </row>
    <row r="37" spans="2:36" x14ac:dyDescent="0.3">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3">
      <c r="B38" s="96" t="s">
        <v>979</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979</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3">
      <c r="B39" s="97" t="s">
        <v>984</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984</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3">
      <c r="B40" s="97" t="s">
        <v>985</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985</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3">
      <c r="B41" s="98" t="s">
        <v>986</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986</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3">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3">
      <c r="B43" s="289">
        <f>HLOOKUP($B$5,Region_Table,12,0)</f>
        <v>0</v>
      </c>
      <c r="C43" s="521" t="s">
        <v>1107</v>
      </c>
      <c r="D43" s="522"/>
      <c r="E43" s="522"/>
      <c r="F43" s="522"/>
      <c r="G43" s="522"/>
      <c r="H43" s="522"/>
      <c r="I43" s="522"/>
      <c r="J43" s="522"/>
      <c r="K43" s="522"/>
      <c r="L43" s="522"/>
      <c r="M43" s="541"/>
      <c r="N43" s="541"/>
      <c r="O43" s="542"/>
      <c r="P43" s="516">
        <f>SUMIF('caseload data'!$C:$C,'custody %'!B43,'caseload data'!V:V)</f>
        <v>0</v>
      </c>
      <c r="Q43" s="533"/>
      <c r="R43" s="534"/>
      <c r="S43" s="64"/>
      <c r="T43" s="289">
        <f>HLOOKUP($B$5,Region_Table,13,0)</f>
        <v>0</v>
      </c>
      <c r="U43" s="521" t="s">
        <v>1107</v>
      </c>
      <c r="V43" s="522"/>
      <c r="W43" s="522"/>
      <c r="X43" s="522"/>
      <c r="Y43" s="522"/>
      <c r="Z43" s="522"/>
      <c r="AA43" s="522"/>
      <c r="AB43" s="522"/>
      <c r="AC43" s="541"/>
      <c r="AD43" s="541"/>
      <c r="AE43" s="542"/>
      <c r="AF43" s="516">
        <f>SUMIF('caseload data'!$C:$C,'custody %'!T43,'caseload data'!V:V)</f>
        <v>0</v>
      </c>
      <c r="AG43" s="533"/>
      <c r="AH43" s="534"/>
    </row>
    <row r="44" spans="2:36" x14ac:dyDescent="0.3">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3">
      <c r="B45" s="96" t="s">
        <v>979</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979</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3">
      <c r="B46" s="97" t="s">
        <v>984</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984</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3">
      <c r="B47" s="97" t="s">
        <v>985</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985</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3">
      <c r="B48" s="98" t="s">
        <v>986</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986</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3">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3">
      <c r="B50" s="289">
        <f>HLOOKUP($B$5,Region_Table,14,0)</f>
        <v>0</v>
      </c>
      <c r="C50" s="521" t="s">
        <v>1107</v>
      </c>
      <c r="D50" s="522"/>
      <c r="E50" s="522"/>
      <c r="F50" s="522"/>
      <c r="G50" s="522"/>
      <c r="H50" s="522"/>
      <c r="I50" s="522"/>
      <c r="J50" s="522"/>
      <c r="K50" s="522"/>
      <c r="L50" s="522"/>
      <c r="M50" s="541"/>
      <c r="N50" s="541"/>
      <c r="O50" s="542"/>
      <c r="P50" s="516">
        <f>SUMIF('caseload data'!$C:$C,'custody %'!B50,'caseload data'!V:V)</f>
        <v>0</v>
      </c>
      <c r="Q50" s="533"/>
      <c r="R50" s="534"/>
      <c r="S50" s="64"/>
      <c r="T50" s="289">
        <f>HLOOKUP($B$5,Region_Table,15,0)</f>
        <v>0</v>
      </c>
      <c r="U50" s="521" t="s">
        <v>1107</v>
      </c>
      <c r="V50" s="522"/>
      <c r="W50" s="522"/>
      <c r="X50" s="522"/>
      <c r="Y50" s="522"/>
      <c r="Z50" s="522"/>
      <c r="AA50" s="522"/>
      <c r="AB50" s="522"/>
      <c r="AC50" s="541"/>
      <c r="AD50" s="541"/>
      <c r="AE50" s="542"/>
      <c r="AF50" s="516">
        <f>SUMIF('caseload data'!$C:$C,'custody %'!T50,'caseload data'!V:V)</f>
        <v>0</v>
      </c>
      <c r="AG50" s="533"/>
      <c r="AH50" s="534"/>
    </row>
    <row r="51" spans="2:36" x14ac:dyDescent="0.3">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3">
      <c r="B52" s="96" t="s">
        <v>979</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979</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3">
      <c r="B53" s="97" t="s">
        <v>984</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984</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3">
      <c r="B54" s="97" t="s">
        <v>985</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985</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3">
      <c r="B55" s="98" t="s">
        <v>986</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986</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3">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3">
      <c r="B57" s="289">
        <f>HLOOKUP($B$5,Region_Table,16,0)</f>
        <v>0</v>
      </c>
      <c r="C57" s="521" t="s">
        <v>1107</v>
      </c>
      <c r="D57" s="522"/>
      <c r="E57" s="522"/>
      <c r="F57" s="522"/>
      <c r="G57" s="522"/>
      <c r="H57" s="522"/>
      <c r="I57" s="522"/>
      <c r="J57" s="522"/>
      <c r="K57" s="522"/>
      <c r="L57" s="522"/>
      <c r="M57" s="541"/>
      <c r="N57" s="541"/>
      <c r="O57" s="542"/>
      <c r="P57" s="516">
        <f>SUMIF('caseload data'!$C:$C,'custody %'!B57,'caseload data'!V:V)</f>
        <v>0</v>
      </c>
      <c r="Q57" s="533"/>
      <c r="R57" s="534"/>
      <c r="S57" s="64"/>
      <c r="T57" s="289">
        <f>HLOOKUP($B$5,Region_Table,17,0)</f>
        <v>0</v>
      </c>
      <c r="U57" s="521" t="s">
        <v>1107</v>
      </c>
      <c r="V57" s="522"/>
      <c r="W57" s="522"/>
      <c r="X57" s="522"/>
      <c r="Y57" s="522"/>
      <c r="Z57" s="522"/>
      <c r="AA57" s="522"/>
      <c r="AB57" s="522"/>
      <c r="AC57" s="541"/>
      <c r="AD57" s="541"/>
      <c r="AE57" s="542"/>
      <c r="AF57" s="516">
        <f>SUMIF('caseload data'!$C:$C,'custody %'!T57,'caseload data'!V:V)</f>
        <v>0</v>
      </c>
      <c r="AG57" s="533"/>
      <c r="AH57" s="534"/>
    </row>
    <row r="58" spans="2:36" x14ac:dyDescent="0.3">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3">
      <c r="B59" s="96" t="s">
        <v>979</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979</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3">
      <c r="B60" s="97" t="s">
        <v>984</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984</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3">
      <c r="B61" s="97" t="s">
        <v>985</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985</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3">
      <c r="B62" s="98" t="s">
        <v>986</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986</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3">
      <c r="B64" s="142">
        <f>HLOOKUP($B$5,Region_Table,18,0)</f>
        <v>0</v>
      </c>
      <c r="C64" s="521" t="s">
        <v>1107</v>
      </c>
      <c r="D64" s="522"/>
      <c r="E64" s="522"/>
      <c r="F64" s="522"/>
      <c r="G64" s="522"/>
      <c r="H64" s="522"/>
      <c r="I64" s="522"/>
      <c r="J64" s="522"/>
      <c r="K64" s="522"/>
      <c r="L64" s="522"/>
      <c r="M64" s="541"/>
      <c r="N64" s="541"/>
      <c r="O64" s="542"/>
      <c r="P64" s="516">
        <f>SUMIF('caseload data'!$C:$C,'custody %'!B64,'caseload data'!V:V)</f>
        <v>0</v>
      </c>
      <c r="Q64" s="533"/>
      <c r="R64" s="534"/>
      <c r="S64" s="64"/>
      <c r="T64" s="142">
        <f>HLOOKUP($B$5,Region_Table,19,0)</f>
        <v>0</v>
      </c>
      <c r="U64" s="521" t="s">
        <v>1107</v>
      </c>
      <c r="V64" s="522"/>
      <c r="W64" s="522"/>
      <c r="X64" s="522"/>
      <c r="Y64" s="522"/>
      <c r="Z64" s="522"/>
      <c r="AA64" s="522"/>
      <c r="AB64" s="522"/>
      <c r="AC64" s="541"/>
      <c r="AD64" s="541"/>
      <c r="AE64" s="542"/>
      <c r="AF64" s="516">
        <f>SUMIF('caseload data'!$C:$C,'custody %'!T64,'caseload data'!V:V)</f>
        <v>0</v>
      </c>
      <c r="AG64" s="533"/>
      <c r="AH64" s="534"/>
    </row>
    <row r="65" spans="2:36" x14ac:dyDescent="0.3">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3">
      <c r="B66" s="96" t="s">
        <v>979</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979</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3">
      <c r="B67" s="97" t="s">
        <v>984</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984</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3">
      <c r="B68" s="97" t="s">
        <v>985</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985</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3">
      <c r="B69" s="98" t="s">
        <v>986</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986</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3">
      <c r="B71" s="289">
        <f>HLOOKUP($B$5,Region_Table,20,0)</f>
        <v>0</v>
      </c>
      <c r="C71" s="521" t="s">
        <v>1107</v>
      </c>
      <c r="D71" s="522"/>
      <c r="E71" s="522"/>
      <c r="F71" s="522"/>
      <c r="G71" s="522"/>
      <c r="H71" s="522"/>
      <c r="I71" s="522"/>
      <c r="J71" s="522"/>
      <c r="K71" s="522"/>
      <c r="L71" s="522"/>
      <c r="M71" s="541"/>
      <c r="N71" s="541"/>
      <c r="O71" s="542"/>
      <c r="P71" s="516">
        <f>SUMIF('caseload data'!$C:$C,'custody %'!B71,'caseload data'!V:V)</f>
        <v>0</v>
      </c>
      <c r="Q71" s="533"/>
      <c r="R71" s="534"/>
      <c r="T71" s="289">
        <f>HLOOKUP($B$5,Region_Table,21,0)</f>
        <v>0</v>
      </c>
      <c r="U71" s="521" t="s">
        <v>1107</v>
      </c>
      <c r="V71" s="522"/>
      <c r="W71" s="522"/>
      <c r="X71" s="522"/>
      <c r="Y71" s="522"/>
      <c r="Z71" s="522"/>
      <c r="AA71" s="522"/>
      <c r="AB71" s="522"/>
      <c r="AC71" s="541"/>
      <c r="AD71" s="541"/>
      <c r="AE71" s="542"/>
      <c r="AF71" s="516">
        <f>SUMIF('caseload data'!$C:$C,'custody %'!T71,'caseload data'!V:V)</f>
        <v>0</v>
      </c>
      <c r="AG71" s="533"/>
      <c r="AH71" s="534"/>
    </row>
    <row r="72" spans="2:36" x14ac:dyDescent="0.3">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3">
      <c r="B73" s="96" t="s">
        <v>979</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979</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3">
      <c r="B74" s="97" t="s">
        <v>984</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984</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3">
      <c r="B75" s="97" t="s">
        <v>985</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985</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3">
      <c r="B76" s="98" t="s">
        <v>986</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986</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3">
      <c r="B78" s="289">
        <f>HLOOKUP($B$5,Region_Table,22,0)</f>
        <v>0</v>
      </c>
      <c r="C78" s="521" t="s">
        <v>1107</v>
      </c>
      <c r="D78" s="522"/>
      <c r="E78" s="522"/>
      <c r="F78" s="522"/>
      <c r="G78" s="522"/>
      <c r="H78" s="522"/>
      <c r="I78" s="522"/>
      <c r="J78" s="522"/>
      <c r="K78" s="522"/>
      <c r="L78" s="522"/>
      <c r="M78" s="541"/>
      <c r="N78" s="541"/>
      <c r="O78" s="542"/>
      <c r="P78" s="516">
        <f>SUMIF('caseload data'!$C:$C,'custody %'!B78,'caseload data'!V:V)</f>
        <v>0</v>
      </c>
      <c r="Q78" s="533"/>
      <c r="R78" s="534"/>
      <c r="T78" s="289">
        <f>HLOOKUP($B$5,Region_Table,23,0)</f>
        <v>0</v>
      </c>
      <c r="U78" s="521" t="s">
        <v>1107</v>
      </c>
      <c r="V78" s="522"/>
      <c r="W78" s="522"/>
      <c r="X78" s="522"/>
      <c r="Y78" s="522"/>
      <c r="Z78" s="522"/>
      <c r="AA78" s="522"/>
      <c r="AB78" s="522"/>
      <c r="AC78" s="541"/>
      <c r="AD78" s="541"/>
      <c r="AE78" s="542"/>
      <c r="AF78" s="516">
        <f>SUMIF('caseload data'!$C:$C,'custody %'!T78,'caseload data'!V:V)</f>
        <v>0</v>
      </c>
      <c r="AG78" s="533"/>
      <c r="AH78" s="534"/>
    </row>
    <row r="79" spans="2:36" x14ac:dyDescent="0.3">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3">
      <c r="B80" s="96" t="s">
        <v>979</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979</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3">
      <c r="B81" s="97" t="s">
        <v>984</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984</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3">
      <c r="B82" s="97" t="s">
        <v>985</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985</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3">
      <c r="B83" s="98" t="s">
        <v>986</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986</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3">
      <c r="B85" s="289">
        <f>HLOOKUP($B$5,Region_Table,24,0)</f>
        <v>0</v>
      </c>
      <c r="C85" s="521" t="s">
        <v>1107</v>
      </c>
      <c r="D85" s="522"/>
      <c r="E85" s="522"/>
      <c r="F85" s="522"/>
      <c r="G85" s="522"/>
      <c r="H85" s="522"/>
      <c r="I85" s="522"/>
      <c r="J85" s="522"/>
      <c r="K85" s="522"/>
      <c r="L85" s="522"/>
      <c r="M85" s="541"/>
      <c r="N85" s="541"/>
      <c r="O85" s="542"/>
      <c r="P85" s="516">
        <f>SUMIF('caseload data'!$C:$C,'custody %'!B85,'caseload data'!V:V)</f>
        <v>0</v>
      </c>
      <c r="Q85" s="533"/>
      <c r="R85" s="534"/>
      <c r="T85" s="289">
        <f>HLOOKUP($B$5,Region_Table,25,0)</f>
        <v>0</v>
      </c>
      <c r="U85" s="521" t="s">
        <v>1107</v>
      </c>
      <c r="V85" s="522"/>
      <c r="W85" s="522"/>
      <c r="X85" s="522"/>
      <c r="Y85" s="522"/>
      <c r="Z85" s="522"/>
      <c r="AA85" s="522"/>
      <c r="AB85" s="522"/>
      <c r="AC85" s="541"/>
      <c r="AD85" s="541"/>
      <c r="AE85" s="542"/>
      <c r="AF85" s="516">
        <f>SUMIF('caseload data'!$C:$C,'custody %'!T85,'caseload data'!V:V)</f>
        <v>0</v>
      </c>
      <c r="AG85" s="533"/>
      <c r="AH85" s="534"/>
    </row>
    <row r="86" spans="2:36" x14ac:dyDescent="0.3">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3">
      <c r="B87" s="96" t="s">
        <v>979</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979</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3">
      <c r="B88" s="97" t="s">
        <v>984</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984</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3">
      <c r="B89" s="97" t="s">
        <v>985</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985</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3">
      <c r="B90" s="98" t="s">
        <v>986</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986</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3">
      <c r="B92" s="289">
        <f>HLOOKUP($B$5,Region_Table,26,0)</f>
        <v>0</v>
      </c>
      <c r="C92" s="521" t="s">
        <v>1107</v>
      </c>
      <c r="D92" s="522"/>
      <c r="E92" s="522"/>
      <c r="F92" s="522"/>
      <c r="G92" s="522"/>
      <c r="H92" s="522"/>
      <c r="I92" s="522"/>
      <c r="J92" s="522"/>
      <c r="K92" s="522"/>
      <c r="L92" s="522"/>
      <c r="M92" s="541"/>
      <c r="N92" s="541"/>
      <c r="O92" s="542"/>
      <c r="P92" s="516">
        <f>SUMIF('caseload data'!$C:$C,'custody %'!B92,'caseload data'!V:V)</f>
        <v>0</v>
      </c>
      <c r="Q92" s="533"/>
      <c r="R92" s="534"/>
      <c r="T92" s="289">
        <f>HLOOKUP($B$5,Region_Table,27,0)</f>
        <v>0</v>
      </c>
      <c r="U92" s="521" t="s">
        <v>1107</v>
      </c>
      <c r="V92" s="522"/>
      <c r="W92" s="522"/>
      <c r="X92" s="522"/>
      <c r="Y92" s="522"/>
      <c r="Z92" s="522"/>
      <c r="AA92" s="522"/>
      <c r="AB92" s="522"/>
      <c r="AC92" s="541"/>
      <c r="AD92" s="541"/>
      <c r="AE92" s="542"/>
      <c r="AF92" s="516">
        <f>SUMIF('caseload data'!$C:$C,'custody %'!T92,'caseload data'!V:V)</f>
        <v>0</v>
      </c>
      <c r="AG92" s="533"/>
      <c r="AH92" s="534"/>
    </row>
    <row r="93" spans="2:36" x14ac:dyDescent="0.3">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3">
      <c r="B94" s="96" t="s">
        <v>979</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979</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3">
      <c r="B95" s="97" t="s">
        <v>984</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984</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3">
      <c r="B96" s="97" t="s">
        <v>985</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985</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3">
      <c r="B97" s="98" t="s">
        <v>986</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986</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3">
      <c r="B99" s="289">
        <f>HLOOKUP($B$5,Region_Table,28,0)</f>
        <v>0</v>
      </c>
      <c r="C99" s="521" t="s">
        <v>1107</v>
      </c>
      <c r="D99" s="522"/>
      <c r="E99" s="522"/>
      <c r="F99" s="522"/>
      <c r="G99" s="522"/>
      <c r="H99" s="522"/>
      <c r="I99" s="522"/>
      <c r="J99" s="522"/>
      <c r="K99" s="522"/>
      <c r="L99" s="522"/>
      <c r="M99" s="541"/>
      <c r="N99" s="541"/>
      <c r="O99" s="542"/>
      <c r="P99" s="516">
        <f>SUMIF('caseload data'!$C:$C,'custody %'!B99,'caseload data'!V:V)</f>
        <v>0</v>
      </c>
      <c r="Q99" s="533"/>
      <c r="R99" s="534"/>
    </row>
    <row r="100" spans="2:36" x14ac:dyDescent="0.3">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row>
    <row r="101" spans="2:36" x14ac:dyDescent="0.3">
      <c r="B101" s="96" t="s">
        <v>979</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3">
      <c r="B102" s="97" t="s">
        <v>984</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3">
      <c r="B103" s="97" t="s">
        <v>985</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3">
      <c r="B104" s="98" t="s">
        <v>986</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J1"/>
    <mergeCell ref="A2:AJ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sqref="A1:AJ1"/>
    </sheetView>
  </sheetViews>
  <sheetFormatPr defaultColWidth="9.1796875" defaultRowHeight="14" x14ac:dyDescent="0.3"/>
  <cols>
    <col min="1" max="1" width="3.1796875" customWidth="1"/>
    <col min="2" max="2" width="36.1796875" customWidth="1"/>
    <col min="20" max="20" width="33" customWidth="1"/>
  </cols>
  <sheetData>
    <row r="1" spans="1:50" ht="67.5" customHeight="1" x14ac:dyDescent="0.3">
      <c r="A1" s="537" t="s">
        <v>1110</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61"/>
      <c r="AL1" s="261"/>
      <c r="AM1" s="261"/>
      <c r="AN1" s="261"/>
      <c r="AO1" s="261"/>
      <c r="AP1" s="261"/>
      <c r="AQ1" s="261"/>
      <c r="AR1" s="261"/>
      <c r="AS1" s="261"/>
      <c r="AT1" s="261"/>
      <c r="AU1" s="261"/>
      <c r="AV1" s="261"/>
      <c r="AW1" s="261"/>
      <c r="AX1" s="261"/>
    </row>
    <row r="2" spans="1:50" ht="49.5" customHeight="1" x14ac:dyDescent="0.3">
      <c r="A2" s="545"/>
      <c r="B2" s="545"/>
      <c r="C2" s="545"/>
      <c r="D2" s="545"/>
      <c r="E2" s="545"/>
      <c r="F2" s="545"/>
      <c r="G2" s="545"/>
      <c r="H2" s="545"/>
      <c r="I2" s="545"/>
      <c r="J2" s="545"/>
      <c r="K2" s="545"/>
      <c r="L2" s="545"/>
      <c r="M2" s="545"/>
      <c r="N2" s="545"/>
      <c r="O2" s="545"/>
      <c r="P2" s="545"/>
      <c r="Q2" s="545"/>
      <c r="R2" s="545"/>
      <c r="S2" s="545"/>
      <c r="T2" s="545"/>
      <c r="U2" s="545"/>
      <c r="V2" s="545"/>
      <c r="W2" s="545"/>
      <c r="X2" s="545"/>
      <c r="Y2" s="545"/>
      <c r="Z2" s="545"/>
      <c r="AA2" s="545"/>
      <c r="AB2" s="545"/>
      <c r="AC2" s="545"/>
      <c r="AD2" s="545"/>
      <c r="AE2" s="545"/>
      <c r="AF2" s="545"/>
      <c r="AG2" s="545"/>
      <c r="AH2" s="545"/>
      <c r="AI2" s="545"/>
      <c r="AJ2" s="545"/>
      <c r="AK2" s="264"/>
      <c r="AL2" s="264"/>
      <c r="AM2" s="264"/>
      <c r="AN2" s="264"/>
      <c r="AO2" s="264"/>
      <c r="AP2" s="264"/>
      <c r="AQ2" s="264"/>
      <c r="AR2" s="264"/>
      <c r="AS2" s="264"/>
      <c r="AT2" s="264"/>
      <c r="AU2" s="264"/>
      <c r="AV2" s="264"/>
      <c r="AW2" s="264"/>
      <c r="AX2" s="264"/>
    </row>
    <row r="3" spans="1:50" s="48" customFormat="1" ht="15.5" x14ac:dyDescent="0.3">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28" x14ac:dyDescent="0.3">
      <c r="B4" s="36" t="s">
        <v>917</v>
      </c>
    </row>
    <row r="5" spans="1:50" ht="29.25" customHeight="1" x14ac:dyDescent="0.3">
      <c r="B5" s="242" t="s">
        <v>17</v>
      </c>
      <c r="K5" s="239"/>
      <c r="P5" s="40"/>
      <c r="Q5" s="40"/>
    </row>
    <row r="6" spans="1:50" x14ac:dyDescent="0.3">
      <c r="B6" s="46"/>
    </row>
    <row r="8" spans="1:50" ht="36.75" customHeight="1" x14ac:dyDescent="0.3">
      <c r="B8" s="289" t="str">
        <f>HLOOKUP($B$5,Region_Table,2,0)</f>
        <v>All East Midlands Region</v>
      </c>
      <c r="C8" s="513" t="s">
        <v>1111</v>
      </c>
      <c r="D8" s="514"/>
      <c r="E8" s="514"/>
      <c r="F8" s="514"/>
      <c r="G8" s="514"/>
      <c r="H8" s="514"/>
      <c r="I8" s="514"/>
      <c r="J8" s="514"/>
      <c r="K8" s="514"/>
      <c r="L8" s="514"/>
      <c r="M8" s="543"/>
      <c r="N8" s="543"/>
      <c r="O8" s="544"/>
      <c r="P8" s="516">
        <f>SUM(SUMIFS('caseload data'!V:V,'caseload data'!B:B,{"licence","community"},'caseload data'!C:C,'community caseload'!B8))</f>
        <v>0</v>
      </c>
      <c r="Q8" s="533"/>
      <c r="R8" s="534"/>
      <c r="S8" s="291"/>
      <c r="T8" s="289" t="str">
        <f>HLOOKUP($B$5,Region_Table,3,0)</f>
        <v>Derby City - N53</v>
      </c>
      <c r="U8" s="513" t="s">
        <v>1111</v>
      </c>
      <c r="V8" s="514"/>
      <c r="W8" s="514"/>
      <c r="X8" s="514"/>
      <c r="Y8" s="514"/>
      <c r="Z8" s="514"/>
      <c r="AA8" s="514"/>
      <c r="AB8" s="514"/>
      <c r="AC8" s="514"/>
      <c r="AD8" s="514"/>
      <c r="AE8" s="543"/>
      <c r="AF8" s="543"/>
      <c r="AG8" s="544"/>
      <c r="AH8" s="516">
        <f>SUM(SUMIFS('caseload data'!V:V,'caseload data'!B:B,{"licence","community"},'caseload data'!C:C,'community caseload'!T8))</f>
        <v>0</v>
      </c>
      <c r="AI8" s="533"/>
      <c r="AJ8" s="534"/>
    </row>
    <row r="9" spans="1:50" x14ac:dyDescent="0.3">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3">
      <c r="B10" s="96" t="s">
        <v>979</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979</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3">
      <c r="B11" s="97" t="s">
        <v>984</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984</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3">
      <c r="B12" s="97" t="s">
        <v>985</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985</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3">
      <c r="B13" s="98" t="s">
        <v>986</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986</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3">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3">
      <c r="B15" s="289" t="str">
        <f>HLOOKUP($B$5,Region_Table,4,0)</f>
        <v>Derbyshire - N53</v>
      </c>
      <c r="C15" s="513" t="s">
        <v>1111</v>
      </c>
      <c r="D15" s="514"/>
      <c r="E15" s="514"/>
      <c r="F15" s="514"/>
      <c r="G15" s="514"/>
      <c r="H15" s="514"/>
      <c r="I15" s="514"/>
      <c r="J15" s="514"/>
      <c r="K15" s="514"/>
      <c r="L15" s="514"/>
      <c r="M15" s="543"/>
      <c r="N15" s="543"/>
      <c r="O15" s="544"/>
      <c r="P15" s="516" cm="1">
        <f t="array" ref="P15">SUM(SUMIFS('caseload data'!V:V,'caseload data'!B:B,{"licence","community"},'caseload data'!$C:$C,'community caseload'!B15))</f>
        <v>0</v>
      </c>
      <c r="Q15" s="533"/>
      <c r="R15" s="534"/>
      <c r="S15" s="291"/>
      <c r="T15" s="289" t="str">
        <f>HLOOKUP($B$5,Region_Table,5,0)</f>
        <v>Leicester, Leicestershire and Rutland</v>
      </c>
      <c r="U15" s="513" t="s">
        <v>1111</v>
      </c>
      <c r="V15" s="514"/>
      <c r="W15" s="514"/>
      <c r="X15" s="514"/>
      <c r="Y15" s="514"/>
      <c r="Z15" s="514"/>
      <c r="AA15" s="514"/>
      <c r="AB15" s="514"/>
      <c r="AC15" s="514"/>
      <c r="AD15" s="514"/>
      <c r="AE15" s="543"/>
      <c r="AF15" s="543"/>
      <c r="AG15" s="544"/>
      <c r="AH15" s="516" cm="1">
        <f t="array" ref="AH15">SUM(SUMIFS('caseload data'!V:V,'caseload data'!B:B,{"licence","community"},'caseload data'!$C:$C,'community caseload'!T15))</f>
        <v>0</v>
      </c>
      <c r="AI15" s="533"/>
      <c r="AJ15" s="534"/>
    </row>
    <row r="16" spans="1:50" x14ac:dyDescent="0.3">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3">
      <c r="B17" s="96" t="s">
        <v>979</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979</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3">
      <c r="B18" s="97" t="s">
        <v>984</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984</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3">
      <c r="B19" s="97" t="s">
        <v>985</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985</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3">
      <c r="B20" s="98" t="s">
        <v>986</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986</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3">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3">
      <c r="B22" s="289" t="str">
        <f>HLOOKUP($B$5,Region_Table,6,0)</f>
        <v>Lincolnshire East and West - N53</v>
      </c>
      <c r="C22" s="513" t="s">
        <v>1111</v>
      </c>
      <c r="D22" s="514"/>
      <c r="E22" s="514"/>
      <c r="F22" s="514"/>
      <c r="G22" s="514"/>
      <c r="H22" s="514"/>
      <c r="I22" s="514"/>
      <c r="J22" s="514"/>
      <c r="K22" s="514"/>
      <c r="L22" s="514"/>
      <c r="M22" s="543"/>
      <c r="N22" s="543"/>
      <c r="O22" s="544"/>
      <c r="P22" s="516" cm="1">
        <f t="array" ref="P22">SUM(SUMIFS('caseload data'!V:V,'caseload data'!B:B,{"licence","community"},'caseload data'!$C:$C,'community caseload'!B22))</f>
        <v>0</v>
      </c>
      <c r="Q22" s="533"/>
      <c r="R22" s="534"/>
      <c r="S22" s="291"/>
      <c r="T22" s="289" t="str">
        <f>HLOOKUP($B$5,Region_Table,7,0)</f>
        <v>Nottingham City</v>
      </c>
      <c r="U22" s="513" t="s">
        <v>1111</v>
      </c>
      <c r="V22" s="514"/>
      <c r="W22" s="514"/>
      <c r="X22" s="514"/>
      <c r="Y22" s="514"/>
      <c r="Z22" s="514"/>
      <c r="AA22" s="514"/>
      <c r="AB22" s="514"/>
      <c r="AC22" s="514"/>
      <c r="AD22" s="514"/>
      <c r="AE22" s="543"/>
      <c r="AF22" s="543"/>
      <c r="AG22" s="544"/>
      <c r="AH22" s="516" cm="1">
        <f t="array" ref="AH22">SUM(SUMIFS('caseload data'!V:V,'caseload data'!B:B,{"licence","community"},'caseload data'!$C:$C,'community caseload'!T22))</f>
        <v>0</v>
      </c>
      <c r="AI22" s="533"/>
      <c r="AJ22" s="534"/>
    </row>
    <row r="23" spans="2:36" x14ac:dyDescent="0.3">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3">
      <c r="B24" s="96" t="s">
        <v>979</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979</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3">
      <c r="B25" s="97" t="s">
        <v>984</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984</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3">
      <c r="B26" s="97" t="s">
        <v>985</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985</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3">
      <c r="B27" s="98" t="s">
        <v>986</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986</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3">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3">
      <c r="B29" s="289" t="str">
        <f>HLOOKUP($B$5,Region_Table,8,0)</f>
        <v>Nottinghamshire - N53</v>
      </c>
      <c r="C29" s="513" t="s">
        <v>1111</v>
      </c>
      <c r="D29" s="514"/>
      <c r="E29" s="514"/>
      <c r="F29" s="514"/>
      <c r="G29" s="514"/>
      <c r="H29" s="514"/>
      <c r="I29" s="514"/>
      <c r="J29" s="514"/>
      <c r="K29" s="514"/>
      <c r="L29" s="514"/>
      <c r="M29" s="543"/>
      <c r="N29" s="543"/>
      <c r="O29" s="544"/>
      <c r="P29" s="516" cm="1">
        <f t="array" ref="P29">SUM(SUMIFS('caseload data'!V:V,'caseload data'!B:B,{"licence","community"},'caseload data'!$C:$C,'community caseload'!B29))</f>
        <v>0</v>
      </c>
      <c r="Q29" s="533"/>
      <c r="R29" s="534"/>
      <c r="S29" s="291"/>
      <c r="T29" s="289" t="str">
        <f>HLOOKUP($B$5,Region_Table,9,0)</f>
        <v>Unpaid Work and Attendance Centres - N53</v>
      </c>
      <c r="U29" s="513" t="s">
        <v>1111</v>
      </c>
      <c r="V29" s="514"/>
      <c r="W29" s="514"/>
      <c r="X29" s="514"/>
      <c r="Y29" s="514"/>
      <c r="Z29" s="514"/>
      <c r="AA29" s="514"/>
      <c r="AB29" s="514"/>
      <c r="AC29" s="514"/>
      <c r="AD29" s="514"/>
      <c r="AE29" s="543"/>
      <c r="AF29" s="543"/>
      <c r="AG29" s="544"/>
      <c r="AH29" s="516" cm="1">
        <f t="array" ref="AH29">SUM(SUMIFS('caseload data'!V:V,'caseload data'!B:B,{"licence","community"},'caseload data'!$C:$C,'community caseload'!T29))</f>
        <v>0</v>
      </c>
      <c r="AI29" s="533"/>
      <c r="AJ29" s="534"/>
    </row>
    <row r="30" spans="2:36" x14ac:dyDescent="0.3">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3">
      <c r="B31" s="96" t="s">
        <v>979</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979</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3">
      <c r="B32" s="97" t="s">
        <v>984</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984</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3">
      <c r="B33" s="97" t="s">
        <v>985</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985</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3">
      <c r="B34" s="98" t="s">
        <v>986</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986</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3">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3">
      <c r="B36" s="289">
        <f>HLOOKUP($B$5,Region_Table,10,0)</f>
        <v>0</v>
      </c>
      <c r="C36" s="513" t="s">
        <v>1112</v>
      </c>
      <c r="D36" s="514"/>
      <c r="E36" s="514"/>
      <c r="F36" s="514"/>
      <c r="G36" s="514"/>
      <c r="H36" s="514"/>
      <c r="I36" s="514"/>
      <c r="J36" s="514"/>
      <c r="K36" s="514"/>
      <c r="L36" s="514"/>
      <c r="M36" s="543"/>
      <c r="N36" s="543"/>
      <c r="O36" s="544"/>
      <c r="P36" s="516" cm="1">
        <f t="array" ref="P36">SUM(SUMIFS('caseload data'!V:V,'caseload data'!B:B,{"licence","community"},'caseload data'!$C:$C,'community caseload'!B36))</f>
        <v>0</v>
      </c>
      <c r="Q36" s="533"/>
      <c r="R36" s="534"/>
      <c r="S36" s="291"/>
      <c r="T36" s="289">
        <f>HLOOKUP($B$5,Region_Table,11,0)</f>
        <v>0</v>
      </c>
      <c r="U36" s="513" t="s">
        <v>1111</v>
      </c>
      <c r="V36" s="514"/>
      <c r="W36" s="514"/>
      <c r="X36" s="514"/>
      <c r="Y36" s="514"/>
      <c r="Z36" s="514"/>
      <c r="AA36" s="514"/>
      <c r="AB36" s="514"/>
      <c r="AC36" s="514"/>
      <c r="AD36" s="514"/>
      <c r="AE36" s="543"/>
      <c r="AF36" s="543"/>
      <c r="AG36" s="544"/>
      <c r="AH36" s="516" cm="1">
        <f t="array" ref="AH36">SUM(SUMIFS('caseload data'!V:V,'caseload data'!B:B,{"licence","community"},'caseload data'!$C:$C,'community caseload'!T36))</f>
        <v>0</v>
      </c>
      <c r="AI36" s="533"/>
      <c r="AJ36" s="534"/>
    </row>
    <row r="37" spans="2:36" x14ac:dyDescent="0.3">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3">
      <c r="B38" s="96" t="s">
        <v>979</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979</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3">
      <c r="B39" s="97" t="s">
        <v>984</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984</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3">
      <c r="B40" s="97" t="s">
        <v>985</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985</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3">
      <c r="B41" s="98" t="s">
        <v>986</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986</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3">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3">
      <c r="B43" s="289">
        <f>HLOOKUP($B$5,Region_Table,12,0)</f>
        <v>0</v>
      </c>
      <c r="C43" s="513" t="s">
        <v>1111</v>
      </c>
      <c r="D43" s="514"/>
      <c r="E43" s="514"/>
      <c r="F43" s="514"/>
      <c r="G43" s="514"/>
      <c r="H43" s="514"/>
      <c r="I43" s="514"/>
      <c r="J43" s="514"/>
      <c r="K43" s="514"/>
      <c r="L43" s="514"/>
      <c r="M43" s="543"/>
      <c r="N43" s="543"/>
      <c r="O43" s="544"/>
      <c r="P43" s="516" cm="1">
        <f t="array" ref="P43">SUM(SUMIFS('caseload data'!V:V,'caseload data'!B:B,{"licence","community"},'caseload data'!$C:$C,'community caseload'!B43))</f>
        <v>0</v>
      </c>
      <c r="Q43" s="533"/>
      <c r="R43" s="534"/>
      <c r="S43" s="291"/>
      <c r="T43" s="289">
        <f>HLOOKUP($B$5,Region_Table,13,0)</f>
        <v>0</v>
      </c>
      <c r="U43" s="513" t="s">
        <v>1111</v>
      </c>
      <c r="V43" s="514"/>
      <c r="W43" s="514"/>
      <c r="X43" s="514"/>
      <c r="Y43" s="514"/>
      <c r="Z43" s="514"/>
      <c r="AA43" s="514"/>
      <c r="AB43" s="514"/>
      <c r="AC43" s="514"/>
      <c r="AD43" s="514"/>
      <c r="AE43" s="543"/>
      <c r="AF43" s="543"/>
      <c r="AG43" s="544"/>
      <c r="AH43" s="516" cm="1">
        <f t="array" ref="AH43">SUM(SUMIFS('caseload data'!V:V,'caseload data'!B:B,{"licence","community"},'caseload data'!$C:$C,'community caseload'!T43))</f>
        <v>0</v>
      </c>
      <c r="AI43" s="533"/>
      <c r="AJ43" s="534"/>
    </row>
    <row r="44" spans="2:36" x14ac:dyDescent="0.3">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3">
      <c r="B45" s="96" t="s">
        <v>979</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979</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3">
      <c r="B46" s="97" t="s">
        <v>984</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984</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3">
      <c r="B47" s="97" t="s">
        <v>985</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985</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3">
      <c r="B48" s="98" t="s">
        <v>986</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986</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3">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3">
      <c r="B50" s="289">
        <f>HLOOKUP($B$5,Region_Table,14,0)</f>
        <v>0</v>
      </c>
      <c r="C50" s="513" t="s">
        <v>1111</v>
      </c>
      <c r="D50" s="514"/>
      <c r="E50" s="514"/>
      <c r="F50" s="514"/>
      <c r="G50" s="514"/>
      <c r="H50" s="514"/>
      <c r="I50" s="514"/>
      <c r="J50" s="514"/>
      <c r="K50" s="514"/>
      <c r="L50" s="514"/>
      <c r="M50" s="543"/>
      <c r="N50" s="543"/>
      <c r="O50" s="544"/>
      <c r="P50" s="516" cm="1">
        <f t="array" ref="P50">SUM(SUMIFS('caseload data'!V:V,'caseload data'!B:B,{"licence","community"},'caseload data'!$C:$C,'community caseload'!B50))</f>
        <v>0</v>
      </c>
      <c r="Q50" s="533"/>
      <c r="R50" s="534"/>
      <c r="S50" s="291"/>
      <c r="T50" s="289">
        <f>HLOOKUP($B$5,Region_Table,15,0)</f>
        <v>0</v>
      </c>
      <c r="U50" s="513" t="s">
        <v>1111</v>
      </c>
      <c r="V50" s="514"/>
      <c r="W50" s="514"/>
      <c r="X50" s="514"/>
      <c r="Y50" s="514"/>
      <c r="Z50" s="514"/>
      <c r="AA50" s="514"/>
      <c r="AB50" s="514"/>
      <c r="AC50" s="514"/>
      <c r="AD50" s="514"/>
      <c r="AE50" s="543"/>
      <c r="AF50" s="543"/>
      <c r="AG50" s="544"/>
      <c r="AH50" s="516" cm="1">
        <f t="array" ref="AH50">SUM(SUMIFS('caseload data'!V:V,'caseload data'!B:B,{"licence","community"},'caseload data'!$C:$C,'community caseload'!T50))</f>
        <v>0</v>
      </c>
      <c r="AI50" s="533"/>
      <c r="AJ50" s="534"/>
    </row>
    <row r="51" spans="2:36" x14ac:dyDescent="0.3">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3">
      <c r="B52" s="96" t="s">
        <v>979</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979</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3">
      <c r="B53" s="97" t="s">
        <v>984</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984</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3">
      <c r="B54" s="97" t="s">
        <v>985</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985</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3">
      <c r="B55" s="98" t="s">
        <v>986</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986</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3">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3">
      <c r="B57" s="289">
        <f>HLOOKUP($B$5,Region_Table,16,0)</f>
        <v>0</v>
      </c>
      <c r="C57" s="513" t="s">
        <v>1111</v>
      </c>
      <c r="D57" s="514"/>
      <c r="E57" s="514"/>
      <c r="F57" s="514"/>
      <c r="G57" s="514"/>
      <c r="H57" s="514"/>
      <c r="I57" s="514"/>
      <c r="J57" s="514"/>
      <c r="K57" s="514"/>
      <c r="L57" s="514"/>
      <c r="M57" s="543"/>
      <c r="N57" s="543"/>
      <c r="O57" s="544"/>
      <c r="P57" s="516" cm="1">
        <f t="array" ref="P57">SUM(SUMIFS('caseload data'!V:V,'caseload data'!B:B,{"licence","community"},'caseload data'!$C:$C,'community caseload'!B57))</f>
        <v>0</v>
      </c>
      <c r="Q57" s="533"/>
      <c r="R57" s="534"/>
      <c r="S57" s="291"/>
      <c r="T57" s="289">
        <f>HLOOKUP($B$5,Region_Table,17,0)</f>
        <v>0</v>
      </c>
      <c r="U57" s="513" t="s">
        <v>1111</v>
      </c>
      <c r="V57" s="514"/>
      <c r="W57" s="514"/>
      <c r="X57" s="514"/>
      <c r="Y57" s="514"/>
      <c r="Z57" s="514"/>
      <c r="AA57" s="514"/>
      <c r="AB57" s="514"/>
      <c r="AC57" s="514"/>
      <c r="AD57" s="514"/>
      <c r="AE57" s="543"/>
      <c r="AF57" s="543"/>
      <c r="AG57" s="544"/>
      <c r="AH57" s="516" cm="1">
        <f t="array" ref="AH57">SUM(SUMIFS('caseload data'!V:V,'caseload data'!B:B,{"licence","community"},'caseload data'!$C:$C,'community caseload'!T57))</f>
        <v>0</v>
      </c>
      <c r="AI57" s="533"/>
      <c r="AJ57" s="534"/>
    </row>
    <row r="58" spans="2:36" x14ac:dyDescent="0.3">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3">
      <c r="B59" s="96" t="s">
        <v>979</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979</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3">
      <c r="B60" s="97" t="s">
        <v>984</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984</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3">
      <c r="B61" s="97" t="s">
        <v>985</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985</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3">
      <c r="B62" s="98" t="s">
        <v>986</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986</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3">
      <c r="B64" s="289">
        <f>HLOOKUP($B$5,Region_Table,18,0)</f>
        <v>0</v>
      </c>
      <c r="C64" s="513" t="s">
        <v>1111</v>
      </c>
      <c r="D64" s="514"/>
      <c r="E64" s="514"/>
      <c r="F64" s="514"/>
      <c r="G64" s="514"/>
      <c r="H64" s="514"/>
      <c r="I64" s="514"/>
      <c r="J64" s="514"/>
      <c r="K64" s="514"/>
      <c r="L64" s="514"/>
      <c r="M64" s="543"/>
      <c r="N64" s="543"/>
      <c r="O64" s="544"/>
      <c r="P64" s="516" cm="1">
        <f t="array" ref="P64">SUM(SUMIFS('caseload data'!V:V,'caseload data'!B:B,{"licence","community"},'caseload data'!$C:$C,'community caseload'!B64))</f>
        <v>0</v>
      </c>
      <c r="Q64" s="533"/>
      <c r="R64" s="534"/>
      <c r="S64" s="291"/>
      <c r="T64" s="289">
        <f>HLOOKUP($B$5,Region_Table,19,0)</f>
        <v>0</v>
      </c>
      <c r="U64" s="513" t="s">
        <v>1111</v>
      </c>
      <c r="V64" s="514"/>
      <c r="W64" s="514"/>
      <c r="X64" s="514"/>
      <c r="Y64" s="514"/>
      <c r="Z64" s="514"/>
      <c r="AA64" s="514"/>
      <c r="AB64" s="514"/>
      <c r="AC64" s="514"/>
      <c r="AD64" s="514"/>
      <c r="AE64" s="543"/>
      <c r="AF64" s="543"/>
      <c r="AG64" s="544"/>
      <c r="AH64" s="516" cm="1">
        <f t="array" ref="AH64">SUM(SUMIFS('caseload data'!V:V,'caseload data'!B:B,{"licence","community"},'caseload data'!$C:$C,'community caseload'!T64))</f>
        <v>0</v>
      </c>
      <c r="AI64" s="533"/>
      <c r="AJ64" s="534"/>
    </row>
    <row r="65" spans="2:36" x14ac:dyDescent="0.3">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3">
      <c r="B66" s="96" t="s">
        <v>979</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979</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3">
      <c r="B67" s="97" t="s">
        <v>984</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984</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3">
      <c r="B68" s="97" t="s">
        <v>985</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985</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3">
      <c r="B69" s="98" t="s">
        <v>986</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986</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3">
      <c r="B71" s="289">
        <f>HLOOKUP($B$5,Region_Table,20,0)</f>
        <v>0</v>
      </c>
      <c r="C71" s="513" t="s">
        <v>1111</v>
      </c>
      <c r="D71" s="514"/>
      <c r="E71" s="514"/>
      <c r="F71" s="514"/>
      <c r="G71" s="514"/>
      <c r="H71" s="514"/>
      <c r="I71" s="514"/>
      <c r="J71" s="514"/>
      <c r="K71" s="514"/>
      <c r="L71" s="514"/>
      <c r="M71" s="543"/>
      <c r="N71" s="543"/>
      <c r="O71" s="544"/>
      <c r="P71" s="516" cm="1">
        <f t="array" ref="P71">SUM(SUMIFS('caseload data'!V:V,'caseload data'!B:B,{"licence","community"},'caseload data'!$C:$C,'community caseload'!B71))</f>
        <v>0</v>
      </c>
      <c r="Q71" s="533"/>
      <c r="R71" s="534"/>
      <c r="S71" s="291"/>
      <c r="T71" s="289">
        <f>HLOOKUP($B$5,Region_Table,21,0)</f>
        <v>0</v>
      </c>
      <c r="U71" s="513" t="s">
        <v>1111</v>
      </c>
      <c r="V71" s="514"/>
      <c r="W71" s="514"/>
      <c r="X71" s="514"/>
      <c r="Y71" s="514"/>
      <c r="Z71" s="514"/>
      <c r="AA71" s="514"/>
      <c r="AB71" s="514"/>
      <c r="AC71" s="514"/>
      <c r="AD71" s="514"/>
      <c r="AE71" s="543"/>
      <c r="AF71" s="543"/>
      <c r="AG71" s="544"/>
      <c r="AH71" s="516" cm="1">
        <f t="array" ref="AH71">SUM(SUMIFS('caseload data'!V:V,'caseload data'!B:B,{"licence","community"},'caseload data'!$C:$C,'community caseload'!T71))</f>
        <v>0</v>
      </c>
      <c r="AI71" s="533"/>
      <c r="AJ71" s="534"/>
    </row>
    <row r="72" spans="2:36" x14ac:dyDescent="0.3">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3">
      <c r="B73" s="96" t="s">
        <v>979</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979</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3">
      <c r="B74" s="97" t="s">
        <v>984</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984</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3">
      <c r="B75" s="97" t="s">
        <v>985</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985</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3">
      <c r="B76" s="98" t="s">
        <v>986</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986</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3">
      <c r="B78" s="289">
        <f>HLOOKUP($B$5,Region_Table,22,0)</f>
        <v>0</v>
      </c>
      <c r="C78" s="513" t="s">
        <v>1111</v>
      </c>
      <c r="D78" s="514"/>
      <c r="E78" s="514"/>
      <c r="F78" s="514"/>
      <c r="G78" s="514"/>
      <c r="H78" s="514"/>
      <c r="I78" s="514"/>
      <c r="J78" s="514"/>
      <c r="K78" s="514"/>
      <c r="L78" s="514"/>
      <c r="M78" s="543"/>
      <c r="N78" s="543"/>
      <c r="O78" s="544"/>
      <c r="P78" s="516" cm="1">
        <f t="array" ref="P78">SUM(SUMIFS('caseload data'!V:V,'caseload data'!B:B,{"licence","community"},'caseload data'!$C:$C,'community caseload'!B78))</f>
        <v>0</v>
      </c>
      <c r="Q78" s="533"/>
      <c r="R78" s="534"/>
      <c r="S78" s="291"/>
      <c r="T78" s="289">
        <f>HLOOKUP($B$5,Region_Table,23,0)</f>
        <v>0</v>
      </c>
      <c r="U78" s="513" t="s">
        <v>1111</v>
      </c>
      <c r="V78" s="514"/>
      <c r="W78" s="514"/>
      <c r="X78" s="514"/>
      <c r="Y78" s="514"/>
      <c r="Z78" s="514"/>
      <c r="AA78" s="514"/>
      <c r="AB78" s="514"/>
      <c r="AC78" s="514"/>
      <c r="AD78" s="514"/>
      <c r="AE78" s="543"/>
      <c r="AF78" s="543"/>
      <c r="AG78" s="544"/>
      <c r="AH78" s="516" cm="1">
        <f t="array" ref="AH78">SUM(SUMIFS('caseload data'!V:V,'caseload data'!B:B,{"licence","community"},'caseload data'!$C:$C,'community caseload'!T78))</f>
        <v>0</v>
      </c>
      <c r="AI78" s="533"/>
      <c r="AJ78" s="534"/>
    </row>
    <row r="79" spans="2:36" x14ac:dyDescent="0.3">
      <c r="B79" s="290"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3">
      <c r="B80" s="96" t="s">
        <v>979</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979</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3">
      <c r="B81" s="97" t="s">
        <v>984</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984</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3">
      <c r="B82" s="97" t="s">
        <v>985</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985</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3">
      <c r="B83" s="98" t="s">
        <v>986</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986</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3">
      <c r="B85" s="289">
        <f>HLOOKUP($B$5,Region_Table,24,0)</f>
        <v>0</v>
      </c>
      <c r="C85" s="513" t="s">
        <v>1111</v>
      </c>
      <c r="D85" s="514"/>
      <c r="E85" s="514"/>
      <c r="F85" s="514"/>
      <c r="G85" s="514"/>
      <c r="H85" s="514"/>
      <c r="I85" s="514"/>
      <c r="J85" s="514"/>
      <c r="K85" s="514"/>
      <c r="L85" s="514"/>
      <c r="M85" s="543"/>
      <c r="N85" s="543"/>
      <c r="O85" s="544"/>
      <c r="P85" s="516" cm="1">
        <f t="array" ref="P85">SUM(SUMIFS('caseload data'!V:V,'caseload data'!B:B,{"licence","community"},'caseload data'!$C:$C,'community caseload'!B85))</f>
        <v>0</v>
      </c>
      <c r="Q85" s="533"/>
      <c r="R85" s="534"/>
      <c r="S85" s="291"/>
      <c r="T85" s="289">
        <f>HLOOKUP($B$5,Region_Table,25,0)</f>
        <v>0</v>
      </c>
      <c r="U85" s="513" t="s">
        <v>1111</v>
      </c>
      <c r="V85" s="514"/>
      <c r="W85" s="514"/>
      <c r="X85" s="514"/>
      <c r="Y85" s="514"/>
      <c r="Z85" s="514"/>
      <c r="AA85" s="514"/>
      <c r="AB85" s="514"/>
      <c r="AC85" s="514"/>
      <c r="AD85" s="514"/>
      <c r="AE85" s="543"/>
      <c r="AF85" s="543"/>
      <c r="AG85" s="544"/>
      <c r="AH85" s="516" cm="1">
        <f t="array" ref="AH85">SUM(SUMIFS('caseload data'!V:V,'caseload data'!B:B,{"licence","community"},'caseload data'!$C:$C,'community caseload'!T85))</f>
        <v>0</v>
      </c>
      <c r="AI85" s="533"/>
      <c r="AJ85" s="534"/>
    </row>
    <row r="86" spans="2:36" x14ac:dyDescent="0.3">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3">
      <c r="B87" s="96" t="s">
        <v>979</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979</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3">
      <c r="B88" s="97" t="s">
        <v>984</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984</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3">
      <c r="B89" s="97" t="s">
        <v>985</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985</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3">
      <c r="B90" s="98" t="s">
        <v>986</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986</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3">
      <c r="B92" s="289">
        <f>HLOOKUP($B$5,Region_Table,26,0)</f>
        <v>0</v>
      </c>
      <c r="C92" s="513" t="s">
        <v>1111</v>
      </c>
      <c r="D92" s="514"/>
      <c r="E92" s="514"/>
      <c r="F92" s="514"/>
      <c r="G92" s="514"/>
      <c r="H92" s="514"/>
      <c r="I92" s="514"/>
      <c r="J92" s="514"/>
      <c r="K92" s="514"/>
      <c r="L92" s="514"/>
      <c r="M92" s="543"/>
      <c r="N92" s="543"/>
      <c r="O92" s="544"/>
      <c r="P92" s="516" cm="1">
        <f t="array" ref="P92">SUM(SUMIFS('caseload data'!V:V,'caseload data'!B:B,{"licence","community"},'caseload data'!$C:$C,'community caseload'!B92))</f>
        <v>0</v>
      </c>
      <c r="Q92" s="533"/>
      <c r="R92" s="534"/>
      <c r="T92" s="289">
        <f>HLOOKUP($B$5,Region_Table,27,0)</f>
        <v>0</v>
      </c>
      <c r="U92" s="513" t="s">
        <v>1111</v>
      </c>
      <c r="V92" s="514"/>
      <c r="W92" s="514"/>
      <c r="X92" s="514"/>
      <c r="Y92" s="514"/>
      <c r="Z92" s="514"/>
      <c r="AA92" s="514"/>
      <c r="AB92" s="514"/>
      <c r="AC92" s="514"/>
      <c r="AD92" s="514"/>
      <c r="AE92" s="543"/>
      <c r="AF92" s="543"/>
      <c r="AG92" s="544"/>
      <c r="AH92" s="516" cm="1">
        <f t="array" ref="AH92">SUM(SUMIFS('caseload data'!V:V,'caseload data'!B:B,{"licence","community"},'caseload data'!$C:$C,'community caseload'!T92))</f>
        <v>0</v>
      </c>
      <c r="AI92" s="533"/>
      <c r="AJ92" s="534"/>
    </row>
    <row r="93" spans="2:36" x14ac:dyDescent="0.3">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3">
      <c r="B94" s="96" t="s">
        <v>979</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979</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3">
      <c r="B95" s="97" t="s">
        <v>984</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984</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3">
      <c r="B96" s="97" t="s">
        <v>985</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985</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3">
      <c r="B97" s="98" t="s">
        <v>986</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986</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3">
      <c r="B99" s="289">
        <f>HLOOKUP($B$5,Region_Table,28,0)</f>
        <v>0</v>
      </c>
      <c r="C99" s="513" t="s">
        <v>1111</v>
      </c>
      <c r="D99" s="514"/>
      <c r="E99" s="514"/>
      <c r="F99" s="514"/>
      <c r="G99" s="514"/>
      <c r="H99" s="514"/>
      <c r="I99" s="514"/>
      <c r="J99" s="514"/>
      <c r="K99" s="514"/>
      <c r="L99" s="514"/>
      <c r="M99" s="543"/>
      <c r="N99" s="543"/>
      <c r="O99" s="544"/>
      <c r="P99" s="516" cm="1">
        <f t="array" ref="P99">SUM(SUMIFS('caseload data'!V:V,'caseload data'!B:B,{"licence","community"},'caseload data'!$C:$C,'community caseload'!B99))</f>
        <v>0</v>
      </c>
      <c r="Q99" s="533"/>
      <c r="R99" s="534"/>
    </row>
    <row r="100" spans="2:36" x14ac:dyDescent="0.3">
      <c r="B100" s="290"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row>
    <row r="101" spans="2:36" x14ac:dyDescent="0.3">
      <c r="B101" s="96" t="s">
        <v>979</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3">
      <c r="B102" s="97" t="s">
        <v>984</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3">
      <c r="B103" s="97" t="s">
        <v>985</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3">
      <c r="B104" s="98" t="s">
        <v>986</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P36:R36"/>
    <mergeCell ref="U36:AG36"/>
    <mergeCell ref="AH36:AJ36"/>
    <mergeCell ref="A1:AJ1"/>
    <mergeCell ref="A2:AJ2"/>
    <mergeCell ref="P29:R29"/>
    <mergeCell ref="U29:AG29"/>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topLeftCell="A58" zoomScale="70" zoomScaleNormal="70" workbookViewId="0">
      <selection sqref="A1:AJ1"/>
    </sheetView>
  </sheetViews>
  <sheetFormatPr defaultColWidth="9.1796875" defaultRowHeight="14" x14ac:dyDescent="0.3"/>
  <cols>
    <col min="1" max="1" width="2.453125" customWidth="1"/>
    <col min="2" max="2" width="36.1796875" customWidth="1"/>
    <col min="20" max="20" width="33" customWidth="1"/>
  </cols>
  <sheetData>
    <row r="1" spans="1:50" ht="72" customHeight="1" x14ac:dyDescent="0.3">
      <c r="A1" s="537" t="s">
        <v>1113</v>
      </c>
      <c r="B1" s="537"/>
      <c r="C1" s="537"/>
      <c r="D1" s="537"/>
      <c r="E1" s="537"/>
      <c r="F1" s="537"/>
      <c r="G1" s="537"/>
      <c r="H1" s="537"/>
      <c r="I1" s="537"/>
      <c r="J1" s="537"/>
      <c r="K1" s="537"/>
      <c r="L1" s="537"/>
      <c r="M1" s="537"/>
      <c r="N1" s="537"/>
      <c r="O1" s="537"/>
      <c r="P1" s="537"/>
      <c r="Q1" s="537"/>
      <c r="R1" s="537"/>
      <c r="S1" s="537"/>
      <c r="T1" s="537"/>
      <c r="U1" s="537"/>
      <c r="V1" s="537"/>
      <c r="W1" s="537"/>
      <c r="X1" s="537"/>
      <c r="Y1" s="537"/>
      <c r="Z1" s="537"/>
      <c r="AA1" s="537"/>
      <c r="AB1" s="537"/>
      <c r="AC1" s="537"/>
      <c r="AD1" s="537"/>
      <c r="AE1" s="537"/>
      <c r="AF1" s="537"/>
      <c r="AG1" s="537"/>
      <c r="AH1" s="537"/>
      <c r="AI1" s="537"/>
      <c r="AJ1" s="537"/>
      <c r="AK1" s="261"/>
      <c r="AL1" s="261"/>
      <c r="AM1" s="261"/>
      <c r="AN1" s="261"/>
      <c r="AO1" s="261"/>
      <c r="AP1" s="261"/>
      <c r="AQ1" s="261"/>
      <c r="AR1" s="261"/>
      <c r="AS1" s="261"/>
      <c r="AT1" s="261"/>
      <c r="AU1" s="261"/>
      <c r="AV1" s="261"/>
      <c r="AW1" s="261"/>
      <c r="AX1" s="261"/>
    </row>
    <row r="2" spans="1:50" ht="66" customHeight="1" x14ac:dyDescent="0.3">
      <c r="A2" s="546"/>
      <c r="B2" s="546"/>
      <c r="C2" s="546"/>
      <c r="D2" s="546"/>
      <c r="E2" s="546"/>
      <c r="F2" s="546"/>
      <c r="G2" s="546"/>
      <c r="H2" s="546"/>
      <c r="I2" s="546"/>
      <c r="J2" s="546"/>
      <c r="K2" s="546"/>
      <c r="L2" s="546"/>
      <c r="M2" s="546"/>
      <c r="N2" s="546"/>
      <c r="O2" s="546"/>
      <c r="P2" s="546"/>
      <c r="Q2" s="546"/>
      <c r="R2" s="546"/>
      <c r="S2" s="546"/>
      <c r="T2" s="546"/>
      <c r="U2" s="546"/>
      <c r="V2" s="546"/>
      <c r="W2" s="546"/>
      <c r="X2" s="546"/>
      <c r="Y2" s="546"/>
      <c r="Z2" s="546"/>
      <c r="AA2" s="546"/>
      <c r="AB2" s="546"/>
      <c r="AC2" s="546"/>
      <c r="AD2" s="546"/>
      <c r="AE2" s="546"/>
      <c r="AF2" s="546"/>
      <c r="AG2" s="546"/>
      <c r="AH2" s="546"/>
      <c r="AI2" s="546"/>
      <c r="AJ2" s="546"/>
      <c r="AK2" s="546"/>
      <c r="AL2" s="546"/>
      <c r="AM2" s="546"/>
      <c r="AN2" s="546"/>
      <c r="AO2" s="546"/>
      <c r="AP2" s="546"/>
      <c r="AQ2" s="546"/>
      <c r="AR2" s="546"/>
      <c r="AS2" s="546"/>
      <c r="AT2" s="546"/>
      <c r="AU2" s="546"/>
      <c r="AV2" s="546"/>
      <c r="AW2" s="546"/>
      <c r="AX2" s="546"/>
    </row>
    <row r="3" spans="1:50" s="48" customFormat="1" ht="15.5" x14ac:dyDescent="0.3">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3">
      <c r="B4" s="143" t="s">
        <v>1114</v>
      </c>
    </row>
    <row r="5" spans="1:50" ht="27.75" customHeight="1" x14ac:dyDescent="0.3">
      <c r="B5" s="242" t="s">
        <v>17</v>
      </c>
      <c r="P5" s="40"/>
    </row>
    <row r="6" spans="1:50" x14ac:dyDescent="0.3">
      <c r="B6" s="46"/>
    </row>
    <row r="8" spans="1:50" ht="25.5" customHeight="1" x14ac:dyDescent="0.3">
      <c r="B8" s="289" t="str">
        <f>HLOOKUP($B$5,Region_Table,2,0)</f>
        <v>All East Midlands Region</v>
      </c>
      <c r="C8" s="513" t="s">
        <v>1115</v>
      </c>
      <c r="D8" s="514"/>
      <c r="E8" s="514"/>
      <c r="F8" s="514"/>
      <c r="G8" s="514"/>
      <c r="H8" s="514"/>
      <c r="I8" s="514"/>
      <c r="J8" s="514"/>
      <c r="K8" s="514"/>
      <c r="L8" s="514"/>
      <c r="M8" s="543"/>
      <c r="N8" s="543"/>
      <c r="O8" s="544"/>
      <c r="P8" s="516">
        <f>SUM(SUMIFS('caseload data'!V:V,'caseload data'!B:B,{"licence","community"},'caseload data'!C:C,B8))</f>
        <v>0</v>
      </c>
      <c r="Q8" s="533"/>
      <c r="R8" s="534"/>
      <c r="S8" s="64"/>
      <c r="T8" s="289" t="str">
        <f>HLOOKUP($B$5,Region_Table,3,0)</f>
        <v>Derby City - N53</v>
      </c>
      <c r="U8" s="513" t="s">
        <v>1115</v>
      </c>
      <c r="V8" s="514"/>
      <c r="W8" s="514"/>
      <c r="X8" s="514"/>
      <c r="Y8" s="514"/>
      <c r="Z8" s="514"/>
      <c r="AA8" s="514"/>
      <c r="AB8" s="514"/>
      <c r="AC8" s="514"/>
      <c r="AD8" s="514"/>
      <c r="AE8" s="543"/>
      <c r="AF8" s="543"/>
      <c r="AG8" s="544"/>
      <c r="AH8" s="516">
        <f>SUM(SUMIFS('caseload data'!V:V,'caseload data'!B:B,{"licence","community"},'caseload data'!C:C,T8))</f>
        <v>0</v>
      </c>
      <c r="AI8" s="533"/>
      <c r="AJ8" s="534"/>
    </row>
    <row r="9" spans="1:50" x14ac:dyDescent="0.3">
      <c r="B9" s="95" t="s">
        <v>982</v>
      </c>
      <c r="C9" s="38" t="s">
        <v>846</v>
      </c>
      <c r="D9" s="38" t="s">
        <v>847</v>
      </c>
      <c r="E9" s="38" t="s">
        <v>848</v>
      </c>
      <c r="F9" s="38" t="s">
        <v>849</v>
      </c>
      <c r="G9" s="38" t="s">
        <v>850</v>
      </c>
      <c r="H9" s="38" t="s">
        <v>851</v>
      </c>
      <c r="I9" s="38" t="s">
        <v>852</v>
      </c>
      <c r="J9" s="38" t="s">
        <v>853</v>
      </c>
      <c r="K9" s="38" t="s">
        <v>854</v>
      </c>
      <c r="L9" s="38" t="s">
        <v>855</v>
      </c>
      <c r="M9" s="38" t="s">
        <v>856</v>
      </c>
      <c r="N9" s="38" t="s">
        <v>857</v>
      </c>
      <c r="O9" s="38" t="s">
        <v>858</v>
      </c>
      <c r="P9" s="38" t="s">
        <v>859</v>
      </c>
      <c r="Q9" s="38" t="s">
        <v>860</v>
      </c>
      <c r="R9" s="38" t="s">
        <v>861</v>
      </c>
      <c r="S9" s="64"/>
      <c r="T9" s="95" t="s">
        <v>982</v>
      </c>
      <c r="U9" s="38" t="s">
        <v>846</v>
      </c>
      <c r="V9" s="38" t="s">
        <v>847</v>
      </c>
      <c r="W9" s="38" t="s">
        <v>848</v>
      </c>
      <c r="X9" s="38" t="s">
        <v>849</v>
      </c>
      <c r="Y9" s="38" t="s">
        <v>850</v>
      </c>
      <c r="Z9" s="38" t="s">
        <v>851</v>
      </c>
      <c r="AA9" s="38" t="s">
        <v>852</v>
      </c>
      <c r="AB9" s="38" t="s">
        <v>853</v>
      </c>
      <c r="AC9" s="38" t="s">
        <v>854</v>
      </c>
      <c r="AD9" s="38" t="s">
        <v>855</v>
      </c>
      <c r="AE9" s="38" t="s">
        <v>856</v>
      </c>
      <c r="AF9" s="38" t="s">
        <v>857</v>
      </c>
      <c r="AG9" s="38" t="s">
        <v>858</v>
      </c>
      <c r="AH9" s="38" t="s">
        <v>859</v>
      </c>
      <c r="AI9" s="38" t="s">
        <v>860</v>
      </c>
      <c r="AJ9" s="38" t="s">
        <v>861</v>
      </c>
    </row>
    <row r="10" spans="1:50" x14ac:dyDescent="0.3">
      <c r="B10" s="96" t="s">
        <v>979</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979</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3">
      <c r="B11" s="97" t="s">
        <v>984</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984</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3">
      <c r="B12" s="97" t="s">
        <v>985</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985</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3">
      <c r="B13" s="98" t="s">
        <v>986</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986</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3">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3">
      <c r="B15" s="289" t="str">
        <f>HLOOKUP($B$5,Region_Table,4,0)</f>
        <v>Derbyshire - N53</v>
      </c>
      <c r="C15" s="513" t="s">
        <v>1115</v>
      </c>
      <c r="D15" s="514"/>
      <c r="E15" s="514"/>
      <c r="F15" s="514"/>
      <c r="G15" s="514"/>
      <c r="H15" s="514"/>
      <c r="I15" s="514"/>
      <c r="J15" s="514"/>
      <c r="K15" s="514"/>
      <c r="L15" s="514"/>
      <c r="M15" s="543"/>
      <c r="N15" s="543"/>
      <c r="O15" s="544"/>
      <c r="P15" s="516" cm="1">
        <f t="array" ref="P15">SUM(SUMIFS('caseload data'!V:V,'caseload data'!B:B,{"licence","community"},'caseload data'!$C:$C,B15))</f>
        <v>0</v>
      </c>
      <c r="Q15" s="533"/>
      <c r="R15" s="534"/>
      <c r="S15" s="64"/>
      <c r="T15" s="289" t="str">
        <f>HLOOKUP($B$5,Region_Table,5,0)</f>
        <v>Leicester, Leicestershire and Rutland</v>
      </c>
      <c r="U15" s="513" t="s">
        <v>1115</v>
      </c>
      <c r="V15" s="514"/>
      <c r="W15" s="514"/>
      <c r="X15" s="514"/>
      <c r="Y15" s="514"/>
      <c r="Z15" s="514"/>
      <c r="AA15" s="514"/>
      <c r="AB15" s="514"/>
      <c r="AC15" s="514"/>
      <c r="AD15" s="514"/>
      <c r="AE15" s="543"/>
      <c r="AF15" s="543"/>
      <c r="AG15" s="544"/>
      <c r="AH15" s="516" cm="1">
        <f t="array" ref="AH15">SUM(SUMIFS('caseload data'!V:V,'caseload data'!B:B,{"licence","community"},'caseload data'!$C:$C,T15))</f>
        <v>0</v>
      </c>
      <c r="AI15" s="533"/>
      <c r="AJ15" s="534"/>
    </row>
    <row r="16" spans="1:50" x14ac:dyDescent="0.3">
      <c r="B16" s="95" t="s">
        <v>982</v>
      </c>
      <c r="C16" s="38" t="s">
        <v>846</v>
      </c>
      <c r="D16" s="38" t="s">
        <v>847</v>
      </c>
      <c r="E16" s="38" t="s">
        <v>848</v>
      </c>
      <c r="F16" s="38" t="s">
        <v>849</v>
      </c>
      <c r="G16" s="38" t="s">
        <v>850</v>
      </c>
      <c r="H16" s="38" t="s">
        <v>851</v>
      </c>
      <c r="I16" s="38" t="s">
        <v>852</v>
      </c>
      <c r="J16" s="38" t="s">
        <v>853</v>
      </c>
      <c r="K16" s="38" t="s">
        <v>854</v>
      </c>
      <c r="L16" s="38" t="s">
        <v>855</v>
      </c>
      <c r="M16" s="38" t="s">
        <v>856</v>
      </c>
      <c r="N16" s="38" t="s">
        <v>857</v>
      </c>
      <c r="O16" s="38" t="s">
        <v>858</v>
      </c>
      <c r="P16" s="38" t="s">
        <v>859</v>
      </c>
      <c r="Q16" s="38" t="s">
        <v>860</v>
      </c>
      <c r="R16" s="38" t="s">
        <v>861</v>
      </c>
      <c r="S16" s="64"/>
      <c r="T16" s="95" t="s">
        <v>982</v>
      </c>
      <c r="U16" s="38" t="s">
        <v>846</v>
      </c>
      <c r="V16" s="38" t="s">
        <v>847</v>
      </c>
      <c r="W16" s="38" t="s">
        <v>848</v>
      </c>
      <c r="X16" s="38" t="s">
        <v>849</v>
      </c>
      <c r="Y16" s="38" t="s">
        <v>850</v>
      </c>
      <c r="Z16" s="38" t="s">
        <v>851</v>
      </c>
      <c r="AA16" s="38" t="s">
        <v>852</v>
      </c>
      <c r="AB16" s="38" t="s">
        <v>853</v>
      </c>
      <c r="AC16" s="38" t="s">
        <v>854</v>
      </c>
      <c r="AD16" s="38" t="s">
        <v>855</v>
      </c>
      <c r="AE16" s="38" t="s">
        <v>856</v>
      </c>
      <c r="AF16" s="38" t="s">
        <v>857</v>
      </c>
      <c r="AG16" s="38" t="s">
        <v>858</v>
      </c>
      <c r="AH16" s="38" t="s">
        <v>859</v>
      </c>
      <c r="AI16" s="38" t="s">
        <v>860</v>
      </c>
      <c r="AJ16" s="38" t="s">
        <v>861</v>
      </c>
    </row>
    <row r="17" spans="2:36" x14ac:dyDescent="0.3">
      <c r="B17" s="96" t="s">
        <v>979</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979</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3">
      <c r="B18" s="97" t="s">
        <v>984</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984</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3">
      <c r="B19" s="97" t="s">
        <v>985</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985</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3">
      <c r="B20" s="98" t="s">
        <v>986</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986</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3">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3">
      <c r="B22" s="289" t="str">
        <f>HLOOKUP($B$5,Region_Table,6,0)</f>
        <v>Lincolnshire East and West - N53</v>
      </c>
      <c r="C22" s="513" t="s">
        <v>1115</v>
      </c>
      <c r="D22" s="514"/>
      <c r="E22" s="514"/>
      <c r="F22" s="514"/>
      <c r="G22" s="514"/>
      <c r="H22" s="514"/>
      <c r="I22" s="514"/>
      <c r="J22" s="514"/>
      <c r="K22" s="514"/>
      <c r="L22" s="514"/>
      <c r="M22" s="543"/>
      <c r="N22" s="543"/>
      <c r="O22" s="544"/>
      <c r="P22" s="516" cm="1">
        <f t="array" ref="P22">SUM(SUMIFS('caseload data'!V:V,'caseload data'!B:B,{"licence","community"},'caseload data'!$C:$C,B22))</f>
        <v>0</v>
      </c>
      <c r="Q22" s="533"/>
      <c r="R22" s="534"/>
      <c r="S22" s="64"/>
      <c r="T22" s="289" t="str">
        <f>HLOOKUP($B$5,Region_Table,7,0)</f>
        <v>Nottingham City</v>
      </c>
      <c r="U22" s="513" t="s">
        <v>1115</v>
      </c>
      <c r="V22" s="514"/>
      <c r="W22" s="514"/>
      <c r="X22" s="514"/>
      <c r="Y22" s="514"/>
      <c r="Z22" s="514"/>
      <c r="AA22" s="514"/>
      <c r="AB22" s="514"/>
      <c r="AC22" s="514"/>
      <c r="AD22" s="514"/>
      <c r="AE22" s="543"/>
      <c r="AF22" s="543"/>
      <c r="AG22" s="544"/>
      <c r="AH22" s="516" cm="1">
        <f t="array" ref="AH22">SUM(SUMIFS('caseload data'!V:V,'caseload data'!B:B,{"licence","community"},'caseload data'!$C:$C,T22))</f>
        <v>0</v>
      </c>
      <c r="AI22" s="533"/>
      <c r="AJ22" s="534"/>
    </row>
    <row r="23" spans="2:36" x14ac:dyDescent="0.3">
      <c r="B23" s="95" t="s">
        <v>982</v>
      </c>
      <c r="C23" s="38" t="s">
        <v>846</v>
      </c>
      <c r="D23" s="38" t="s">
        <v>847</v>
      </c>
      <c r="E23" s="38" t="s">
        <v>848</v>
      </c>
      <c r="F23" s="38" t="s">
        <v>849</v>
      </c>
      <c r="G23" s="38" t="s">
        <v>850</v>
      </c>
      <c r="H23" s="38" t="s">
        <v>851</v>
      </c>
      <c r="I23" s="38" t="s">
        <v>852</v>
      </c>
      <c r="J23" s="38" t="s">
        <v>853</v>
      </c>
      <c r="K23" s="38" t="s">
        <v>854</v>
      </c>
      <c r="L23" s="38" t="s">
        <v>855</v>
      </c>
      <c r="M23" s="38" t="s">
        <v>856</v>
      </c>
      <c r="N23" s="38" t="s">
        <v>857</v>
      </c>
      <c r="O23" s="38" t="s">
        <v>858</v>
      </c>
      <c r="P23" s="38" t="s">
        <v>859</v>
      </c>
      <c r="Q23" s="38" t="s">
        <v>860</v>
      </c>
      <c r="R23" s="38" t="s">
        <v>861</v>
      </c>
      <c r="S23" s="64"/>
      <c r="T23" s="95" t="s">
        <v>982</v>
      </c>
      <c r="U23" s="38" t="s">
        <v>846</v>
      </c>
      <c r="V23" s="38" t="s">
        <v>847</v>
      </c>
      <c r="W23" s="38" t="s">
        <v>848</v>
      </c>
      <c r="X23" s="38" t="s">
        <v>849</v>
      </c>
      <c r="Y23" s="38" t="s">
        <v>850</v>
      </c>
      <c r="Z23" s="38" t="s">
        <v>851</v>
      </c>
      <c r="AA23" s="38" t="s">
        <v>852</v>
      </c>
      <c r="AB23" s="38" t="s">
        <v>853</v>
      </c>
      <c r="AC23" s="38" t="s">
        <v>854</v>
      </c>
      <c r="AD23" s="38" t="s">
        <v>855</v>
      </c>
      <c r="AE23" s="38" t="s">
        <v>856</v>
      </c>
      <c r="AF23" s="38" t="s">
        <v>857</v>
      </c>
      <c r="AG23" s="38" t="s">
        <v>858</v>
      </c>
      <c r="AH23" s="38" t="s">
        <v>859</v>
      </c>
      <c r="AI23" s="38" t="s">
        <v>860</v>
      </c>
      <c r="AJ23" s="38" t="s">
        <v>861</v>
      </c>
    </row>
    <row r="24" spans="2:36" x14ac:dyDescent="0.3">
      <c r="B24" s="96" t="s">
        <v>979</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979</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3">
      <c r="B25" s="97" t="s">
        <v>984</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984</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3">
      <c r="B26" s="97" t="s">
        <v>985</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985</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3">
      <c r="B27" s="98" t="s">
        <v>986</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986</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3">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3">
      <c r="B29" s="289" t="str">
        <f>HLOOKUP($B$5,Region_Table,8,0)</f>
        <v>Nottinghamshire - N53</v>
      </c>
      <c r="C29" s="513" t="s">
        <v>1115</v>
      </c>
      <c r="D29" s="514"/>
      <c r="E29" s="514"/>
      <c r="F29" s="514"/>
      <c r="G29" s="514"/>
      <c r="H29" s="514"/>
      <c r="I29" s="514"/>
      <c r="J29" s="514"/>
      <c r="K29" s="514"/>
      <c r="L29" s="514"/>
      <c r="M29" s="543"/>
      <c r="N29" s="543"/>
      <c r="O29" s="544"/>
      <c r="P29" s="516" cm="1">
        <f t="array" ref="P29">SUM(SUMIFS('caseload data'!V:V,'caseload data'!B:B,{"licence","community"},'caseload data'!$C:$C,B29))</f>
        <v>0</v>
      </c>
      <c r="Q29" s="533"/>
      <c r="R29" s="534"/>
      <c r="S29" s="64"/>
      <c r="T29" s="289" t="str">
        <f>HLOOKUP($B$5,Region_Table,9,0)</f>
        <v>Unpaid Work and Attendance Centres - N53</v>
      </c>
      <c r="U29" s="513" t="s">
        <v>1115</v>
      </c>
      <c r="V29" s="514"/>
      <c r="W29" s="514"/>
      <c r="X29" s="514"/>
      <c r="Y29" s="514"/>
      <c r="Z29" s="514"/>
      <c r="AA29" s="514"/>
      <c r="AB29" s="514"/>
      <c r="AC29" s="514"/>
      <c r="AD29" s="514"/>
      <c r="AE29" s="543"/>
      <c r="AF29" s="543"/>
      <c r="AG29" s="544"/>
      <c r="AH29" s="516" cm="1">
        <f t="array" ref="AH29">SUM(SUMIFS('caseload data'!V:V,'caseload data'!B:B,{"licence","community"},'caseload data'!$C:$C,T29))</f>
        <v>0</v>
      </c>
      <c r="AI29" s="533"/>
      <c r="AJ29" s="534"/>
    </row>
    <row r="30" spans="2:36" x14ac:dyDescent="0.3">
      <c r="B30" s="95" t="s">
        <v>982</v>
      </c>
      <c r="C30" s="38" t="s">
        <v>846</v>
      </c>
      <c r="D30" s="38" t="s">
        <v>847</v>
      </c>
      <c r="E30" s="38" t="s">
        <v>848</v>
      </c>
      <c r="F30" s="38" t="s">
        <v>849</v>
      </c>
      <c r="G30" s="38" t="s">
        <v>850</v>
      </c>
      <c r="H30" s="38" t="s">
        <v>851</v>
      </c>
      <c r="I30" s="38" t="s">
        <v>852</v>
      </c>
      <c r="J30" s="38" t="s">
        <v>853</v>
      </c>
      <c r="K30" s="38" t="s">
        <v>854</v>
      </c>
      <c r="L30" s="38" t="s">
        <v>855</v>
      </c>
      <c r="M30" s="38" t="s">
        <v>856</v>
      </c>
      <c r="N30" s="38" t="s">
        <v>857</v>
      </c>
      <c r="O30" s="38" t="s">
        <v>858</v>
      </c>
      <c r="P30" s="38" t="s">
        <v>859</v>
      </c>
      <c r="Q30" s="38" t="s">
        <v>860</v>
      </c>
      <c r="R30" s="38" t="s">
        <v>861</v>
      </c>
      <c r="S30" s="64"/>
      <c r="T30" s="95" t="s">
        <v>982</v>
      </c>
      <c r="U30" s="38" t="s">
        <v>846</v>
      </c>
      <c r="V30" s="38" t="s">
        <v>847</v>
      </c>
      <c r="W30" s="38" t="s">
        <v>848</v>
      </c>
      <c r="X30" s="38" t="s">
        <v>849</v>
      </c>
      <c r="Y30" s="38" t="s">
        <v>850</v>
      </c>
      <c r="Z30" s="38" t="s">
        <v>851</v>
      </c>
      <c r="AA30" s="38" t="s">
        <v>852</v>
      </c>
      <c r="AB30" s="38" t="s">
        <v>853</v>
      </c>
      <c r="AC30" s="38" t="s">
        <v>854</v>
      </c>
      <c r="AD30" s="38" t="s">
        <v>855</v>
      </c>
      <c r="AE30" s="38" t="s">
        <v>856</v>
      </c>
      <c r="AF30" s="38" t="s">
        <v>857</v>
      </c>
      <c r="AG30" s="38" t="s">
        <v>858</v>
      </c>
      <c r="AH30" s="38" t="s">
        <v>859</v>
      </c>
      <c r="AI30" s="38" t="s">
        <v>860</v>
      </c>
      <c r="AJ30" s="38" t="s">
        <v>861</v>
      </c>
    </row>
    <row r="31" spans="2:36" x14ac:dyDescent="0.3">
      <c r="B31" s="96" t="s">
        <v>979</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979</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3">
      <c r="B32" s="97" t="s">
        <v>984</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984</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3">
      <c r="B33" s="97" t="s">
        <v>985</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985</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3">
      <c r="B34" s="98" t="s">
        <v>986</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986</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3">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3">
      <c r="B36" s="289">
        <f>HLOOKUP($B$5,Region_Table,10,0)</f>
        <v>0</v>
      </c>
      <c r="C36" s="513" t="s">
        <v>1115</v>
      </c>
      <c r="D36" s="514"/>
      <c r="E36" s="514"/>
      <c r="F36" s="514"/>
      <c r="G36" s="514"/>
      <c r="H36" s="514"/>
      <c r="I36" s="514"/>
      <c r="J36" s="514"/>
      <c r="K36" s="514"/>
      <c r="L36" s="514"/>
      <c r="M36" s="543"/>
      <c r="N36" s="543"/>
      <c r="O36" s="544"/>
      <c r="P36" s="516" cm="1">
        <f t="array" ref="P36">SUM(SUMIFS('caseload data'!V:V,'caseload data'!B:B,{"licence","community"},'caseload data'!$C:$C,B36))</f>
        <v>0</v>
      </c>
      <c r="Q36" s="533"/>
      <c r="R36" s="534"/>
      <c r="S36" s="64"/>
      <c r="T36" s="289">
        <f>HLOOKUP($B$5,Region_Table,11,0)</f>
        <v>0</v>
      </c>
      <c r="U36" s="513" t="s">
        <v>1115</v>
      </c>
      <c r="V36" s="514"/>
      <c r="W36" s="514"/>
      <c r="X36" s="514"/>
      <c r="Y36" s="514"/>
      <c r="Z36" s="514"/>
      <c r="AA36" s="514"/>
      <c r="AB36" s="514"/>
      <c r="AC36" s="514"/>
      <c r="AD36" s="514"/>
      <c r="AE36" s="543"/>
      <c r="AF36" s="543"/>
      <c r="AG36" s="544"/>
      <c r="AH36" s="516" cm="1">
        <f t="array" ref="AH36">SUM(SUMIFS('caseload data'!V:V,'caseload data'!B:B,{"licence","community"},'caseload data'!$C:$C,T36))</f>
        <v>0</v>
      </c>
      <c r="AI36" s="533"/>
      <c r="AJ36" s="534"/>
    </row>
    <row r="37" spans="2:36" x14ac:dyDescent="0.3">
      <c r="B37" s="95" t="s">
        <v>982</v>
      </c>
      <c r="C37" s="38" t="s">
        <v>846</v>
      </c>
      <c r="D37" s="38" t="s">
        <v>847</v>
      </c>
      <c r="E37" s="38" t="s">
        <v>848</v>
      </c>
      <c r="F37" s="38" t="s">
        <v>849</v>
      </c>
      <c r="G37" s="38" t="s">
        <v>850</v>
      </c>
      <c r="H37" s="38" t="s">
        <v>851</v>
      </c>
      <c r="I37" s="38" t="s">
        <v>852</v>
      </c>
      <c r="J37" s="38" t="s">
        <v>853</v>
      </c>
      <c r="K37" s="38" t="s">
        <v>854</v>
      </c>
      <c r="L37" s="38" t="s">
        <v>855</v>
      </c>
      <c r="M37" s="38" t="s">
        <v>856</v>
      </c>
      <c r="N37" s="38" t="s">
        <v>857</v>
      </c>
      <c r="O37" s="38" t="s">
        <v>858</v>
      </c>
      <c r="P37" s="38" t="s">
        <v>859</v>
      </c>
      <c r="Q37" s="38" t="s">
        <v>860</v>
      </c>
      <c r="R37" s="38" t="s">
        <v>861</v>
      </c>
      <c r="S37" s="64"/>
      <c r="T37" s="95" t="s">
        <v>982</v>
      </c>
      <c r="U37" s="38" t="s">
        <v>846</v>
      </c>
      <c r="V37" s="38" t="s">
        <v>847</v>
      </c>
      <c r="W37" s="38" t="s">
        <v>848</v>
      </c>
      <c r="X37" s="38" t="s">
        <v>849</v>
      </c>
      <c r="Y37" s="38" t="s">
        <v>850</v>
      </c>
      <c r="Z37" s="38" t="s">
        <v>851</v>
      </c>
      <c r="AA37" s="38" t="s">
        <v>852</v>
      </c>
      <c r="AB37" s="38" t="s">
        <v>853</v>
      </c>
      <c r="AC37" s="38" t="s">
        <v>854</v>
      </c>
      <c r="AD37" s="38" t="s">
        <v>855</v>
      </c>
      <c r="AE37" s="38" t="s">
        <v>856</v>
      </c>
      <c r="AF37" s="38" t="s">
        <v>857</v>
      </c>
      <c r="AG37" s="38" t="s">
        <v>858</v>
      </c>
      <c r="AH37" s="38" t="s">
        <v>859</v>
      </c>
      <c r="AI37" s="38" t="s">
        <v>860</v>
      </c>
      <c r="AJ37" s="38" t="s">
        <v>861</v>
      </c>
    </row>
    <row r="38" spans="2:36" x14ac:dyDescent="0.3">
      <c r="B38" s="96" t="s">
        <v>979</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979</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3">
      <c r="B39" s="97" t="s">
        <v>984</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984</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3">
      <c r="B40" s="97" t="s">
        <v>985</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985</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3">
      <c r="B41" s="98" t="s">
        <v>986</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986</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3">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3">
      <c r="B43" s="289">
        <f>HLOOKUP($B$5,Region_Table,12,0)</f>
        <v>0</v>
      </c>
      <c r="C43" s="513" t="s">
        <v>1115</v>
      </c>
      <c r="D43" s="514"/>
      <c r="E43" s="514"/>
      <c r="F43" s="514"/>
      <c r="G43" s="514"/>
      <c r="H43" s="514"/>
      <c r="I43" s="514"/>
      <c r="J43" s="514"/>
      <c r="K43" s="514"/>
      <c r="L43" s="514"/>
      <c r="M43" s="543"/>
      <c r="N43" s="543"/>
      <c r="O43" s="544"/>
      <c r="P43" s="516" cm="1">
        <f t="array" ref="P43">SUM(SUMIFS('caseload data'!V:V,'caseload data'!B:B,{"licence","community"},'caseload data'!$C:$C,B43))</f>
        <v>0</v>
      </c>
      <c r="Q43" s="533"/>
      <c r="R43" s="534"/>
      <c r="S43" s="64"/>
      <c r="T43" s="289">
        <f>HLOOKUP($B$5,Region_Table,13,0)</f>
        <v>0</v>
      </c>
      <c r="U43" s="513" t="s">
        <v>1115</v>
      </c>
      <c r="V43" s="514"/>
      <c r="W43" s="514"/>
      <c r="X43" s="514"/>
      <c r="Y43" s="514"/>
      <c r="Z43" s="514"/>
      <c r="AA43" s="514"/>
      <c r="AB43" s="514"/>
      <c r="AC43" s="514"/>
      <c r="AD43" s="514"/>
      <c r="AE43" s="543"/>
      <c r="AF43" s="543"/>
      <c r="AG43" s="544"/>
      <c r="AH43" s="516" cm="1">
        <f t="array" ref="AH43">SUM(SUMIFS('caseload data'!V:V,'caseload data'!B:B,{"licence","community"},'caseload data'!$C:$C,T43))</f>
        <v>0</v>
      </c>
      <c r="AI43" s="533"/>
      <c r="AJ43" s="534"/>
    </row>
    <row r="44" spans="2:36" x14ac:dyDescent="0.3">
      <c r="B44" s="95" t="s">
        <v>982</v>
      </c>
      <c r="C44" s="38" t="s">
        <v>846</v>
      </c>
      <c r="D44" s="38" t="s">
        <v>847</v>
      </c>
      <c r="E44" s="38" t="s">
        <v>848</v>
      </c>
      <c r="F44" s="38" t="s">
        <v>849</v>
      </c>
      <c r="G44" s="38" t="s">
        <v>850</v>
      </c>
      <c r="H44" s="38" t="s">
        <v>851</v>
      </c>
      <c r="I44" s="38" t="s">
        <v>852</v>
      </c>
      <c r="J44" s="38" t="s">
        <v>853</v>
      </c>
      <c r="K44" s="38" t="s">
        <v>854</v>
      </c>
      <c r="L44" s="38" t="s">
        <v>855</v>
      </c>
      <c r="M44" s="38" t="s">
        <v>856</v>
      </c>
      <c r="N44" s="38" t="s">
        <v>857</v>
      </c>
      <c r="O44" s="38" t="s">
        <v>858</v>
      </c>
      <c r="P44" s="38" t="s">
        <v>859</v>
      </c>
      <c r="Q44" s="38" t="s">
        <v>860</v>
      </c>
      <c r="R44" s="38" t="s">
        <v>861</v>
      </c>
      <c r="S44" s="64"/>
      <c r="T44" s="95" t="s">
        <v>982</v>
      </c>
      <c r="U44" s="38" t="s">
        <v>846</v>
      </c>
      <c r="V44" s="38" t="s">
        <v>847</v>
      </c>
      <c r="W44" s="38" t="s">
        <v>848</v>
      </c>
      <c r="X44" s="38" t="s">
        <v>849</v>
      </c>
      <c r="Y44" s="38" t="s">
        <v>850</v>
      </c>
      <c r="Z44" s="38" t="s">
        <v>851</v>
      </c>
      <c r="AA44" s="38" t="s">
        <v>852</v>
      </c>
      <c r="AB44" s="38" t="s">
        <v>853</v>
      </c>
      <c r="AC44" s="38" t="s">
        <v>854</v>
      </c>
      <c r="AD44" s="38" t="s">
        <v>855</v>
      </c>
      <c r="AE44" s="38" t="s">
        <v>856</v>
      </c>
      <c r="AF44" s="38" t="s">
        <v>857</v>
      </c>
      <c r="AG44" s="38" t="s">
        <v>858</v>
      </c>
      <c r="AH44" s="38" t="s">
        <v>859</v>
      </c>
      <c r="AI44" s="38" t="s">
        <v>860</v>
      </c>
      <c r="AJ44" s="38" t="s">
        <v>861</v>
      </c>
    </row>
    <row r="45" spans="2:36" x14ac:dyDescent="0.3">
      <c r="B45" s="96" t="s">
        <v>979</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979</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3">
      <c r="B46" s="97" t="s">
        <v>984</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984</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3">
      <c r="B47" s="97" t="s">
        <v>985</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985</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3">
      <c r="B48" s="98" t="s">
        <v>986</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986</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3">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3">
      <c r="B50" s="289">
        <f>HLOOKUP($B$5,Region_Table,14,0)</f>
        <v>0</v>
      </c>
      <c r="C50" s="513" t="s">
        <v>1115</v>
      </c>
      <c r="D50" s="514"/>
      <c r="E50" s="514"/>
      <c r="F50" s="514"/>
      <c r="G50" s="514"/>
      <c r="H50" s="514"/>
      <c r="I50" s="514"/>
      <c r="J50" s="514"/>
      <c r="K50" s="514"/>
      <c r="L50" s="514"/>
      <c r="M50" s="543"/>
      <c r="N50" s="543"/>
      <c r="O50" s="544"/>
      <c r="P50" s="516" cm="1">
        <f t="array" ref="P50">SUM(SUMIFS('caseload data'!V:V,'caseload data'!B:B,{"licence","community"},'caseload data'!$C:$C,B50))</f>
        <v>0</v>
      </c>
      <c r="Q50" s="533"/>
      <c r="R50" s="534"/>
      <c r="S50" s="64"/>
      <c r="T50" s="289">
        <f>HLOOKUP($B$5,Region_Table,15,0)</f>
        <v>0</v>
      </c>
      <c r="U50" s="513" t="s">
        <v>1115</v>
      </c>
      <c r="V50" s="514"/>
      <c r="W50" s="514"/>
      <c r="X50" s="514"/>
      <c r="Y50" s="514"/>
      <c r="Z50" s="514"/>
      <c r="AA50" s="514"/>
      <c r="AB50" s="514"/>
      <c r="AC50" s="514"/>
      <c r="AD50" s="514"/>
      <c r="AE50" s="543"/>
      <c r="AF50" s="543"/>
      <c r="AG50" s="544"/>
      <c r="AH50" s="516" cm="1">
        <f t="array" ref="AH50">SUM(SUMIFS('caseload data'!V:V,'caseload data'!B:B,{"licence","community"},'caseload data'!$C:$C,T50))</f>
        <v>0</v>
      </c>
      <c r="AI50" s="533"/>
      <c r="AJ50" s="534"/>
    </row>
    <row r="51" spans="2:36" x14ac:dyDescent="0.3">
      <c r="B51" s="95" t="s">
        <v>982</v>
      </c>
      <c r="C51" s="38" t="s">
        <v>846</v>
      </c>
      <c r="D51" s="38" t="s">
        <v>847</v>
      </c>
      <c r="E51" s="38" t="s">
        <v>848</v>
      </c>
      <c r="F51" s="38" t="s">
        <v>849</v>
      </c>
      <c r="G51" s="38" t="s">
        <v>850</v>
      </c>
      <c r="H51" s="38" t="s">
        <v>851</v>
      </c>
      <c r="I51" s="38" t="s">
        <v>852</v>
      </c>
      <c r="J51" s="38" t="s">
        <v>853</v>
      </c>
      <c r="K51" s="38" t="s">
        <v>854</v>
      </c>
      <c r="L51" s="38" t="s">
        <v>855</v>
      </c>
      <c r="M51" s="38" t="s">
        <v>856</v>
      </c>
      <c r="N51" s="38" t="s">
        <v>857</v>
      </c>
      <c r="O51" s="38" t="s">
        <v>858</v>
      </c>
      <c r="P51" s="38" t="s">
        <v>859</v>
      </c>
      <c r="Q51" s="38" t="s">
        <v>860</v>
      </c>
      <c r="R51" s="38" t="s">
        <v>861</v>
      </c>
      <c r="S51" s="64"/>
      <c r="T51" s="95" t="s">
        <v>982</v>
      </c>
      <c r="U51" s="38" t="s">
        <v>846</v>
      </c>
      <c r="V51" s="38" t="s">
        <v>847</v>
      </c>
      <c r="W51" s="38" t="s">
        <v>848</v>
      </c>
      <c r="X51" s="38" t="s">
        <v>849</v>
      </c>
      <c r="Y51" s="38" t="s">
        <v>850</v>
      </c>
      <c r="Z51" s="38" t="s">
        <v>851</v>
      </c>
      <c r="AA51" s="38" t="s">
        <v>852</v>
      </c>
      <c r="AB51" s="38" t="s">
        <v>853</v>
      </c>
      <c r="AC51" s="38" t="s">
        <v>854</v>
      </c>
      <c r="AD51" s="38" t="s">
        <v>855</v>
      </c>
      <c r="AE51" s="38" t="s">
        <v>856</v>
      </c>
      <c r="AF51" s="38" t="s">
        <v>857</v>
      </c>
      <c r="AG51" s="38" t="s">
        <v>858</v>
      </c>
      <c r="AH51" s="38" t="s">
        <v>859</v>
      </c>
      <c r="AI51" s="38" t="s">
        <v>860</v>
      </c>
      <c r="AJ51" s="38" t="s">
        <v>861</v>
      </c>
    </row>
    <row r="52" spans="2:36" x14ac:dyDescent="0.3">
      <c r="B52" s="96" t="s">
        <v>979</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979</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3">
      <c r="B53" s="97" t="s">
        <v>984</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984</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3">
      <c r="B54" s="97" t="s">
        <v>985</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985</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3">
      <c r="B55" s="98" t="s">
        <v>986</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986</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3">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3">
      <c r="B57" s="289">
        <f>HLOOKUP($B$5,Region_Table,16,0)</f>
        <v>0</v>
      </c>
      <c r="C57" s="513" t="s">
        <v>1115</v>
      </c>
      <c r="D57" s="514"/>
      <c r="E57" s="514"/>
      <c r="F57" s="514"/>
      <c r="G57" s="514"/>
      <c r="H57" s="514"/>
      <c r="I57" s="514"/>
      <c r="J57" s="514"/>
      <c r="K57" s="514"/>
      <c r="L57" s="514"/>
      <c r="M57" s="543"/>
      <c r="N57" s="543"/>
      <c r="O57" s="544"/>
      <c r="P57" s="516" cm="1">
        <f t="array" ref="P57">SUM(SUMIFS('caseload data'!V:V,'caseload data'!B:B,{"licence","community"},'caseload data'!$C:$C,B57))</f>
        <v>0</v>
      </c>
      <c r="Q57" s="533"/>
      <c r="R57" s="534"/>
      <c r="S57" s="64"/>
      <c r="T57" s="289">
        <f>HLOOKUP($B$5,Region_Table,17,0)</f>
        <v>0</v>
      </c>
      <c r="U57" s="513" t="s">
        <v>1115</v>
      </c>
      <c r="V57" s="514"/>
      <c r="W57" s="514"/>
      <c r="X57" s="514"/>
      <c r="Y57" s="514"/>
      <c r="Z57" s="514"/>
      <c r="AA57" s="514"/>
      <c r="AB57" s="514"/>
      <c r="AC57" s="514"/>
      <c r="AD57" s="514"/>
      <c r="AE57" s="543"/>
      <c r="AF57" s="543"/>
      <c r="AG57" s="544"/>
      <c r="AH57" s="516" cm="1">
        <f t="array" ref="AH57">SUM(SUMIFS('caseload data'!V:V,'caseload data'!B:B,{"licence","community"},'caseload data'!$C:$C,T57))</f>
        <v>0</v>
      </c>
      <c r="AI57" s="533"/>
      <c r="AJ57" s="534"/>
    </row>
    <row r="58" spans="2:36" x14ac:dyDescent="0.3">
      <c r="B58" s="95" t="s">
        <v>982</v>
      </c>
      <c r="C58" s="38" t="s">
        <v>846</v>
      </c>
      <c r="D58" s="38" t="s">
        <v>847</v>
      </c>
      <c r="E58" s="38" t="s">
        <v>848</v>
      </c>
      <c r="F58" s="38" t="s">
        <v>849</v>
      </c>
      <c r="G58" s="38" t="s">
        <v>850</v>
      </c>
      <c r="H58" s="38" t="s">
        <v>851</v>
      </c>
      <c r="I58" s="38" t="s">
        <v>852</v>
      </c>
      <c r="J58" s="38" t="s">
        <v>853</v>
      </c>
      <c r="K58" s="38" t="s">
        <v>854</v>
      </c>
      <c r="L58" s="38" t="s">
        <v>855</v>
      </c>
      <c r="M58" s="38" t="s">
        <v>856</v>
      </c>
      <c r="N58" s="38" t="s">
        <v>857</v>
      </c>
      <c r="O58" s="38" t="s">
        <v>858</v>
      </c>
      <c r="P58" s="38" t="s">
        <v>859</v>
      </c>
      <c r="Q58" s="38" t="s">
        <v>860</v>
      </c>
      <c r="R58" s="38" t="s">
        <v>861</v>
      </c>
      <c r="S58" s="64"/>
      <c r="T58" s="95" t="s">
        <v>982</v>
      </c>
      <c r="U58" s="38" t="s">
        <v>846</v>
      </c>
      <c r="V58" s="38" t="s">
        <v>847</v>
      </c>
      <c r="W58" s="38" t="s">
        <v>848</v>
      </c>
      <c r="X58" s="38" t="s">
        <v>849</v>
      </c>
      <c r="Y58" s="38" t="s">
        <v>850</v>
      </c>
      <c r="Z58" s="38" t="s">
        <v>851</v>
      </c>
      <c r="AA58" s="38" t="s">
        <v>852</v>
      </c>
      <c r="AB58" s="38" t="s">
        <v>853</v>
      </c>
      <c r="AC58" s="38" t="s">
        <v>854</v>
      </c>
      <c r="AD58" s="38" t="s">
        <v>855</v>
      </c>
      <c r="AE58" s="38" t="s">
        <v>856</v>
      </c>
      <c r="AF58" s="38" t="s">
        <v>857</v>
      </c>
      <c r="AG58" s="38" t="s">
        <v>858</v>
      </c>
      <c r="AH58" s="38" t="s">
        <v>859</v>
      </c>
      <c r="AI58" s="38" t="s">
        <v>860</v>
      </c>
      <c r="AJ58" s="38" t="s">
        <v>861</v>
      </c>
    </row>
    <row r="59" spans="2:36" x14ac:dyDescent="0.3">
      <c r="B59" s="96" t="s">
        <v>979</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979</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3">
      <c r="B60" s="97" t="s">
        <v>984</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984</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3">
      <c r="B61" s="97" t="s">
        <v>985</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985</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3">
      <c r="B62" s="98" t="s">
        <v>986</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986</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3">
      <c r="B64" s="289">
        <f>HLOOKUP($B$5,Region_Table,18,0)</f>
        <v>0</v>
      </c>
      <c r="C64" s="513" t="s">
        <v>1115</v>
      </c>
      <c r="D64" s="514"/>
      <c r="E64" s="514"/>
      <c r="F64" s="514"/>
      <c r="G64" s="514"/>
      <c r="H64" s="514"/>
      <c r="I64" s="514"/>
      <c r="J64" s="514"/>
      <c r="K64" s="514"/>
      <c r="L64" s="514"/>
      <c r="M64" s="543"/>
      <c r="N64" s="543"/>
      <c r="O64" s="544"/>
      <c r="P64" s="516" cm="1">
        <f t="array" ref="P64">SUM(SUMIFS('caseload data'!V:V,'caseload data'!B:B,{"licence","community"},'caseload data'!$C:$C,B64))</f>
        <v>0</v>
      </c>
      <c r="Q64" s="533"/>
      <c r="R64" s="534"/>
      <c r="S64" s="64"/>
      <c r="T64" s="289">
        <f>HLOOKUP($B$5,Region_Table,19,0)</f>
        <v>0</v>
      </c>
      <c r="U64" s="513" t="s">
        <v>1115</v>
      </c>
      <c r="V64" s="514"/>
      <c r="W64" s="514"/>
      <c r="X64" s="514"/>
      <c r="Y64" s="514"/>
      <c r="Z64" s="514"/>
      <c r="AA64" s="514"/>
      <c r="AB64" s="514"/>
      <c r="AC64" s="514"/>
      <c r="AD64" s="514"/>
      <c r="AE64" s="543"/>
      <c r="AF64" s="543"/>
      <c r="AG64" s="544"/>
      <c r="AH64" s="516" cm="1">
        <f t="array" ref="AH64">SUM(SUMIFS('caseload data'!V:V,'caseload data'!B:B,{"licence","community"},'caseload data'!$C:$C,T64))</f>
        <v>0</v>
      </c>
      <c r="AI64" s="533"/>
      <c r="AJ64" s="534"/>
    </row>
    <row r="65" spans="2:36" x14ac:dyDescent="0.3">
      <c r="B65" s="95" t="s">
        <v>982</v>
      </c>
      <c r="C65" s="38" t="s">
        <v>846</v>
      </c>
      <c r="D65" s="38" t="s">
        <v>847</v>
      </c>
      <c r="E65" s="38" t="s">
        <v>848</v>
      </c>
      <c r="F65" s="38" t="s">
        <v>849</v>
      </c>
      <c r="G65" s="38" t="s">
        <v>850</v>
      </c>
      <c r="H65" s="38" t="s">
        <v>851</v>
      </c>
      <c r="I65" s="38" t="s">
        <v>852</v>
      </c>
      <c r="J65" s="38" t="s">
        <v>853</v>
      </c>
      <c r="K65" s="38" t="s">
        <v>854</v>
      </c>
      <c r="L65" s="38" t="s">
        <v>855</v>
      </c>
      <c r="M65" s="38" t="s">
        <v>856</v>
      </c>
      <c r="N65" s="38" t="s">
        <v>857</v>
      </c>
      <c r="O65" s="38" t="s">
        <v>858</v>
      </c>
      <c r="P65" s="38" t="s">
        <v>859</v>
      </c>
      <c r="Q65" s="38" t="s">
        <v>860</v>
      </c>
      <c r="R65" s="38" t="s">
        <v>861</v>
      </c>
      <c r="S65" s="64"/>
      <c r="T65" s="95" t="s">
        <v>982</v>
      </c>
      <c r="U65" s="38" t="s">
        <v>846</v>
      </c>
      <c r="V65" s="38" t="s">
        <v>847</v>
      </c>
      <c r="W65" s="38" t="s">
        <v>848</v>
      </c>
      <c r="X65" s="38" t="s">
        <v>849</v>
      </c>
      <c r="Y65" s="38" t="s">
        <v>850</v>
      </c>
      <c r="Z65" s="38" t="s">
        <v>851</v>
      </c>
      <c r="AA65" s="38" t="s">
        <v>852</v>
      </c>
      <c r="AB65" s="38" t="s">
        <v>853</v>
      </c>
      <c r="AC65" s="38" t="s">
        <v>854</v>
      </c>
      <c r="AD65" s="38" t="s">
        <v>855</v>
      </c>
      <c r="AE65" s="38" t="s">
        <v>856</v>
      </c>
      <c r="AF65" s="38" t="s">
        <v>857</v>
      </c>
      <c r="AG65" s="38" t="s">
        <v>858</v>
      </c>
      <c r="AH65" s="38" t="s">
        <v>859</v>
      </c>
      <c r="AI65" s="38" t="s">
        <v>860</v>
      </c>
      <c r="AJ65" s="38" t="s">
        <v>861</v>
      </c>
    </row>
    <row r="66" spans="2:36" x14ac:dyDescent="0.3">
      <c r="B66" s="96" t="s">
        <v>979</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979</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3">
      <c r="B67" s="97" t="s">
        <v>984</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984</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3">
      <c r="B68" s="97" t="s">
        <v>985</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985</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3">
      <c r="B69" s="98" t="s">
        <v>986</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986</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3">
      <c r="B71" s="289">
        <f>HLOOKUP($B$5,Region_Table,20,0)</f>
        <v>0</v>
      </c>
      <c r="C71" s="513" t="s">
        <v>1115</v>
      </c>
      <c r="D71" s="514"/>
      <c r="E71" s="514"/>
      <c r="F71" s="514"/>
      <c r="G71" s="514"/>
      <c r="H71" s="514"/>
      <c r="I71" s="514"/>
      <c r="J71" s="514"/>
      <c r="K71" s="514"/>
      <c r="L71" s="514"/>
      <c r="M71" s="543"/>
      <c r="N71" s="543"/>
      <c r="O71" s="544"/>
      <c r="P71" s="516" cm="1">
        <f t="array" ref="P71">SUM(SUMIFS('caseload data'!V:V,'caseload data'!B:B,{"licence","community"},'caseload data'!$C:$C,B71))</f>
        <v>0</v>
      </c>
      <c r="Q71" s="533"/>
      <c r="R71" s="534"/>
      <c r="T71" s="289">
        <f>HLOOKUP($B$5,Region_Table,21,0)</f>
        <v>0</v>
      </c>
      <c r="U71" s="513" t="s">
        <v>1115</v>
      </c>
      <c r="V71" s="514"/>
      <c r="W71" s="514"/>
      <c r="X71" s="514"/>
      <c r="Y71" s="514"/>
      <c r="Z71" s="514"/>
      <c r="AA71" s="514"/>
      <c r="AB71" s="514"/>
      <c r="AC71" s="514"/>
      <c r="AD71" s="514"/>
      <c r="AE71" s="543"/>
      <c r="AF71" s="543"/>
      <c r="AG71" s="544"/>
      <c r="AH71" s="516" cm="1">
        <f t="array" ref="AH71">SUM(SUMIFS('caseload data'!V:V,'caseload data'!B:B,{"licence","community"},'caseload data'!$C:$C,T71))</f>
        <v>0</v>
      </c>
      <c r="AI71" s="533"/>
      <c r="AJ71" s="534"/>
    </row>
    <row r="72" spans="2:36" x14ac:dyDescent="0.3">
      <c r="B72" s="95" t="s">
        <v>982</v>
      </c>
      <c r="C72" s="38" t="s">
        <v>846</v>
      </c>
      <c r="D72" s="38" t="s">
        <v>847</v>
      </c>
      <c r="E72" s="38" t="s">
        <v>848</v>
      </c>
      <c r="F72" s="38" t="s">
        <v>849</v>
      </c>
      <c r="G72" s="38" t="s">
        <v>850</v>
      </c>
      <c r="H72" s="38" t="s">
        <v>851</v>
      </c>
      <c r="I72" s="38" t="s">
        <v>852</v>
      </c>
      <c r="J72" s="38" t="s">
        <v>853</v>
      </c>
      <c r="K72" s="38" t="s">
        <v>854</v>
      </c>
      <c r="L72" s="38" t="s">
        <v>855</v>
      </c>
      <c r="M72" s="38" t="s">
        <v>856</v>
      </c>
      <c r="N72" s="38" t="s">
        <v>857</v>
      </c>
      <c r="O72" s="38" t="s">
        <v>858</v>
      </c>
      <c r="P72" s="38" t="s">
        <v>859</v>
      </c>
      <c r="Q72" s="38" t="s">
        <v>860</v>
      </c>
      <c r="R72" s="38" t="s">
        <v>861</v>
      </c>
      <c r="T72" s="95" t="s">
        <v>982</v>
      </c>
      <c r="U72" s="38" t="s">
        <v>846</v>
      </c>
      <c r="V72" s="38" t="s">
        <v>847</v>
      </c>
      <c r="W72" s="38" t="s">
        <v>848</v>
      </c>
      <c r="X72" s="38" t="s">
        <v>849</v>
      </c>
      <c r="Y72" s="38" t="s">
        <v>850</v>
      </c>
      <c r="Z72" s="38" t="s">
        <v>851</v>
      </c>
      <c r="AA72" s="38" t="s">
        <v>852</v>
      </c>
      <c r="AB72" s="38" t="s">
        <v>853</v>
      </c>
      <c r="AC72" s="38" t="s">
        <v>854</v>
      </c>
      <c r="AD72" s="38" t="s">
        <v>855</v>
      </c>
      <c r="AE72" s="38" t="s">
        <v>856</v>
      </c>
      <c r="AF72" s="38" t="s">
        <v>857</v>
      </c>
      <c r="AG72" s="38" t="s">
        <v>858</v>
      </c>
      <c r="AH72" s="38" t="s">
        <v>859</v>
      </c>
      <c r="AI72" s="38" t="s">
        <v>860</v>
      </c>
      <c r="AJ72" s="38" t="s">
        <v>861</v>
      </c>
    </row>
    <row r="73" spans="2:36" x14ac:dyDescent="0.3">
      <c r="B73" s="96" t="s">
        <v>979</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979</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3">
      <c r="B74" s="97" t="s">
        <v>984</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984</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3">
      <c r="B75" s="97" t="s">
        <v>985</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985</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3">
      <c r="B76" s="98" t="s">
        <v>986</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986</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3">
      <c r="B78" s="289">
        <f>HLOOKUP($B$5,Region_Table,22,0)</f>
        <v>0</v>
      </c>
      <c r="C78" s="513" t="s">
        <v>1115</v>
      </c>
      <c r="D78" s="514"/>
      <c r="E78" s="514"/>
      <c r="F78" s="514"/>
      <c r="G78" s="514"/>
      <c r="H78" s="514"/>
      <c r="I78" s="514"/>
      <c r="J78" s="514"/>
      <c r="K78" s="514"/>
      <c r="L78" s="514"/>
      <c r="M78" s="543"/>
      <c r="N78" s="543"/>
      <c r="O78" s="544"/>
      <c r="P78" s="516" cm="1">
        <f t="array" ref="P78">SUM(SUMIFS('caseload data'!V:V,'caseload data'!B:B,{"licence","community"},'caseload data'!$C:$C,B78))</f>
        <v>0</v>
      </c>
      <c r="Q78" s="533"/>
      <c r="R78" s="534"/>
      <c r="T78" s="289">
        <f>HLOOKUP($B$5,Region_Table,23,0)</f>
        <v>0</v>
      </c>
      <c r="U78" s="513" t="s">
        <v>1115</v>
      </c>
      <c r="V78" s="514"/>
      <c r="W78" s="514"/>
      <c r="X78" s="514"/>
      <c r="Y78" s="514"/>
      <c r="Z78" s="514"/>
      <c r="AA78" s="514"/>
      <c r="AB78" s="514"/>
      <c r="AC78" s="514"/>
      <c r="AD78" s="514"/>
      <c r="AE78" s="543"/>
      <c r="AF78" s="543"/>
      <c r="AG78" s="544"/>
      <c r="AH78" s="516" cm="1">
        <f t="array" ref="AH78">SUM(SUMIFS('caseload data'!V:V,'caseload data'!B:B,{"licence","community"},'caseload data'!$C:$C,T78))</f>
        <v>0</v>
      </c>
      <c r="AI78" s="533"/>
      <c r="AJ78" s="534"/>
    </row>
    <row r="79" spans="2:36" x14ac:dyDescent="0.3">
      <c r="B79" s="95" t="s">
        <v>982</v>
      </c>
      <c r="C79" s="38" t="s">
        <v>846</v>
      </c>
      <c r="D79" s="38" t="s">
        <v>847</v>
      </c>
      <c r="E79" s="38" t="s">
        <v>848</v>
      </c>
      <c r="F79" s="38" t="s">
        <v>849</v>
      </c>
      <c r="G79" s="38" t="s">
        <v>850</v>
      </c>
      <c r="H79" s="38" t="s">
        <v>851</v>
      </c>
      <c r="I79" s="38" t="s">
        <v>852</v>
      </c>
      <c r="J79" s="38" t="s">
        <v>853</v>
      </c>
      <c r="K79" s="38" t="s">
        <v>854</v>
      </c>
      <c r="L79" s="38" t="s">
        <v>855</v>
      </c>
      <c r="M79" s="38" t="s">
        <v>856</v>
      </c>
      <c r="N79" s="38" t="s">
        <v>857</v>
      </c>
      <c r="O79" s="38" t="s">
        <v>858</v>
      </c>
      <c r="P79" s="38" t="s">
        <v>859</v>
      </c>
      <c r="Q79" s="38" t="s">
        <v>860</v>
      </c>
      <c r="R79" s="38" t="s">
        <v>861</v>
      </c>
      <c r="T79" s="95" t="s">
        <v>982</v>
      </c>
      <c r="U79" s="38" t="s">
        <v>846</v>
      </c>
      <c r="V79" s="38" t="s">
        <v>847</v>
      </c>
      <c r="W79" s="38" t="s">
        <v>848</v>
      </c>
      <c r="X79" s="38" t="s">
        <v>849</v>
      </c>
      <c r="Y79" s="38" t="s">
        <v>850</v>
      </c>
      <c r="Z79" s="38" t="s">
        <v>851</v>
      </c>
      <c r="AA79" s="38" t="s">
        <v>852</v>
      </c>
      <c r="AB79" s="38" t="s">
        <v>853</v>
      </c>
      <c r="AC79" s="38" t="s">
        <v>854</v>
      </c>
      <c r="AD79" s="38" t="s">
        <v>855</v>
      </c>
      <c r="AE79" s="38" t="s">
        <v>856</v>
      </c>
      <c r="AF79" s="38" t="s">
        <v>857</v>
      </c>
      <c r="AG79" s="38" t="s">
        <v>858</v>
      </c>
      <c r="AH79" s="38" t="s">
        <v>859</v>
      </c>
      <c r="AI79" s="38" t="s">
        <v>860</v>
      </c>
      <c r="AJ79" s="38" t="s">
        <v>861</v>
      </c>
    </row>
    <row r="80" spans="2:36" x14ac:dyDescent="0.3">
      <c r="B80" s="96" t="s">
        <v>979</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979</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3">
      <c r="B81" s="97" t="s">
        <v>984</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984</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3">
      <c r="B82" s="97" t="s">
        <v>985</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985</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3">
      <c r="B83" s="98" t="s">
        <v>986</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986</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5.5" x14ac:dyDescent="0.3">
      <c r="B85" s="289">
        <f>HLOOKUP($B$5,Region_Table,24,0)</f>
        <v>0</v>
      </c>
      <c r="C85" s="513" t="s">
        <v>1115</v>
      </c>
      <c r="D85" s="514"/>
      <c r="E85" s="514"/>
      <c r="F85" s="514"/>
      <c r="G85" s="514"/>
      <c r="H85" s="514"/>
      <c r="I85" s="514"/>
      <c r="J85" s="514"/>
      <c r="K85" s="514"/>
      <c r="L85" s="514"/>
      <c r="M85" s="543"/>
      <c r="N85" s="543"/>
      <c r="O85" s="544"/>
      <c r="P85" s="516" cm="1">
        <f t="array" ref="P85">SUM(SUMIFS('caseload data'!V:V,'caseload data'!B:B,{"licence","community"},'caseload data'!$C:$C,B85))</f>
        <v>0</v>
      </c>
      <c r="Q85" s="533"/>
      <c r="R85" s="534"/>
      <c r="T85" s="289">
        <f>HLOOKUP($B$5,Region_Table,25,0)</f>
        <v>0</v>
      </c>
      <c r="U85" s="513" t="s">
        <v>1115</v>
      </c>
      <c r="V85" s="514"/>
      <c r="W85" s="514"/>
      <c r="X85" s="514"/>
      <c r="Y85" s="514"/>
      <c r="Z85" s="514"/>
      <c r="AA85" s="514"/>
      <c r="AB85" s="514"/>
      <c r="AC85" s="514"/>
      <c r="AD85" s="514"/>
      <c r="AE85" s="543"/>
      <c r="AF85" s="543"/>
      <c r="AG85" s="544"/>
      <c r="AH85" s="516" cm="1">
        <f t="array" ref="AH85">SUM(SUMIFS('caseload data'!V:V,'caseload data'!B:B,{"licence","community"},'caseload data'!$C:$C,T85))</f>
        <v>0</v>
      </c>
      <c r="AI85" s="533"/>
      <c r="AJ85" s="534"/>
    </row>
    <row r="86" spans="2:36" x14ac:dyDescent="0.3">
      <c r="B86" s="95" t="s">
        <v>982</v>
      </c>
      <c r="C86" s="38" t="s">
        <v>846</v>
      </c>
      <c r="D86" s="38" t="s">
        <v>847</v>
      </c>
      <c r="E86" s="38" t="s">
        <v>848</v>
      </c>
      <c r="F86" s="38" t="s">
        <v>849</v>
      </c>
      <c r="G86" s="38" t="s">
        <v>850</v>
      </c>
      <c r="H86" s="38" t="s">
        <v>851</v>
      </c>
      <c r="I86" s="38" t="s">
        <v>852</v>
      </c>
      <c r="J86" s="38" t="s">
        <v>853</v>
      </c>
      <c r="K86" s="38" t="s">
        <v>854</v>
      </c>
      <c r="L86" s="38" t="s">
        <v>855</v>
      </c>
      <c r="M86" s="38" t="s">
        <v>856</v>
      </c>
      <c r="N86" s="38" t="s">
        <v>857</v>
      </c>
      <c r="O86" s="38" t="s">
        <v>858</v>
      </c>
      <c r="P86" s="38" t="s">
        <v>859</v>
      </c>
      <c r="Q86" s="38" t="s">
        <v>860</v>
      </c>
      <c r="R86" s="38" t="s">
        <v>861</v>
      </c>
      <c r="T86" s="95" t="s">
        <v>982</v>
      </c>
      <c r="U86" s="38" t="s">
        <v>846</v>
      </c>
      <c r="V86" s="38" t="s">
        <v>847</v>
      </c>
      <c r="W86" s="38" t="s">
        <v>848</v>
      </c>
      <c r="X86" s="38" t="s">
        <v>849</v>
      </c>
      <c r="Y86" s="38" t="s">
        <v>850</v>
      </c>
      <c r="Z86" s="38" t="s">
        <v>851</v>
      </c>
      <c r="AA86" s="38" t="s">
        <v>852</v>
      </c>
      <c r="AB86" s="38" t="s">
        <v>853</v>
      </c>
      <c r="AC86" s="38" t="s">
        <v>854</v>
      </c>
      <c r="AD86" s="38" t="s">
        <v>855</v>
      </c>
      <c r="AE86" s="38" t="s">
        <v>856</v>
      </c>
      <c r="AF86" s="38" t="s">
        <v>857</v>
      </c>
      <c r="AG86" s="38" t="s">
        <v>858</v>
      </c>
      <c r="AH86" s="38" t="s">
        <v>859</v>
      </c>
      <c r="AI86" s="38" t="s">
        <v>860</v>
      </c>
      <c r="AJ86" s="38" t="s">
        <v>861</v>
      </c>
    </row>
    <row r="87" spans="2:36" x14ac:dyDescent="0.3">
      <c r="B87" s="96" t="s">
        <v>979</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979</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3">
      <c r="B88" s="97" t="s">
        <v>984</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984</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3">
      <c r="B89" s="97" t="s">
        <v>985</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985</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3">
      <c r="B90" s="98" t="s">
        <v>986</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986</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3">
      <c r="B92" s="289">
        <f>HLOOKUP($B$5,Region_Table,26,0)</f>
        <v>0</v>
      </c>
      <c r="C92" s="513" t="s">
        <v>1115</v>
      </c>
      <c r="D92" s="514"/>
      <c r="E92" s="514"/>
      <c r="F92" s="514"/>
      <c r="G92" s="514"/>
      <c r="H92" s="514"/>
      <c r="I92" s="514"/>
      <c r="J92" s="514"/>
      <c r="K92" s="514"/>
      <c r="L92" s="514"/>
      <c r="M92" s="543"/>
      <c r="N92" s="543"/>
      <c r="O92" s="544"/>
      <c r="P92" s="516" cm="1">
        <f t="array" ref="P92">SUM(SUMIFS('caseload data'!V:V,'caseload data'!B:B,{"licence","community"},'caseload data'!$C:$C,B92))</f>
        <v>0</v>
      </c>
      <c r="Q92" s="533"/>
      <c r="R92" s="534"/>
      <c r="T92" s="289">
        <f>HLOOKUP($B$5,Region_Table,27,0)</f>
        <v>0</v>
      </c>
      <c r="U92" s="513" t="s">
        <v>1115</v>
      </c>
      <c r="V92" s="514"/>
      <c r="W92" s="514"/>
      <c r="X92" s="514"/>
      <c r="Y92" s="514"/>
      <c r="Z92" s="514"/>
      <c r="AA92" s="514"/>
      <c r="AB92" s="514"/>
      <c r="AC92" s="514"/>
      <c r="AD92" s="514"/>
      <c r="AE92" s="543"/>
      <c r="AF92" s="543"/>
      <c r="AG92" s="544"/>
      <c r="AH92" s="516" cm="1">
        <f t="array" ref="AH92">SUM(SUMIFS('caseload data'!V:V,'caseload data'!B:B,{"licence","community"},'caseload data'!$C:$C,T92))</f>
        <v>0</v>
      </c>
      <c r="AI92" s="533"/>
      <c r="AJ92" s="534"/>
    </row>
    <row r="93" spans="2:36" x14ac:dyDescent="0.3">
      <c r="B93" s="95" t="s">
        <v>982</v>
      </c>
      <c r="C93" s="38" t="s">
        <v>846</v>
      </c>
      <c r="D93" s="38" t="s">
        <v>847</v>
      </c>
      <c r="E93" s="38" t="s">
        <v>848</v>
      </c>
      <c r="F93" s="38" t="s">
        <v>849</v>
      </c>
      <c r="G93" s="38" t="s">
        <v>850</v>
      </c>
      <c r="H93" s="38" t="s">
        <v>851</v>
      </c>
      <c r="I93" s="38" t="s">
        <v>852</v>
      </c>
      <c r="J93" s="38" t="s">
        <v>853</v>
      </c>
      <c r="K93" s="38" t="s">
        <v>854</v>
      </c>
      <c r="L93" s="38" t="s">
        <v>855</v>
      </c>
      <c r="M93" s="38" t="s">
        <v>856</v>
      </c>
      <c r="N93" s="38" t="s">
        <v>857</v>
      </c>
      <c r="O93" s="38" t="s">
        <v>858</v>
      </c>
      <c r="P93" s="38" t="s">
        <v>859</v>
      </c>
      <c r="Q93" s="38" t="s">
        <v>860</v>
      </c>
      <c r="R93" s="38" t="s">
        <v>861</v>
      </c>
      <c r="T93" s="95" t="s">
        <v>982</v>
      </c>
      <c r="U93" s="38" t="s">
        <v>846</v>
      </c>
      <c r="V93" s="38" t="s">
        <v>847</v>
      </c>
      <c r="W93" s="38" t="s">
        <v>848</v>
      </c>
      <c r="X93" s="38" t="s">
        <v>849</v>
      </c>
      <c r="Y93" s="38" t="s">
        <v>850</v>
      </c>
      <c r="Z93" s="38" t="s">
        <v>851</v>
      </c>
      <c r="AA93" s="38" t="s">
        <v>852</v>
      </c>
      <c r="AB93" s="38" t="s">
        <v>853</v>
      </c>
      <c r="AC93" s="38" t="s">
        <v>854</v>
      </c>
      <c r="AD93" s="38" t="s">
        <v>855</v>
      </c>
      <c r="AE93" s="38" t="s">
        <v>856</v>
      </c>
      <c r="AF93" s="38" t="s">
        <v>857</v>
      </c>
      <c r="AG93" s="38" t="s">
        <v>858</v>
      </c>
      <c r="AH93" s="38" t="s">
        <v>859</v>
      </c>
      <c r="AI93" s="38" t="s">
        <v>860</v>
      </c>
      <c r="AJ93" s="38" t="s">
        <v>861</v>
      </c>
    </row>
    <row r="94" spans="2:36" x14ac:dyDescent="0.3">
      <c r="B94" s="96" t="s">
        <v>979</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979</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3">
      <c r="B95" s="97" t="s">
        <v>984</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984</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3">
      <c r="B96" s="97" t="s">
        <v>985</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985</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3">
      <c r="B97" s="98" t="s">
        <v>986</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986</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3">
      <c r="B99" s="289">
        <f>HLOOKUP($B$5,Region_Table,28,0)</f>
        <v>0</v>
      </c>
      <c r="C99" s="513" t="s">
        <v>1115</v>
      </c>
      <c r="D99" s="514"/>
      <c r="E99" s="514"/>
      <c r="F99" s="514"/>
      <c r="G99" s="514"/>
      <c r="H99" s="514"/>
      <c r="I99" s="514"/>
      <c r="J99" s="514"/>
      <c r="K99" s="514"/>
      <c r="L99" s="514"/>
      <c r="M99" s="543"/>
      <c r="N99" s="543"/>
      <c r="O99" s="544"/>
      <c r="P99" s="516" cm="1">
        <f t="array" ref="P99">SUM(SUMIFS('caseload data'!V:V,'caseload data'!B:B,{"licence","community"},'caseload data'!$C:$C,B99))</f>
        <v>0</v>
      </c>
      <c r="Q99" s="533"/>
      <c r="R99" s="534"/>
      <c r="T99" s="289">
        <f>HLOOKUP($B$5,Region_Table,29,0)</f>
        <v>0</v>
      </c>
      <c r="U99" s="513" t="s">
        <v>1115</v>
      </c>
      <c r="V99" s="514"/>
      <c r="W99" s="514"/>
      <c r="X99" s="514"/>
      <c r="Y99" s="514"/>
      <c r="Z99" s="514"/>
      <c r="AA99" s="514"/>
      <c r="AB99" s="514"/>
      <c r="AC99" s="514"/>
      <c r="AD99" s="514"/>
      <c r="AE99" s="543"/>
      <c r="AF99" s="543"/>
      <c r="AG99" s="544"/>
      <c r="AH99" s="516" cm="1">
        <f t="array" ref="AH99">SUM(SUMIFS('caseload data'!V:V,'caseload data'!B:B,{"licence","community"},'caseload data'!$C:$C,T99))</f>
        <v>0</v>
      </c>
      <c r="AI99" s="533"/>
      <c r="AJ99" s="534"/>
    </row>
    <row r="100" spans="2:36" x14ac:dyDescent="0.3">
      <c r="B100" s="95" t="s">
        <v>982</v>
      </c>
      <c r="C100" s="38" t="s">
        <v>846</v>
      </c>
      <c r="D100" s="38" t="s">
        <v>847</v>
      </c>
      <c r="E100" s="38" t="s">
        <v>848</v>
      </c>
      <c r="F100" s="38" t="s">
        <v>849</v>
      </c>
      <c r="G100" s="38" t="s">
        <v>850</v>
      </c>
      <c r="H100" s="38" t="s">
        <v>851</v>
      </c>
      <c r="I100" s="38" t="s">
        <v>852</v>
      </c>
      <c r="J100" s="38" t="s">
        <v>853</v>
      </c>
      <c r="K100" s="38" t="s">
        <v>854</v>
      </c>
      <c r="L100" s="38" t="s">
        <v>855</v>
      </c>
      <c r="M100" s="38" t="s">
        <v>856</v>
      </c>
      <c r="N100" s="38" t="s">
        <v>857</v>
      </c>
      <c r="O100" s="38" t="s">
        <v>858</v>
      </c>
      <c r="P100" s="38" t="s">
        <v>859</v>
      </c>
      <c r="Q100" s="38" t="s">
        <v>860</v>
      </c>
      <c r="R100" s="38" t="s">
        <v>861</v>
      </c>
      <c r="T100" s="290" t="s">
        <v>982</v>
      </c>
      <c r="U100" s="38" t="s">
        <v>846</v>
      </c>
      <c r="V100" s="38" t="s">
        <v>847</v>
      </c>
      <c r="W100" s="38" t="s">
        <v>848</v>
      </c>
      <c r="X100" s="38" t="s">
        <v>849</v>
      </c>
      <c r="Y100" s="38" t="s">
        <v>850</v>
      </c>
      <c r="Z100" s="38" t="s">
        <v>851</v>
      </c>
      <c r="AA100" s="38" t="s">
        <v>852</v>
      </c>
      <c r="AB100" s="38" t="s">
        <v>853</v>
      </c>
      <c r="AC100" s="38" t="s">
        <v>854</v>
      </c>
      <c r="AD100" s="38" t="s">
        <v>855</v>
      </c>
      <c r="AE100" s="38" t="s">
        <v>856</v>
      </c>
      <c r="AF100" s="38" t="s">
        <v>857</v>
      </c>
      <c r="AG100" s="38" t="s">
        <v>858</v>
      </c>
      <c r="AH100" s="38" t="s">
        <v>859</v>
      </c>
      <c r="AI100" s="38" t="s">
        <v>860</v>
      </c>
      <c r="AJ100" s="38" t="s">
        <v>861</v>
      </c>
    </row>
    <row r="101" spans="2:36" x14ac:dyDescent="0.3">
      <c r="B101" s="96" t="s">
        <v>979</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979</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3">
      <c r="B102" s="97" t="s">
        <v>984</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984</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3">
      <c r="B103" s="97" t="s">
        <v>985</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985</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3">
      <c r="B104" s="98" t="s">
        <v>986</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986</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L1"/>
    </sheetView>
  </sheetViews>
  <sheetFormatPr defaultColWidth="9.1796875" defaultRowHeight="15.5" x14ac:dyDescent="0.35"/>
  <cols>
    <col min="1" max="1" width="3.453125" style="1" customWidth="1"/>
    <col min="2" max="2" width="31.453125" style="1" bestFit="1" customWidth="1"/>
    <col min="3" max="3" width="14.453125" style="1" bestFit="1" customWidth="1"/>
    <col min="4" max="4" width="15.453125" style="1" customWidth="1"/>
    <col min="5" max="5" width="13" style="1" bestFit="1" customWidth="1"/>
    <col min="6" max="6" width="15.453125" style="1" customWidth="1"/>
    <col min="7" max="7" width="9.1796875" style="1"/>
    <col min="8" max="8" width="15.453125" style="1" customWidth="1"/>
    <col min="9" max="9" width="15.1796875" style="1" customWidth="1"/>
    <col min="10" max="10" width="12.81640625" style="1" bestFit="1" customWidth="1"/>
    <col min="11" max="11" width="14.453125" style="1" customWidth="1"/>
    <col min="12" max="12" width="13.1796875" style="1" customWidth="1"/>
    <col min="13" max="13" width="10.453125" style="1" bestFit="1" customWidth="1"/>
    <col min="14" max="16384" width="9.1796875" style="1"/>
  </cols>
  <sheetData>
    <row r="1" spans="1:25" ht="59.25" customHeight="1" x14ac:dyDescent="0.35">
      <c r="A1" s="537" t="s">
        <v>1116</v>
      </c>
      <c r="B1" s="537"/>
      <c r="C1" s="537"/>
      <c r="D1" s="537"/>
      <c r="E1" s="537"/>
      <c r="F1" s="537"/>
      <c r="G1" s="537"/>
      <c r="H1" s="537"/>
      <c r="I1" s="537"/>
      <c r="J1" s="537"/>
      <c r="K1" s="537"/>
      <c r="L1" s="537"/>
      <c r="M1" s="265"/>
      <c r="N1" s="265"/>
      <c r="O1" s="265"/>
      <c r="P1" s="265"/>
      <c r="Q1" s="265"/>
      <c r="R1" s="265"/>
      <c r="S1" s="265"/>
      <c r="T1" s="265"/>
      <c r="U1" s="265"/>
      <c r="V1" s="265"/>
      <c r="W1" s="265"/>
      <c r="X1" s="265"/>
      <c r="Y1" s="265"/>
    </row>
    <row r="2" spans="1:25" ht="39" customHeight="1" x14ac:dyDescent="0.35">
      <c r="A2" s="430"/>
      <c r="B2" s="430"/>
      <c r="C2" s="430"/>
      <c r="D2" s="430"/>
      <c r="E2" s="430"/>
      <c r="F2" s="430"/>
      <c r="G2" s="430"/>
      <c r="H2" s="430"/>
      <c r="I2" s="430"/>
      <c r="J2" s="430"/>
      <c r="K2" s="430"/>
      <c r="L2" s="430"/>
      <c r="M2" s="266"/>
      <c r="N2" s="266"/>
      <c r="O2" s="266"/>
      <c r="P2" s="266"/>
      <c r="Q2" s="266"/>
      <c r="R2" s="266"/>
      <c r="S2" s="266"/>
      <c r="T2" s="266"/>
      <c r="U2" s="266"/>
      <c r="V2" s="266"/>
      <c r="W2" s="266"/>
      <c r="X2" s="266"/>
      <c r="Y2" s="266"/>
    </row>
    <row r="3" spans="1:25" ht="14.25" customHeight="1" x14ac:dyDescent="0.35"/>
    <row r="4" spans="1:25" ht="52" x14ac:dyDescent="0.35">
      <c r="B4" s="146"/>
      <c r="C4" s="219" t="s">
        <v>919</v>
      </c>
      <c r="D4" s="63" t="s">
        <v>920</v>
      </c>
      <c r="E4" s="63" t="s">
        <v>921</v>
      </c>
      <c r="F4" s="63" t="s">
        <v>922</v>
      </c>
      <c r="G4" s="91"/>
      <c r="H4" s="219" t="s">
        <v>923</v>
      </c>
      <c r="I4" s="219" t="s">
        <v>924</v>
      </c>
      <c r="J4" s="91"/>
      <c r="K4" s="219" t="s">
        <v>925</v>
      </c>
      <c r="L4" s="219" t="s">
        <v>926</v>
      </c>
    </row>
    <row r="5" spans="1:25" x14ac:dyDescent="0.35">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35">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35">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35">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35">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35">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35">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35">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35">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35">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35">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6" thickBot="1" x14ac:dyDescent="0.4">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6" thickBot="1" x14ac:dyDescent="0.4">
      <c r="B17" s="150" t="s">
        <v>1298</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35">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sqref="A1:L1"/>
    </sheetView>
  </sheetViews>
  <sheetFormatPr defaultColWidth="8.81640625" defaultRowHeight="14" x14ac:dyDescent="0.3"/>
  <cols>
    <col min="1" max="1" width="5.453125" customWidth="1"/>
    <col min="2" max="2" width="38.453125" customWidth="1"/>
    <col min="3" max="3" width="34" customWidth="1"/>
    <col min="4" max="4" width="14.453125" customWidth="1"/>
    <col min="5" max="5" width="15.453125" customWidth="1"/>
    <col min="6" max="6" width="28.1796875" customWidth="1"/>
    <col min="7" max="7" width="37.453125" customWidth="1"/>
    <col min="8" max="8" width="14.453125" customWidth="1"/>
    <col min="10" max="10" width="23.453125" customWidth="1"/>
    <col min="11" max="11" width="32.453125" bestFit="1" customWidth="1"/>
    <col min="12" max="12" width="28" customWidth="1"/>
  </cols>
  <sheetData>
    <row r="1" spans="1:18" ht="46.5" customHeight="1" x14ac:dyDescent="0.3">
      <c r="A1" s="537" t="s">
        <v>1117</v>
      </c>
      <c r="B1" s="537"/>
      <c r="C1" s="537"/>
      <c r="D1" s="537"/>
      <c r="E1" s="537"/>
      <c r="F1" s="537"/>
      <c r="G1" s="537"/>
      <c r="H1" s="537"/>
      <c r="I1" s="537"/>
      <c r="J1" s="537"/>
      <c r="K1" s="537"/>
      <c r="L1" s="537"/>
      <c r="M1" s="261"/>
      <c r="N1" s="261"/>
      <c r="O1" s="261"/>
      <c r="P1" s="261"/>
      <c r="Q1" s="261"/>
      <c r="R1" s="261"/>
    </row>
    <row r="2" spans="1:18" ht="40.5" customHeight="1" x14ac:dyDescent="0.3">
      <c r="A2" s="430"/>
      <c r="B2" s="430"/>
      <c r="C2" s="430"/>
      <c r="D2" s="430"/>
      <c r="E2" s="430"/>
      <c r="F2" s="430"/>
      <c r="G2" s="430"/>
      <c r="H2" s="430"/>
      <c r="I2" s="430"/>
      <c r="J2" s="430"/>
      <c r="K2" s="430"/>
      <c r="L2" s="430"/>
      <c r="M2" s="267"/>
      <c r="N2" s="267"/>
      <c r="O2" s="267"/>
      <c r="P2" s="267"/>
      <c r="Q2" s="267"/>
      <c r="R2" s="267"/>
    </row>
    <row r="4" spans="1:18" ht="15.5" x14ac:dyDescent="0.35">
      <c r="B4" s="549" t="s">
        <v>1118</v>
      </c>
      <c r="C4" s="550"/>
      <c r="D4" s="550"/>
      <c r="E4" s="6"/>
      <c r="F4" s="551" t="s">
        <v>1119</v>
      </c>
      <c r="G4" s="551"/>
      <c r="H4" s="552"/>
    </row>
    <row r="5" spans="1:18" x14ac:dyDescent="0.3">
      <c r="B5" s="76" t="s">
        <v>1120</v>
      </c>
      <c r="C5" s="76" t="s">
        <v>844</v>
      </c>
      <c r="D5" s="219" t="s">
        <v>835</v>
      </c>
      <c r="E5" s="165"/>
      <c r="F5" s="76" t="s">
        <v>1120</v>
      </c>
      <c r="G5" s="76" t="s">
        <v>844</v>
      </c>
      <c r="H5" s="166" t="s">
        <v>836</v>
      </c>
    </row>
    <row r="6" spans="1:18" x14ac:dyDescent="0.3">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3">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3">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3">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3">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3">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3">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3">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3">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3">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3">
      <c r="B17" s="553" t="s">
        <v>1121</v>
      </c>
      <c r="C17" s="554"/>
      <c r="D17" s="555"/>
      <c r="F17" s="547" t="s">
        <v>1122</v>
      </c>
      <c r="G17" s="547"/>
      <c r="H17" s="547"/>
      <c r="J17" s="547" t="s">
        <v>1123</v>
      </c>
      <c r="K17" s="547"/>
      <c r="L17" s="547"/>
    </row>
    <row r="18" spans="2:12" ht="30.75" customHeight="1" x14ac:dyDescent="0.3">
      <c r="B18" s="556"/>
      <c r="C18" s="557"/>
      <c r="D18" s="558"/>
      <c r="F18" s="548"/>
      <c r="G18" s="548"/>
      <c r="H18" s="548"/>
      <c r="J18" s="548"/>
      <c r="K18" s="548"/>
      <c r="L18" s="548"/>
    </row>
    <row r="19" spans="2:12" ht="39" customHeight="1" x14ac:dyDescent="0.3">
      <c r="B19" s="76" t="s">
        <v>1120</v>
      </c>
      <c r="C19" s="76" t="s">
        <v>844</v>
      </c>
      <c r="D19" s="219" t="s">
        <v>1124</v>
      </c>
      <c r="F19" s="76" t="s">
        <v>1120</v>
      </c>
      <c r="G19" s="76" t="s">
        <v>844</v>
      </c>
      <c r="H19" s="76" t="s">
        <v>1125</v>
      </c>
      <c r="J19" s="76" t="s">
        <v>1120</v>
      </c>
      <c r="K19" s="76" t="s">
        <v>844</v>
      </c>
      <c r="L19" s="76" t="s">
        <v>1125</v>
      </c>
    </row>
    <row r="20" spans="2:12" x14ac:dyDescent="0.3">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3">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3">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3">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3">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3">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3">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3">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3">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3">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3">
      <c r="B32" s="547" t="s">
        <v>1126</v>
      </c>
      <c r="C32" s="547"/>
      <c r="D32" s="547"/>
      <c r="F32" s="547" t="s">
        <v>1127</v>
      </c>
      <c r="G32" s="547"/>
      <c r="H32" s="547"/>
    </row>
    <row r="33" spans="2:8" ht="30" customHeight="1" x14ac:dyDescent="0.3">
      <c r="B33" s="548"/>
      <c r="C33" s="548"/>
      <c r="D33" s="548"/>
      <c r="F33" s="548"/>
      <c r="G33" s="548"/>
      <c r="H33" s="548"/>
    </row>
    <row r="34" spans="2:8" x14ac:dyDescent="0.3">
      <c r="B34" s="76" t="s">
        <v>1120</v>
      </c>
      <c r="C34" s="76" t="s">
        <v>844</v>
      </c>
      <c r="D34" s="76" t="s">
        <v>1125</v>
      </c>
      <c r="F34" s="76" t="s">
        <v>1120</v>
      </c>
      <c r="G34" s="76" t="s">
        <v>844</v>
      </c>
      <c r="H34" s="76" t="s">
        <v>1125</v>
      </c>
    </row>
    <row r="35" spans="2:8" x14ac:dyDescent="0.3">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3">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3">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3">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3">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3">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3">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3">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3">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3">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L1"/>
    </sheetView>
  </sheetViews>
  <sheetFormatPr defaultColWidth="8.81640625" defaultRowHeight="14" x14ac:dyDescent="0.3"/>
  <cols>
    <col min="1" max="1" width="1.453125" customWidth="1"/>
    <col min="2" max="2" width="29.453125" bestFit="1" customWidth="1"/>
    <col min="3" max="3" width="13.81640625" customWidth="1"/>
    <col min="4" max="4" width="17.453125" customWidth="1"/>
    <col min="5" max="5" width="19.26953125" customWidth="1"/>
    <col min="6" max="6" width="16" customWidth="1"/>
    <col min="7" max="7" width="13.81640625" customWidth="1"/>
    <col min="8" max="8" width="35.1796875" customWidth="1"/>
    <col min="9" max="9" width="14.26953125" customWidth="1"/>
    <col min="10" max="10" width="19.453125" customWidth="1"/>
    <col min="11" max="11" width="18.1796875" customWidth="1"/>
    <col min="12" max="12" width="16.81640625" customWidth="1"/>
    <col min="13" max="13" width="14" customWidth="1"/>
    <col min="14" max="14" width="11.81640625" customWidth="1"/>
    <col min="15" max="15" width="35.1796875" bestFit="1" customWidth="1"/>
  </cols>
  <sheetData>
    <row r="1" spans="1:17" ht="47.25" customHeight="1" x14ac:dyDescent="0.3">
      <c r="A1" s="537" t="s">
        <v>1128</v>
      </c>
      <c r="B1" s="537"/>
      <c r="C1" s="537"/>
      <c r="D1" s="537"/>
      <c r="E1" s="537"/>
      <c r="F1" s="537"/>
      <c r="G1" s="537"/>
      <c r="H1" s="537"/>
      <c r="I1" s="537"/>
      <c r="J1" s="537"/>
      <c r="K1" s="537"/>
      <c r="L1" s="537"/>
      <c r="M1" s="261"/>
      <c r="N1" s="261"/>
      <c r="O1" s="261"/>
      <c r="P1" s="261"/>
      <c r="Q1" s="261"/>
    </row>
    <row r="2" spans="1:17" ht="41.25" customHeight="1" x14ac:dyDescent="0.3">
      <c r="A2" s="430"/>
      <c r="B2" s="430"/>
      <c r="C2" s="430"/>
      <c r="D2" s="430"/>
      <c r="E2" s="430"/>
      <c r="F2" s="430"/>
      <c r="G2" s="430"/>
      <c r="H2" s="430"/>
      <c r="I2" s="430"/>
      <c r="J2" s="430"/>
      <c r="K2" s="430"/>
      <c r="L2" s="430"/>
      <c r="M2" s="267"/>
      <c r="N2" s="267"/>
      <c r="O2" s="267"/>
      <c r="P2" s="267"/>
      <c r="Q2" s="267"/>
    </row>
    <row r="3" spans="1:17" ht="30" customHeight="1" x14ac:dyDescent="0.3">
      <c r="B3" s="19"/>
      <c r="C3" s="19"/>
      <c r="D3" s="19"/>
      <c r="E3" s="19"/>
      <c r="F3" s="19"/>
      <c r="G3" s="19"/>
      <c r="H3" s="19"/>
      <c r="I3" s="19"/>
      <c r="J3" s="19"/>
      <c r="K3" s="19"/>
      <c r="L3" s="19"/>
      <c r="M3" s="19"/>
      <c r="N3" s="19"/>
      <c r="O3" s="19"/>
    </row>
    <row r="4" spans="1:17" ht="16" thickBot="1" x14ac:dyDescent="0.4">
      <c r="B4" s="559" t="s">
        <v>1129</v>
      </c>
      <c r="C4" s="560"/>
      <c r="D4" s="560"/>
      <c r="E4" s="560"/>
      <c r="F4" s="560"/>
      <c r="G4" s="33"/>
      <c r="H4" s="563" t="s">
        <v>1130</v>
      </c>
      <c r="I4" s="564"/>
      <c r="J4" s="564"/>
      <c r="K4" s="564"/>
      <c r="L4" s="564"/>
      <c r="O4" s="33"/>
    </row>
    <row r="5" spans="1:17" ht="39" x14ac:dyDescent="0.3">
      <c r="B5" s="168"/>
      <c r="C5" s="192" t="s">
        <v>1131</v>
      </c>
      <c r="D5" s="192" t="s">
        <v>931</v>
      </c>
      <c r="E5" s="193" t="s">
        <v>1132</v>
      </c>
      <c r="F5" s="157" t="s">
        <v>1133</v>
      </c>
      <c r="G5" s="153"/>
      <c r="H5" s="168"/>
      <c r="I5" s="157" t="s">
        <v>1134</v>
      </c>
      <c r="J5" s="157" t="s">
        <v>1135</v>
      </c>
      <c r="K5" s="157" t="s">
        <v>1136</v>
      </c>
      <c r="L5" s="157" t="s">
        <v>1137</v>
      </c>
      <c r="O5" s="34"/>
    </row>
    <row r="6" spans="1:17" ht="15.5" x14ac:dyDescent="0.35">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5.5" x14ac:dyDescent="0.35">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5.5" x14ac:dyDescent="0.35">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5.5" x14ac:dyDescent="0.35">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5.5" x14ac:dyDescent="0.35">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5.5" x14ac:dyDescent="0.35">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5.5" x14ac:dyDescent="0.35">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5.5" x14ac:dyDescent="0.35">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5.5" x14ac:dyDescent="0.35">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5.5" x14ac:dyDescent="0.35">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5.5" x14ac:dyDescent="0.35">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5.5" x14ac:dyDescent="0.35">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5.5" x14ac:dyDescent="0.35">
      <c r="B18" s="173" t="s">
        <v>941</v>
      </c>
      <c r="C18" s="110">
        <f>COUNTIF('capacity data'!E:E,"PO")</f>
        <v>0</v>
      </c>
      <c r="D18" s="110">
        <f>COUNTIFS('capacity data'!E:E,"PO",'capacity data'!F:F,"&gt;110%")</f>
        <v>0</v>
      </c>
      <c r="E18" s="207" t="e">
        <f t="shared" ref="E18" si="4">D18/C18</f>
        <v>#DIV/0!</v>
      </c>
      <c r="F18" s="110" t="s">
        <v>942</v>
      </c>
      <c r="G18" s="64"/>
      <c r="H18" s="173" t="s">
        <v>941</v>
      </c>
      <c r="I18" s="110">
        <f>COUNTIF('capacity data'!E:E,"PSO")</f>
        <v>0</v>
      </c>
      <c r="J18" s="110">
        <f>COUNTIFS('capacity data'!E:E,"PSO",'capacity data'!F:F,"&gt;110%")</f>
        <v>0</v>
      </c>
      <c r="K18" s="207" t="e">
        <f t="shared" ref="K18" si="5">J18/I18</f>
        <v>#DIV/0!</v>
      </c>
      <c r="L18" s="149" t="s">
        <v>942</v>
      </c>
      <c r="O18" s="2"/>
    </row>
    <row r="21" spans="2:15" ht="15.5" x14ac:dyDescent="0.35">
      <c r="B21" s="561" t="s">
        <v>1138</v>
      </c>
      <c r="C21" s="562"/>
      <c r="D21" s="562"/>
      <c r="E21" s="562"/>
      <c r="F21" s="562"/>
      <c r="G21" s="33"/>
      <c r="H21" s="563" t="s">
        <v>1139</v>
      </c>
      <c r="I21" s="564"/>
      <c r="J21" s="564"/>
      <c r="K21" s="564"/>
    </row>
    <row r="22" spans="2:15" ht="52" x14ac:dyDescent="0.3">
      <c r="B22" s="168"/>
      <c r="C22" s="157" t="s">
        <v>1140</v>
      </c>
      <c r="D22" s="157" t="s">
        <v>1141</v>
      </c>
      <c r="E22" s="157" t="s">
        <v>1142</v>
      </c>
      <c r="F22" s="157" t="s">
        <v>1143</v>
      </c>
      <c r="G22" s="170"/>
      <c r="H22" s="168"/>
      <c r="I22" s="157" t="s">
        <v>1134</v>
      </c>
      <c r="J22" s="157" t="s">
        <v>1144</v>
      </c>
      <c r="K22" s="157" t="s">
        <v>1145</v>
      </c>
      <c r="L22" s="34"/>
    </row>
    <row r="23" spans="2:15" x14ac:dyDescent="0.3">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3">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3">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3">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3">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3">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3">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3">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3">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3">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3">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3">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3">
      <c r="B35" s="173" t="s">
        <v>941</v>
      </c>
      <c r="C35" s="110">
        <f>COUNTIF('capacity data'!E:E,"TPO")</f>
        <v>0</v>
      </c>
      <c r="D35" s="110">
        <f>COUNTIFS('capacity data'!E:E,"TPO",'capacity data'!F:F,"&gt;110%")</f>
        <v>0</v>
      </c>
      <c r="E35" s="207" t="e">
        <f t="shared" ref="E35" si="10">D35/C35</f>
        <v>#DIV/0!</v>
      </c>
      <c r="F35" s="110" t="s">
        <v>942</v>
      </c>
      <c r="G35" s="171"/>
      <c r="H35" s="173" t="s">
        <v>941</v>
      </c>
      <c r="I35" s="110">
        <f>COUNTIF('capacity data'!E:E,"PSO")</f>
        <v>0</v>
      </c>
      <c r="J35" s="110">
        <f>COUNTIFS('capacity data'!E:E,"PSO",'capacity data'!F:F,"&lt;90%")</f>
        <v>0</v>
      </c>
      <c r="K35" s="208" t="s">
        <v>942</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D6" sqref="D6"/>
    </sheetView>
  </sheetViews>
  <sheetFormatPr defaultColWidth="8.81640625" defaultRowHeight="14" x14ac:dyDescent="0.3"/>
  <cols>
    <col min="1" max="1" width="4" customWidth="1"/>
    <col min="2" max="2" width="31.453125" customWidth="1"/>
    <col min="3" max="3" width="13.453125" style="6" customWidth="1"/>
    <col min="4" max="4" width="20" style="6" customWidth="1"/>
    <col min="5" max="5" width="12.453125" style="6" customWidth="1"/>
    <col min="6" max="6" width="11.81640625" style="6" customWidth="1"/>
    <col min="7" max="7" width="13.1796875" style="6" customWidth="1"/>
  </cols>
  <sheetData>
    <row r="1" spans="1:15" ht="27" customHeight="1" x14ac:dyDescent="0.3">
      <c r="A1" s="537" t="s">
        <v>1146</v>
      </c>
      <c r="B1" s="537"/>
      <c r="C1" s="537"/>
      <c r="D1" s="537"/>
      <c r="E1" s="537"/>
      <c r="F1" s="537"/>
      <c r="G1" s="537"/>
      <c r="H1" s="261"/>
      <c r="I1" s="261"/>
      <c r="J1" s="261"/>
      <c r="K1" s="261"/>
      <c r="L1" s="261"/>
      <c r="M1" s="565"/>
      <c r="N1" s="565"/>
      <c r="O1" s="565"/>
    </row>
    <row r="2" spans="1:15" ht="33.75" customHeight="1" x14ac:dyDescent="0.3">
      <c r="A2" s="430"/>
      <c r="B2" s="430"/>
      <c r="C2" s="430"/>
      <c r="D2" s="430"/>
      <c r="E2" s="430"/>
      <c r="F2" s="430"/>
      <c r="G2" s="430"/>
      <c r="H2" s="268"/>
      <c r="I2" s="268"/>
      <c r="J2" s="268"/>
      <c r="K2" s="268"/>
      <c r="L2" s="268"/>
      <c r="M2" s="268"/>
      <c r="N2" s="268"/>
      <c r="O2" s="268"/>
    </row>
    <row r="3" spans="1:15" s="6" customFormat="1" ht="20.25" customHeight="1" thickBot="1" x14ac:dyDescent="0.35"/>
    <row r="4" spans="1:15" ht="14.5" thickBot="1" x14ac:dyDescent="0.35">
      <c r="B4" s="572" t="s">
        <v>820</v>
      </c>
      <c r="C4" s="568" t="s">
        <v>1026</v>
      </c>
      <c r="D4" s="570" t="s">
        <v>1147</v>
      </c>
      <c r="E4" s="566" t="s">
        <v>1148</v>
      </c>
      <c r="F4" s="567"/>
      <c r="G4" s="573" t="s">
        <v>1149</v>
      </c>
    </row>
    <row r="5" spans="1:15" ht="33.75" customHeight="1" thickBot="1" x14ac:dyDescent="0.35">
      <c r="B5" s="569"/>
      <c r="C5" s="569"/>
      <c r="D5" s="571"/>
      <c r="E5" s="174" t="s">
        <v>1150</v>
      </c>
      <c r="F5" s="175" t="s">
        <v>1151</v>
      </c>
      <c r="G5" s="574"/>
    </row>
    <row r="6" spans="1:15" x14ac:dyDescent="0.3">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3">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3">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3">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3">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3">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3">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3">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3">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3">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3">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3">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4.5" thickBot="1" x14ac:dyDescent="0.35">
      <c r="B18" s="178" t="s">
        <v>830</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3">
      <c r="C19"/>
      <c r="E19"/>
      <c r="F19"/>
      <c r="G19"/>
    </row>
    <row r="20" spans="1:7" x14ac:dyDescent="0.3">
      <c r="A20" s="31"/>
    </row>
    <row r="21" spans="1:7" x14ac:dyDescent="0.3">
      <c r="A21" s="31"/>
      <c r="C21" s="17"/>
      <c r="D21" s="17"/>
    </row>
    <row r="22" spans="1:7" x14ac:dyDescent="0.3">
      <c r="A22" s="31"/>
    </row>
    <row r="23" spans="1:7" x14ac:dyDescent="0.3">
      <c r="A23" s="31"/>
    </row>
    <row r="24" spans="1:7" x14ac:dyDescent="0.3">
      <c r="A24" s="31"/>
    </row>
    <row r="25" spans="1:7" x14ac:dyDescent="0.3">
      <c r="A25" s="31"/>
    </row>
    <row r="26" spans="1:7" x14ac:dyDescent="0.3">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L116" sqref="L116"/>
    </sheetView>
  </sheetViews>
  <sheetFormatPr defaultColWidth="8.81640625" defaultRowHeight="14" x14ac:dyDescent="0.3"/>
  <cols>
    <col min="1" max="1" width="3.453125" customWidth="1"/>
    <col min="2" max="2" width="42.81640625" customWidth="1"/>
    <col min="3" max="3" width="23.81640625" bestFit="1" customWidth="1"/>
    <col min="4" max="4" width="18.81640625" bestFit="1" customWidth="1"/>
    <col min="5" max="5" width="22.453125" bestFit="1" customWidth="1"/>
    <col min="6" max="6" width="29" bestFit="1" customWidth="1"/>
    <col min="7" max="7" width="19.453125" customWidth="1"/>
    <col min="8" max="10" width="21.453125" customWidth="1"/>
    <col min="11" max="11" width="31.453125" bestFit="1" customWidth="1"/>
    <col min="12" max="12" width="21.453125" customWidth="1"/>
    <col min="13" max="13" width="24.453125" bestFit="1" customWidth="1"/>
    <col min="14" max="14" width="28.453125" bestFit="1" customWidth="1"/>
    <col min="15" max="15" width="10.81640625" bestFit="1" customWidth="1"/>
    <col min="17" max="17" width="9.453125" bestFit="1" customWidth="1"/>
  </cols>
  <sheetData>
    <row r="1" spans="1:15" ht="51.75" customHeight="1" x14ac:dyDescent="0.3">
      <c r="A1" s="537" t="s">
        <v>1152</v>
      </c>
      <c r="B1" s="537"/>
      <c r="C1" s="537"/>
      <c r="D1" s="537"/>
      <c r="E1" s="537"/>
      <c r="F1" s="537"/>
      <c r="G1" s="537"/>
      <c r="H1" s="537"/>
      <c r="I1" s="537"/>
      <c r="J1" s="537"/>
      <c r="K1" s="537"/>
      <c r="L1" s="537"/>
      <c r="M1" s="537"/>
      <c r="N1" s="537"/>
      <c r="O1" s="260"/>
    </row>
    <row r="2" spans="1:15" ht="24.75" customHeight="1" x14ac:dyDescent="0.3">
      <c r="A2" s="577"/>
      <c r="B2" s="577"/>
      <c r="C2" s="577"/>
      <c r="D2" s="577"/>
      <c r="E2" s="577"/>
      <c r="F2" s="577"/>
      <c r="G2" s="577"/>
      <c r="H2" s="577"/>
      <c r="I2" s="577"/>
      <c r="J2" s="577"/>
      <c r="K2" s="577"/>
      <c r="L2" s="577"/>
      <c r="M2" s="577"/>
      <c r="N2" s="577"/>
      <c r="O2" s="577"/>
    </row>
    <row r="3" spans="1:15" ht="9" customHeight="1" x14ac:dyDescent="0.3">
      <c r="B3" s="18"/>
      <c r="C3" s="18"/>
      <c r="D3" s="19"/>
      <c r="E3" s="19"/>
      <c r="F3" s="19"/>
      <c r="G3" s="19"/>
      <c r="H3" s="19"/>
      <c r="I3" s="19"/>
      <c r="J3" s="19"/>
      <c r="K3" s="19"/>
      <c r="L3" s="19"/>
      <c r="M3" s="19"/>
    </row>
    <row r="4" spans="1:15" x14ac:dyDescent="0.3">
      <c r="B4" s="553" t="s">
        <v>1153</v>
      </c>
      <c r="C4" s="555"/>
      <c r="E4" s="588" t="s">
        <v>1154</v>
      </c>
      <c r="F4" s="589"/>
      <c r="G4" s="589"/>
      <c r="H4" s="584" t="s">
        <v>1155</v>
      </c>
      <c r="I4" s="269"/>
      <c r="J4" s="269"/>
      <c r="K4" s="269"/>
      <c r="L4" s="269"/>
      <c r="M4" s="269"/>
    </row>
    <row r="5" spans="1:15" ht="29.25" customHeight="1" x14ac:dyDescent="0.3">
      <c r="B5" s="580"/>
      <c r="C5" s="581"/>
      <c r="E5" s="580"/>
      <c r="F5" s="590"/>
      <c r="G5" s="590"/>
      <c r="H5" s="584"/>
      <c r="I5" s="269"/>
      <c r="J5" s="269"/>
      <c r="K5" s="269"/>
      <c r="L5" s="269"/>
      <c r="M5" s="269"/>
    </row>
    <row r="6" spans="1:15" x14ac:dyDescent="0.3">
      <c r="B6" s="62" t="str">
        <f>INDEX('reductions workings'!C:C,MATCH(C6,'reductions workings'!E:E,0))</f>
        <v>Long Term Sickness Absence</v>
      </c>
      <c r="C6" s="94">
        <f>LARGE('reductions workings'!E:E,1)</f>
        <v>8.9999999999999998E-4</v>
      </c>
      <c r="E6" s="575" t="str">
        <f>INDEX('reductions workings'!$G:$G,MATCH(G6,'reductions workings'!$H:$H,0))</f>
        <v>Adoption Leave</v>
      </c>
      <c r="F6" s="576"/>
      <c r="G6" s="191">
        <f>LARGE('reductions workings'!H:H,2)</f>
        <v>0</v>
      </c>
      <c r="H6" s="66" t="e">
        <f>G6/'reductions workings'!H55:$I$55</f>
        <v>#DIV/0!</v>
      </c>
      <c r="I6" s="111"/>
      <c r="J6" s="111"/>
      <c r="K6" s="111"/>
      <c r="L6" s="111"/>
      <c r="M6" s="111"/>
    </row>
    <row r="7" spans="1:15" x14ac:dyDescent="0.3">
      <c r="B7" s="62" t="str">
        <f>INDEX('reductions workings'!C:C,MATCH(C7,'reductions workings'!E:E,0))</f>
        <v>Long Term Sickness Absence</v>
      </c>
      <c r="C7" s="94">
        <f>LARGE('reductions workings'!E:E,2)</f>
        <v>8.9999999999999998E-4</v>
      </c>
      <c r="E7" s="575" t="str">
        <f>INDEX('reductions workings'!$G:$G,MATCH(G7,'reductions workings'!$H:$H,0))</f>
        <v>Adoption Leave</v>
      </c>
      <c r="F7" s="576"/>
      <c r="G7" s="191">
        <f>LARGE('reductions workings'!H:H,3)</f>
        <v>0</v>
      </c>
      <c r="H7" s="66" t="e">
        <f>G7/'reductions workings'!H$55:$I55</f>
        <v>#DIV/0!</v>
      </c>
      <c r="I7" s="111"/>
      <c r="J7" s="111"/>
      <c r="K7" s="111"/>
      <c r="L7" s="111"/>
      <c r="M7" s="111"/>
    </row>
    <row r="8" spans="1:15" x14ac:dyDescent="0.3">
      <c r="B8" s="62" t="str">
        <f>INDEX('reductions workings'!C:C,MATCH(C8,'reductions workings'!E:E,0))</f>
        <v>Left Service</v>
      </c>
      <c r="C8" s="94">
        <f>LARGE('reductions workings'!E:E,3)</f>
        <v>8.0000000000000004E-4</v>
      </c>
      <c r="E8" s="575" t="str">
        <f>INDEX('reductions workings'!$G:$G,MATCH(G8,'reductions workings'!$H:$H,0))</f>
        <v>Adoption Leave</v>
      </c>
      <c r="F8" s="576"/>
      <c r="G8" s="191">
        <f>LARGE('reductions workings'!H:H,4)</f>
        <v>0</v>
      </c>
      <c r="H8" s="66" t="e">
        <f>G8/'reductions workings'!H$55:$I55</f>
        <v>#DIV/0!</v>
      </c>
      <c r="I8" s="111"/>
      <c r="J8" s="111"/>
      <c r="K8" s="111"/>
      <c r="L8" s="111"/>
      <c r="M8" s="111"/>
    </row>
    <row r="9" spans="1:15" x14ac:dyDescent="0.3">
      <c r="B9" s="62" t="str">
        <f>INDEX('reductions workings'!C:C,MATCH(C9,'reductions workings'!E:E,0))</f>
        <v>Left Service</v>
      </c>
      <c r="C9" s="94">
        <f>LARGE('reductions workings'!E:E,4)</f>
        <v>8.0000000000000004E-4</v>
      </c>
      <c r="E9" s="575" t="str">
        <f>INDEX('reductions workings'!$G:$G,MATCH(G9,'reductions workings'!$H:$H,0))</f>
        <v>Adoption Leave</v>
      </c>
      <c r="F9" s="576"/>
      <c r="G9" s="191">
        <f>LARGE('reductions workings'!H:H,5)</f>
        <v>0</v>
      </c>
      <c r="H9" s="66" t="e">
        <f>G9/'reductions workings'!H$55:$I55</f>
        <v>#DIV/0!</v>
      </c>
      <c r="I9" s="111"/>
      <c r="J9" s="111"/>
      <c r="K9" s="111"/>
      <c r="L9" s="111"/>
      <c r="M9" s="111"/>
    </row>
    <row r="10" spans="1:15" x14ac:dyDescent="0.3">
      <c r="B10" s="62" t="str">
        <f>INDEX('reductions workings'!C:C,MATCH(C10,'reductions workings'!E:E,0))</f>
        <v>Groups (Induction)</v>
      </c>
      <c r="C10" s="94">
        <f>LARGE('reductions workings'!E:E,5)</f>
        <v>5.9999999999999995E-4</v>
      </c>
      <c r="E10" s="575" t="str">
        <f>INDEX('reductions workings'!$G:$G,MATCH(G10,'reductions workings'!$H:$H,0))</f>
        <v>Adoption Leave</v>
      </c>
      <c r="F10" s="576"/>
      <c r="G10" s="191">
        <f>LARGE('reductions workings'!H:H,6)</f>
        <v>0</v>
      </c>
      <c r="H10" s="66" t="e">
        <f>G10/'reductions workings'!H$55:$I55</f>
        <v>#DIV/0!</v>
      </c>
      <c r="I10" s="111"/>
      <c r="J10" s="111"/>
      <c r="K10" s="111"/>
      <c r="L10" s="111"/>
      <c r="M10" s="111"/>
    </row>
    <row r="11" spans="1:15" x14ac:dyDescent="0.3">
      <c r="B11" s="62" t="str">
        <f>INDEX('reductions workings'!C:C,MATCH(C11,'reductions workings'!E:E,0))</f>
        <v>Groups (Induction)</v>
      </c>
      <c r="C11" s="94">
        <f>LARGE('reductions workings'!E:E,6)</f>
        <v>5.9999999999999995E-4</v>
      </c>
      <c r="E11" s="575" t="str">
        <f>INDEX('reductions workings'!$G:$G,MATCH(G11,'reductions workings'!$H:$H,0))</f>
        <v>Adoption Leave</v>
      </c>
      <c r="F11" s="576"/>
      <c r="G11" s="191">
        <f>LARGE('reductions workings'!H:H,7)</f>
        <v>0</v>
      </c>
      <c r="H11" s="66" t="e">
        <f>G11/'reductions workings'!H$55:$I55</f>
        <v>#DIV/0!</v>
      </c>
      <c r="I11" s="111"/>
      <c r="J11" s="111"/>
      <c r="K11" s="111"/>
      <c r="L11" s="111"/>
      <c r="M11" s="111"/>
    </row>
    <row r="12" spans="1:15" x14ac:dyDescent="0.3">
      <c r="B12" s="62" t="str">
        <f>INDEX('reductions workings'!C:C,MATCH(C12,'reductions workings'!E:E,0))</f>
        <v>Groups (Group supervision)</v>
      </c>
      <c r="C12" s="94">
        <f>LARGE('reductions workings'!E:E,7)</f>
        <v>5.0000000000000001E-4</v>
      </c>
      <c r="E12" s="575" t="str">
        <f>INDEX('reductions workings'!$G:$G,MATCH(G12,'reductions workings'!$H:$H,0))</f>
        <v>Adoption Leave</v>
      </c>
      <c r="F12" s="576"/>
      <c r="G12" s="191">
        <f>LARGE('reductions workings'!H:H,8)</f>
        <v>0</v>
      </c>
      <c r="H12" s="66" t="e">
        <f>G12/'reductions workings'!H$55:$I55</f>
        <v>#DIV/0!</v>
      </c>
      <c r="I12" s="111"/>
      <c r="J12" s="111"/>
      <c r="K12" s="111"/>
      <c r="L12" s="111"/>
      <c r="M12" s="111"/>
    </row>
    <row r="13" spans="1:15" x14ac:dyDescent="0.3">
      <c r="B13" s="62" t="str">
        <f>INDEX('reductions workings'!C:C,MATCH(C13,'reductions workings'!E:E,0))</f>
        <v>Wellbeing/Work-life balance</v>
      </c>
      <c r="C13" s="94">
        <f>LARGE('reductions workings'!E:E,8)</f>
        <v>4.0999999999999999E-4</v>
      </c>
      <c r="E13" s="575" t="str">
        <f>INDEX('reductions workings'!$G:$G,MATCH(G13,'reductions workings'!$H:$H,0))</f>
        <v>Adoption Leave</v>
      </c>
      <c r="F13" s="576"/>
      <c r="G13" s="191">
        <f>LARGE('reductions workings'!H:H,9)</f>
        <v>0</v>
      </c>
      <c r="H13" s="66" t="e">
        <f>G13/'reductions workings'!H$55:$I55</f>
        <v>#DIV/0!</v>
      </c>
      <c r="I13" s="111"/>
      <c r="J13" s="111"/>
      <c r="K13" s="111"/>
      <c r="L13" s="111"/>
      <c r="M13" s="111"/>
    </row>
    <row r="14" spans="1:15" x14ac:dyDescent="0.3">
      <c r="B14" s="62" t="str">
        <f>INDEX('reductions workings'!C:C,MATCH(C14,'reductions workings'!E:E,0))</f>
        <v>Disability</v>
      </c>
      <c r="C14" s="94">
        <f>LARGE('reductions workings'!E:E,9)</f>
        <v>4.0000000000000002E-4</v>
      </c>
      <c r="E14" s="575" t="str">
        <f>INDEX('reductions workings'!$G:$G,MATCH(G14,'reductions workings'!$H:$H,0))</f>
        <v>Adoption Leave</v>
      </c>
      <c r="F14" s="576"/>
      <c r="G14" s="191">
        <f>LARGE('reductions workings'!H:H,10)</f>
        <v>0</v>
      </c>
      <c r="H14" s="66" t="e">
        <f>G14/'reductions workings'!H$55:$I55</f>
        <v>#DIV/0!</v>
      </c>
      <c r="I14" s="111"/>
      <c r="J14" s="111"/>
      <c r="K14" s="111"/>
      <c r="L14" s="111"/>
      <c r="M14" s="111"/>
    </row>
    <row r="15" spans="1:15" x14ac:dyDescent="0.3">
      <c r="B15" s="62" t="str">
        <f>INDEX('reductions workings'!C:C,MATCH(C15,'reductions workings'!E:E,0))</f>
        <v>VQ3</v>
      </c>
      <c r="C15" s="94">
        <f>LARGE('reductions workings'!E:E,10)</f>
        <v>3.8999999999999999E-4</v>
      </c>
      <c r="E15" s="575" t="str">
        <f>INDEX('reductions workings'!$G:$G,MATCH(G15,'reductions workings'!$H:$H,0))</f>
        <v>Adoption Leave</v>
      </c>
      <c r="F15" s="576"/>
      <c r="G15" s="191">
        <f>LARGE('reductions workings'!H:H,11)</f>
        <v>0</v>
      </c>
      <c r="H15" s="66" t="e">
        <f>G15/'reductions workings'!H$55:$I55</f>
        <v>#DIV/0!</v>
      </c>
      <c r="I15" s="111"/>
      <c r="J15" s="111"/>
      <c r="K15" s="111"/>
      <c r="L15" s="111"/>
      <c r="M15" s="111"/>
    </row>
    <row r="16" spans="1:15" x14ac:dyDescent="0.3">
      <c r="B16" s="62" t="str">
        <f>INDEX('reductions workings'!C:C,MATCH(C16,'reductions workings'!E:E,0))</f>
        <v>VQ3</v>
      </c>
      <c r="C16" s="94">
        <f>LARGE('reductions workings'!E:E,11)</f>
        <v>3.8999999999999999E-4</v>
      </c>
      <c r="E16" s="575" t="str">
        <f>INDEX('reductions workings'!$G:$G,MATCH(G16,'reductions workings'!$H:$H,0))</f>
        <v>Adoption Leave</v>
      </c>
      <c r="F16" s="576"/>
      <c r="G16" s="191">
        <f>LARGE('reductions workings'!H:H,12)</f>
        <v>0</v>
      </c>
      <c r="H16" s="66" t="e">
        <f>G16/'reductions workings'!H$55:$I55</f>
        <v>#DIV/0!</v>
      </c>
      <c r="I16" s="111"/>
      <c r="J16" s="111"/>
      <c r="K16" s="111"/>
      <c r="L16" s="111"/>
      <c r="M16" s="111"/>
    </row>
    <row r="17" spans="2:15" x14ac:dyDescent="0.3">
      <c r="B17" s="62" t="str">
        <f>INDEX('reductions workings'!C:C,MATCH(C17,'reductions workings'!E:E,0))</f>
        <v>Trade Union Facility Time</v>
      </c>
      <c r="C17" s="94">
        <f>LARGE('reductions workings'!E:E,12)</f>
        <v>3.8000000000000002E-4</v>
      </c>
      <c r="E17" s="575" t="str">
        <f>INDEX('reductions workings'!$G:$G,MATCH(G17,'reductions workings'!$H:$H,0))</f>
        <v>Adoption Leave</v>
      </c>
      <c r="F17" s="576"/>
      <c r="G17" s="191">
        <f>LARGE('reductions workings'!H:H,13)</f>
        <v>0</v>
      </c>
      <c r="H17" s="66" t="e">
        <f>G17/'reductions workings'!H$55:$I55</f>
        <v>#DIV/0!</v>
      </c>
      <c r="I17" s="111"/>
      <c r="J17" s="111"/>
      <c r="K17" s="111"/>
      <c r="L17" s="111"/>
      <c r="M17" s="111"/>
    </row>
    <row r="18" spans="2:15" x14ac:dyDescent="0.3">
      <c r="B18" s="62" t="str">
        <f>INDEX('reductions workings'!C:C,MATCH(C18,'reductions workings'!E:E,0))</f>
        <v>SPOC Lead</v>
      </c>
      <c r="C18" s="94">
        <f>LARGE('reductions workings'!E:E,13)</f>
        <v>3.6999999999999999E-4</v>
      </c>
      <c r="E18" s="575" t="str">
        <f>INDEX('reductions workings'!$G:$G,MATCH(G18,'reductions workings'!$H:$H,0))</f>
        <v>Adoption Leave</v>
      </c>
      <c r="F18" s="576"/>
      <c r="G18" s="191">
        <f>LARGE('reductions workings'!H:H,14)</f>
        <v>0</v>
      </c>
      <c r="H18" s="66" t="e">
        <f>G18/'reductions workings'!H$55:$I55</f>
        <v>#DIV/0!</v>
      </c>
      <c r="I18" s="111"/>
      <c r="J18" s="111"/>
      <c r="K18" s="111"/>
      <c r="L18" s="111"/>
      <c r="M18" s="111"/>
    </row>
    <row r="19" spans="2:15" x14ac:dyDescent="0.3">
      <c r="B19" s="62" t="str">
        <f>INDEX('reductions workings'!C:C,MATCH(C19,'reductions workings'!E:E,0))</f>
        <v>Split Role</v>
      </c>
      <c r="C19" s="94">
        <f>LARGE('reductions workings'!E:E,14)</f>
        <v>3.6000000000000002E-4</v>
      </c>
      <c r="E19" s="575" t="str">
        <f>INDEX('reductions workings'!$G:$G,MATCH(G19,'reductions workings'!$H:$H,0))</f>
        <v>Adoption Leave</v>
      </c>
      <c r="F19" s="576"/>
      <c r="G19" s="191">
        <f>LARGE('reductions workings'!H:H,15)</f>
        <v>0</v>
      </c>
      <c r="H19" s="66" t="e">
        <f>G19/'reductions workings'!H$55:$I55</f>
        <v>#DIV/0!</v>
      </c>
      <c r="I19" s="111"/>
      <c r="J19" s="111"/>
      <c r="K19" s="111"/>
      <c r="L19" s="111"/>
      <c r="M19" s="111"/>
    </row>
    <row r="20" spans="2:15" x14ac:dyDescent="0.3">
      <c r="B20" s="62" t="str">
        <f>INDEX('reductions workings'!C:C,MATCH(C20,'reductions workings'!E:E,0))</f>
        <v>Special Leave</v>
      </c>
      <c r="C20" s="94">
        <f>LARGE('reductions workings'!E:E,15)</f>
        <v>3.5E-4</v>
      </c>
      <c r="E20" s="575" t="str">
        <f>INDEX('reductions workings'!$G:$G,MATCH(G20,'reductions workings'!$H:$H,0))</f>
        <v>Adoption Leave</v>
      </c>
      <c r="F20" s="576"/>
      <c r="G20" s="191">
        <f>LARGE('reductions workings'!H:H,16)</f>
        <v>0</v>
      </c>
      <c r="H20" s="66" t="e">
        <f>G20/'reductions workings'!H$55:$I55</f>
        <v>#DIV/0!</v>
      </c>
      <c r="I20" s="111"/>
      <c r="J20" s="111"/>
      <c r="K20" s="111"/>
      <c r="L20" s="111"/>
      <c r="M20" s="111"/>
    </row>
    <row r="21" spans="2:15" ht="26" x14ac:dyDescent="0.3">
      <c r="B21" s="217" t="s">
        <v>1156</v>
      </c>
      <c r="C21" s="134">
        <f>SUM(C6:C20)</f>
        <v>8.1499999999999993E-3</v>
      </c>
      <c r="E21" s="587" t="s">
        <v>1157</v>
      </c>
      <c r="F21" s="576"/>
      <c r="G21" s="585">
        <f>SUM(G6:G20)</f>
        <v>0</v>
      </c>
      <c r="H21" s="586"/>
      <c r="I21" s="6"/>
      <c r="J21" s="6"/>
      <c r="K21" s="6"/>
      <c r="L21" s="6"/>
      <c r="M21" s="6"/>
    </row>
    <row r="22" spans="2:15" ht="26" x14ac:dyDescent="0.3">
      <c r="B22" s="218" t="s">
        <v>1158</v>
      </c>
      <c r="C22" s="135">
        <f>COUNTIF('reductions data'!K:K,"ACTIVE")</f>
        <v>0</v>
      </c>
      <c r="E22" s="582" t="s">
        <v>1159</v>
      </c>
      <c r="F22" s="583"/>
      <c r="G22" s="585">
        <f>LARGE('reductions workings'!H:H,1)</f>
        <v>0</v>
      </c>
      <c r="H22" s="586"/>
      <c r="I22" s="6"/>
      <c r="J22" s="6"/>
      <c r="K22" s="6"/>
      <c r="L22" s="6"/>
      <c r="M22" s="6"/>
    </row>
    <row r="23" spans="2:15" ht="15.5" x14ac:dyDescent="0.35">
      <c r="B23" s="1"/>
      <c r="C23" s="1"/>
    </row>
    <row r="24" spans="2:15" ht="20" x14ac:dyDescent="0.4">
      <c r="C24" s="578" t="s">
        <v>1160</v>
      </c>
      <c r="D24" s="579"/>
      <c r="E24" s="579"/>
      <c r="F24" s="579"/>
      <c r="G24" s="579"/>
      <c r="H24" s="579"/>
      <c r="I24" s="579"/>
      <c r="J24" s="579"/>
      <c r="K24" s="579"/>
      <c r="L24" s="579"/>
      <c r="M24" s="579"/>
      <c r="N24" s="579"/>
      <c r="O24" s="579"/>
    </row>
    <row r="25" spans="2:15" ht="40.5" customHeight="1" x14ac:dyDescent="0.3">
      <c r="B25" s="76" t="s">
        <v>871</v>
      </c>
      <c r="C25" s="76" t="s">
        <v>17</v>
      </c>
      <c r="D25" s="76" t="s">
        <v>18</v>
      </c>
      <c r="E25" s="76" t="s">
        <v>19</v>
      </c>
      <c r="F25" s="76" t="s">
        <v>20</v>
      </c>
      <c r="G25" s="76" t="s">
        <v>21</v>
      </c>
      <c r="H25" s="76" t="s">
        <v>22</v>
      </c>
      <c r="I25" s="76" t="s">
        <v>23</v>
      </c>
      <c r="J25" s="76" t="s">
        <v>24</v>
      </c>
      <c r="K25" s="76" t="s">
        <v>25</v>
      </c>
      <c r="L25" s="76" t="s">
        <v>26</v>
      </c>
      <c r="M25" s="76" t="s">
        <v>27</v>
      </c>
      <c r="N25" s="76" t="s">
        <v>28</v>
      </c>
      <c r="O25" s="76" t="s">
        <v>1161</v>
      </c>
    </row>
    <row r="26" spans="2:15" x14ac:dyDescent="0.3">
      <c r="B26" s="112" t="s">
        <v>874</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3">
      <c r="B27" s="113" t="s">
        <v>876</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3">
      <c r="B28" s="113" t="s">
        <v>875</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3">
      <c r="B29" s="113" t="s">
        <v>877</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3">
      <c r="B30" s="113" t="s">
        <v>878</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3">
      <c r="B31" s="113" t="s">
        <v>879</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3">
      <c r="B32" s="113" t="s">
        <v>880</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3">
      <c r="B33" s="113" t="s">
        <v>1238</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3">
      <c r="B34" s="113" t="s">
        <v>881</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3">
      <c r="B35" s="113" t="s">
        <v>882</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3">
      <c r="B36" s="113" t="s">
        <v>883</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3">
      <c r="B37" s="113" t="s">
        <v>884</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3">
      <c r="B38" s="113" t="s">
        <v>885</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3">
      <c r="B39" s="113" t="s">
        <v>887</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3">
      <c r="B40" s="113" t="s">
        <v>890</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3">
      <c r="B41" s="113" t="s">
        <v>886</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3">
      <c r="B42" s="113" t="s">
        <v>971</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3">
      <c r="B43" s="113" t="s">
        <v>891</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3">
      <c r="B44" s="113" t="s">
        <v>892</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3">
      <c r="B45" s="113" t="s">
        <v>893</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3">
      <c r="B46" s="113" t="s">
        <v>894</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3">
      <c r="B47" s="113" t="s">
        <v>895</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3">
      <c r="B48" s="113" t="s">
        <v>896</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3">
      <c r="B49" s="113" t="s">
        <v>897</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3">
      <c r="B50" s="113" t="s">
        <v>1231</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3">
      <c r="B51" s="113" t="s">
        <v>1232</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3">
      <c r="B52" s="322" t="s">
        <v>1229</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3">
      <c r="B53" s="322" t="s">
        <v>1230</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3">
      <c r="B54" s="322" t="s">
        <v>1239</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3">
      <c r="B55" s="112" t="s">
        <v>1233</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3">
      <c r="B56" s="113" t="s">
        <v>1234</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3">
      <c r="B57" s="113" t="s">
        <v>899</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3">
      <c r="B58" s="113" t="s">
        <v>900</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3">
      <c r="B59" s="113" t="s">
        <v>901</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3">
      <c r="B60" s="322" t="s">
        <v>1235</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3">
      <c r="B61" s="322" t="s">
        <v>1236</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3">
      <c r="B62" s="322" t="s">
        <v>1240</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3">
      <c r="B63" s="113" t="s">
        <v>902</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3">
      <c r="B64" s="113" t="s">
        <v>903</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3">
      <c r="B65" s="113" t="s">
        <v>904</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3">
      <c r="B66" s="113" t="s">
        <v>898</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3">
      <c r="B67" s="113" t="s">
        <v>905</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3">
      <c r="B68" s="112" t="s">
        <v>906</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3">
      <c r="B69" s="113" t="s">
        <v>907</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3">
      <c r="B70" s="113" t="s">
        <v>908</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3">
      <c r="B71" s="113" t="s">
        <v>909</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3">
      <c r="B72" s="113" t="s">
        <v>910</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3">
      <c r="B73" s="113" t="s">
        <v>911</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3">
      <c r="B74" s="113" t="s">
        <v>912</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3">
      <c r="B75" s="181" t="s">
        <v>941</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3">
      <c r="B76" s="328"/>
    </row>
    <row r="78" spans="2:15" ht="20" x14ac:dyDescent="0.4">
      <c r="C78" s="578" t="s">
        <v>1162</v>
      </c>
      <c r="D78" s="578"/>
      <c r="E78" s="578"/>
      <c r="F78" s="578"/>
      <c r="G78" s="578"/>
      <c r="H78" s="578"/>
      <c r="I78" s="578"/>
      <c r="J78" s="578"/>
      <c r="K78" s="578"/>
      <c r="L78" s="578"/>
      <c r="M78" s="578"/>
      <c r="N78" s="578"/>
      <c r="O78" s="578"/>
    </row>
    <row r="79" spans="2:15" ht="34.5" customHeight="1" x14ac:dyDescent="0.3">
      <c r="B79" s="76" t="s">
        <v>871</v>
      </c>
      <c r="C79" s="76" t="s">
        <v>17</v>
      </c>
      <c r="D79" s="76" t="s">
        <v>18</v>
      </c>
      <c r="E79" s="76" t="s">
        <v>19</v>
      </c>
      <c r="F79" s="76" t="s">
        <v>20</v>
      </c>
      <c r="G79" s="76" t="s">
        <v>21</v>
      </c>
      <c r="H79" s="76" t="s">
        <v>22</v>
      </c>
      <c r="I79" s="76" t="s">
        <v>23</v>
      </c>
      <c r="J79" s="76" t="s">
        <v>24</v>
      </c>
      <c r="K79" s="76" t="s">
        <v>25</v>
      </c>
      <c r="L79" s="76" t="s">
        <v>26</v>
      </c>
      <c r="M79" s="76" t="s">
        <v>27</v>
      </c>
      <c r="N79" s="76" t="s">
        <v>28</v>
      </c>
      <c r="O79" s="76" t="s">
        <v>1161</v>
      </c>
    </row>
    <row r="80" spans="2:15" x14ac:dyDescent="0.3">
      <c r="B80" s="112" t="s">
        <v>874</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3">
      <c r="B81" s="113" t="s">
        <v>876</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3">
      <c r="B82" s="113" t="s">
        <v>875</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3">
      <c r="B83" s="113" t="s">
        <v>877</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3">
      <c r="B84" s="113" t="s">
        <v>878</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3">
      <c r="B85" s="113" t="s">
        <v>879</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3">
      <c r="B86" s="113" t="s">
        <v>880</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3">
      <c r="B87" s="113" t="s">
        <v>1238</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3">
      <c r="B88" s="113" t="s">
        <v>881</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3">
      <c r="B89" s="113" t="s">
        <v>882</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3">
      <c r="B90" s="113" t="s">
        <v>883</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3">
      <c r="B91" s="113" t="s">
        <v>884</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3">
      <c r="B92" s="113" t="s">
        <v>885</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3">
      <c r="B93" s="113" t="s">
        <v>887</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3">
      <c r="B94" s="113" t="s">
        <v>890</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3">
      <c r="B95" s="113" t="s">
        <v>886</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3">
      <c r="B96" s="113" t="s">
        <v>971</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3">
      <c r="B97" s="113" t="s">
        <v>891</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3">
      <c r="B98" s="113" t="s">
        <v>892</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3">
      <c r="B99" s="113" t="s">
        <v>893</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3">
      <c r="B100" s="113" t="s">
        <v>894</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3">
      <c r="B101" s="113" t="s">
        <v>895</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3">
      <c r="B102" s="113" t="s">
        <v>896</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3">
      <c r="B103" s="113" t="s">
        <v>897</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3">
      <c r="B104" s="113" t="s">
        <v>1231</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3">
      <c r="B105" s="113" t="s">
        <v>1232</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3">
      <c r="B106" s="322" t="s">
        <v>1229</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3">
      <c r="B107" s="322" t="s">
        <v>1230</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3">
      <c r="B108" s="322" t="s">
        <v>1239</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3">
      <c r="B109" s="112" t="s">
        <v>1233</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3">
      <c r="B110" s="113" t="s">
        <v>1234</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3">
      <c r="B111" s="113" t="s">
        <v>899</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3">
      <c r="B112" s="113" t="s">
        <v>900</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3">
      <c r="B113" s="113" t="s">
        <v>901</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3">
      <c r="B114" s="322" t="s">
        <v>1235</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3">
      <c r="B115" s="322" t="s">
        <v>1236</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3">
      <c r="B116" s="322" t="s">
        <v>1240</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3">
      <c r="B117" s="113" t="s">
        <v>902</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3">
      <c r="B118" s="113" t="s">
        <v>903</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3">
      <c r="B119" s="113" t="s">
        <v>904</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3">
      <c r="B120" s="113" t="s">
        <v>898</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3">
      <c r="B121" s="113" t="s">
        <v>905</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3">
      <c r="B122" s="113" t="s">
        <v>906</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3">
      <c r="B123" s="113" t="s">
        <v>907</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3">
      <c r="B124" s="113" t="s">
        <v>908</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3">
      <c r="B125" s="113" t="s">
        <v>909</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3">
      <c r="B126" s="113" t="s">
        <v>910</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3">
      <c r="B127" s="113" t="s">
        <v>911</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3">
      <c r="B128" s="113" t="s">
        <v>912</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3">
      <c r="B129" s="218" t="s">
        <v>941</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3">
      <c r="B130" s="173" t="s">
        <v>1163</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3">
      <c r="B131" s="217" t="s">
        <v>1164</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 ref="A1:G1"/>
    <mergeCell ref="H1:N1"/>
    <mergeCell ref="E18:F18"/>
    <mergeCell ref="E19:F19"/>
    <mergeCell ref="E20:F20"/>
    <mergeCell ref="A2:O2"/>
    <mergeCell ref="E13:F13"/>
    <mergeCell ref="E14:F14"/>
    <mergeCell ref="E15:F15"/>
    <mergeCell ref="E16:F16"/>
    <mergeCell ref="E17:F17"/>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topLeftCell="A25" zoomScale="85" zoomScaleNormal="85" workbookViewId="0">
      <selection activeCell="B50" sqref="B50"/>
    </sheetView>
  </sheetViews>
  <sheetFormatPr defaultColWidth="8.81640625" defaultRowHeight="14" x14ac:dyDescent="0.3"/>
  <cols>
    <col min="1" max="1" width="49.7265625" customWidth="1"/>
    <col min="2" max="3" width="25.453125" customWidth="1"/>
    <col min="4" max="4" width="9.1796875" customWidth="1"/>
    <col min="5" max="5" width="48.453125" bestFit="1" customWidth="1"/>
    <col min="6" max="6" width="15.1796875" customWidth="1"/>
    <col min="7" max="7" width="16.81640625" customWidth="1"/>
  </cols>
  <sheetData>
    <row r="1" spans="1:17" ht="68.25" customHeight="1" x14ac:dyDescent="0.3">
      <c r="A1" s="537" t="s">
        <v>1165</v>
      </c>
      <c r="B1" s="537"/>
      <c r="C1" s="537"/>
      <c r="D1" s="537"/>
      <c r="E1" s="537"/>
      <c r="F1" s="537"/>
      <c r="G1" s="261"/>
      <c r="H1" s="261"/>
      <c r="I1" s="261"/>
      <c r="J1" s="261"/>
      <c r="K1" s="261"/>
      <c r="L1" s="261"/>
      <c r="M1" s="261"/>
      <c r="N1" s="261"/>
      <c r="O1" s="261"/>
      <c r="P1" s="261"/>
      <c r="Q1" s="261"/>
    </row>
    <row r="2" spans="1:17" ht="38.25" customHeight="1" x14ac:dyDescent="0.3">
      <c r="A2" s="430"/>
      <c r="B2" s="430"/>
      <c r="C2" s="430"/>
      <c r="D2" s="430"/>
      <c r="E2" s="430"/>
      <c r="F2" s="430"/>
      <c r="G2" s="270"/>
      <c r="H2" s="270"/>
      <c r="I2" s="270"/>
      <c r="J2" s="270"/>
      <c r="K2" s="270"/>
      <c r="L2" s="270"/>
      <c r="M2" s="270"/>
      <c r="N2" s="270"/>
      <c r="O2" s="270"/>
      <c r="P2" s="270"/>
      <c r="Q2" s="270"/>
    </row>
    <row r="4" spans="1:17" ht="28" x14ac:dyDescent="0.3">
      <c r="A4" s="36" t="s">
        <v>1022</v>
      </c>
    </row>
    <row r="5" spans="1:17" ht="21" customHeight="1" x14ac:dyDescent="0.3">
      <c r="A5" s="242" t="s">
        <v>21</v>
      </c>
    </row>
    <row r="6" spans="1:17" ht="36.75" customHeight="1" x14ac:dyDescent="0.35">
      <c r="A6" s="292" t="s">
        <v>238</v>
      </c>
      <c r="B6" s="42"/>
      <c r="C6" s="42"/>
    </row>
    <row r="8" spans="1:17" ht="29.25" customHeight="1" x14ac:dyDescent="0.45">
      <c r="A8" s="427" t="s">
        <v>1032</v>
      </c>
      <c r="B8" s="591"/>
      <c r="C8" s="591"/>
    </row>
    <row r="9" spans="1:17" ht="28" x14ac:dyDescent="0.3">
      <c r="A9" s="220" t="s">
        <v>1034</v>
      </c>
      <c r="B9" s="37" t="s">
        <v>1035</v>
      </c>
      <c r="C9" s="37" t="s">
        <v>1036</v>
      </c>
      <c r="E9" s="592" t="s">
        <v>1033</v>
      </c>
      <c r="F9" s="592"/>
    </row>
    <row r="10" spans="1:17" x14ac:dyDescent="0.3">
      <c r="A10" s="112" t="s">
        <v>874</v>
      </c>
      <c r="B10" s="89">
        <f>COUNTIFS('reductions data'!B:B,$A$6,'reductions data'!G:G,A10)</f>
        <v>0</v>
      </c>
      <c r="C10" s="90">
        <f>SUMIFS('reductions data'!H:H,'reductions data'!B:B,$A$6,'reductions data'!G:G,A10)</f>
        <v>0</v>
      </c>
      <c r="E10" s="185" t="s">
        <v>1166</v>
      </c>
      <c r="F10" s="214">
        <f>COUNTIFS('reductions data'!B:B,'cluster reductions'!A6,'reductions data'!K:K,"ACTIVE")</f>
        <v>0</v>
      </c>
    </row>
    <row r="11" spans="1:17" x14ac:dyDescent="0.3">
      <c r="A11" s="113" t="s">
        <v>876</v>
      </c>
      <c r="B11" s="89">
        <f>COUNTIFS('reductions data'!B:B,$A$6,'reductions data'!G:G,A11)</f>
        <v>0</v>
      </c>
      <c r="C11" s="90">
        <f>SUMIFS('reductions data'!H:H,'reductions data'!B:B,$A$6,'reductions data'!G:G,A11)</f>
        <v>0</v>
      </c>
      <c r="E11" s="185" t="s">
        <v>1167</v>
      </c>
      <c r="F11" s="214">
        <f>SUMIF('reductions data'!B:B,'cluster reductions'!A6,'reductions data'!H:H)</f>
        <v>0</v>
      </c>
    </row>
    <row r="12" spans="1:17" x14ac:dyDescent="0.3">
      <c r="A12" s="113" t="s">
        <v>875</v>
      </c>
      <c r="B12" s="89">
        <f>COUNTIFS('reductions data'!B:B,$A$6,'reductions data'!G:G,A12)</f>
        <v>0</v>
      </c>
      <c r="C12" s="90">
        <f>SUMIFS('reductions data'!H:H,'reductions data'!B:B,$A$6,'reductions data'!G:G,A12)</f>
        <v>0</v>
      </c>
      <c r="E12" s="72" t="s">
        <v>1168</v>
      </c>
      <c r="F12" s="214">
        <f>SUMIF('capacity data'!B:B,'cluster reductions'!A6,'capacity data'!I:I)</f>
        <v>0</v>
      </c>
    </row>
    <row r="13" spans="1:17" x14ac:dyDescent="0.3">
      <c r="A13" s="113" t="s">
        <v>877</v>
      </c>
      <c r="B13" s="89">
        <f>COUNTIFS('reductions data'!B:B,$A$6,'reductions data'!G:G,A13)</f>
        <v>0</v>
      </c>
      <c r="C13" s="90">
        <f>SUMIFS('reductions data'!H:H,'reductions data'!B:B,$A$6,'reductions data'!G:G,A13)</f>
        <v>0</v>
      </c>
      <c r="E13" s="72" t="s">
        <v>1169</v>
      </c>
      <c r="F13" s="92" t="e">
        <f>F11/F12</f>
        <v>#DIV/0!</v>
      </c>
    </row>
    <row r="14" spans="1:17" x14ac:dyDescent="0.3">
      <c r="A14" s="113" t="s">
        <v>878</v>
      </c>
      <c r="B14" s="89">
        <f>COUNTIFS('reductions data'!B:B,$A$6,'reductions data'!G:G,A14)</f>
        <v>0</v>
      </c>
      <c r="C14" s="90">
        <f>SUMIFS('reductions data'!H:H,'reductions data'!B:B,$A$6,'reductions data'!G:G,A14)</f>
        <v>0</v>
      </c>
      <c r="E14" s="186" t="s">
        <v>970</v>
      </c>
      <c r="F14" s="211" t="e">
        <f>+F13-'div &amp; regional reduction hours'!N18</f>
        <v>#DIV/0!</v>
      </c>
    </row>
    <row r="15" spans="1:17" x14ac:dyDescent="0.3">
      <c r="A15" s="113" t="s">
        <v>879</v>
      </c>
      <c r="B15" s="89">
        <f>COUNTIFS('reductions data'!B:B,$A$6,'reductions data'!G:G,A15)</f>
        <v>0</v>
      </c>
      <c r="C15" s="90">
        <f>SUMIFS('reductions data'!H:H,'reductions data'!B:B,$A$6,'reductions data'!G:G,A15)</f>
        <v>0</v>
      </c>
    </row>
    <row r="16" spans="1:17" x14ac:dyDescent="0.3">
      <c r="A16" s="113" t="s">
        <v>880</v>
      </c>
      <c r="B16" s="89">
        <f>COUNTIFS('reductions data'!B:B,$A$6,'reductions data'!G:G,A16)</f>
        <v>0</v>
      </c>
      <c r="C16" s="90">
        <f>SUMIFS('reductions data'!H:H,'reductions data'!B:B,$A$6,'reductions data'!G:G,A16)</f>
        <v>0</v>
      </c>
    </row>
    <row r="17" spans="1:3" x14ac:dyDescent="0.3">
      <c r="A17" s="113" t="s">
        <v>1238</v>
      </c>
      <c r="B17" s="89">
        <f>COUNTIFS('reductions data'!B:B,$A$6,'reductions data'!G:G,A17)</f>
        <v>0</v>
      </c>
      <c r="C17" s="90">
        <f>SUMIFS('reductions data'!H:H,'reductions data'!B:B,$A$6,'reductions data'!G:G,A17)</f>
        <v>0</v>
      </c>
    </row>
    <row r="18" spans="1:3" x14ac:dyDescent="0.3">
      <c r="A18" s="113" t="s">
        <v>881</v>
      </c>
      <c r="B18" s="89">
        <f>COUNTIFS('reductions data'!B:B,$A$6,'reductions data'!G:G,A18)</f>
        <v>0</v>
      </c>
      <c r="C18" s="90">
        <f>SUMIFS('reductions data'!H:H,'reductions data'!B:B,$A$6,'reductions data'!G:G,A18)</f>
        <v>0</v>
      </c>
    </row>
    <row r="19" spans="1:3" x14ac:dyDescent="0.3">
      <c r="A19" s="113" t="s">
        <v>882</v>
      </c>
      <c r="B19" s="89">
        <f>COUNTIFS('reductions data'!B:B,$A$6,'reductions data'!G:G,A19)</f>
        <v>0</v>
      </c>
      <c r="C19" s="90">
        <f>SUMIFS('reductions data'!H:H,'reductions data'!B:B,$A$6,'reductions data'!G:G,A19)</f>
        <v>0</v>
      </c>
    </row>
    <row r="20" spans="1:3" x14ac:dyDescent="0.3">
      <c r="A20" s="113" t="s">
        <v>883</v>
      </c>
      <c r="B20" s="89">
        <f>COUNTIFS('reductions data'!B:B,$A$6,'reductions data'!G:G,A20)</f>
        <v>0</v>
      </c>
      <c r="C20" s="90">
        <f>SUMIFS('reductions data'!H:H,'reductions data'!B:B,$A$6,'reductions data'!G:G,A20)</f>
        <v>0</v>
      </c>
    </row>
    <row r="21" spans="1:3" x14ac:dyDescent="0.3">
      <c r="A21" s="113" t="s">
        <v>884</v>
      </c>
      <c r="B21" s="89">
        <f>COUNTIFS('reductions data'!B:B,$A$6,'reductions data'!G:G,A21)</f>
        <v>0</v>
      </c>
      <c r="C21" s="90">
        <f>SUMIFS('reductions data'!H:H,'reductions data'!B:B,$A$6,'reductions data'!G:G,A21)</f>
        <v>0</v>
      </c>
    </row>
    <row r="22" spans="1:3" x14ac:dyDescent="0.3">
      <c r="A22" s="113" t="s">
        <v>885</v>
      </c>
      <c r="B22" s="89">
        <f>COUNTIFS('reductions data'!B:B,$A$6,'reductions data'!G:G,A22)</f>
        <v>0</v>
      </c>
      <c r="C22" s="90">
        <f>SUMIFS('reductions data'!H:H,'reductions data'!B:B,$A$6,'reductions data'!G:G,A22)</f>
        <v>0</v>
      </c>
    </row>
    <row r="23" spans="1:3" x14ac:dyDescent="0.3">
      <c r="A23" s="113" t="s">
        <v>887</v>
      </c>
      <c r="B23" s="89">
        <f>COUNTIFS('reductions data'!B:B,$A$6,'reductions data'!G:G,A23)</f>
        <v>0</v>
      </c>
      <c r="C23" s="90">
        <f>SUMIFS('reductions data'!H:H,'reductions data'!B:B,$A$6,'reductions data'!G:G,A23)</f>
        <v>0</v>
      </c>
    </row>
    <row r="24" spans="1:3" x14ac:dyDescent="0.3">
      <c r="A24" s="113" t="s">
        <v>890</v>
      </c>
      <c r="B24" s="89">
        <f>COUNTIFS('reductions data'!B:B,$A$6,'reductions data'!G:G,A24)</f>
        <v>0</v>
      </c>
      <c r="C24" s="90">
        <f>SUMIFS('reductions data'!H:H,'reductions data'!B:B,$A$6,'reductions data'!G:G,A24)</f>
        <v>0</v>
      </c>
    </row>
    <row r="25" spans="1:3" x14ac:dyDescent="0.3">
      <c r="A25" s="113" t="s">
        <v>886</v>
      </c>
      <c r="B25" s="89">
        <f>COUNTIFS('reductions data'!B:B,$A$6,'reductions data'!G:G,A25)</f>
        <v>0</v>
      </c>
      <c r="C25" s="90">
        <f>SUMIFS('reductions data'!H:H,'reductions data'!B:B,$A$6,'reductions data'!G:G,A25)</f>
        <v>0</v>
      </c>
    </row>
    <row r="26" spans="1:3" x14ac:dyDescent="0.3">
      <c r="A26" s="113" t="s">
        <v>971</v>
      </c>
      <c r="B26" s="89">
        <f>COUNTIFS('reductions data'!B:B,$A$6,'reductions data'!G:G,A26)</f>
        <v>0</v>
      </c>
      <c r="C26" s="90">
        <f>SUMIFS('reductions data'!H:H,'reductions data'!B:B,$A$6,'reductions data'!G:G,A26)</f>
        <v>0</v>
      </c>
    </row>
    <row r="27" spans="1:3" x14ac:dyDescent="0.3">
      <c r="A27" s="113" t="s">
        <v>891</v>
      </c>
      <c r="B27" s="89">
        <f>COUNTIFS('reductions data'!B:B,$A$6,'reductions data'!G:G,A27)</f>
        <v>0</v>
      </c>
      <c r="C27" s="90">
        <f>SUMIFS('reductions data'!H:H,'reductions data'!B:B,$A$6,'reductions data'!G:G,A27)</f>
        <v>0</v>
      </c>
    </row>
    <row r="28" spans="1:3" x14ac:dyDescent="0.3">
      <c r="A28" s="113" t="s">
        <v>892</v>
      </c>
      <c r="B28" s="89">
        <f>COUNTIFS('reductions data'!B:B,$A$6,'reductions data'!G:G,A28)</f>
        <v>0</v>
      </c>
      <c r="C28" s="90">
        <f>SUMIFS('reductions data'!H:H,'reductions data'!B:B,$A$6,'reductions data'!G:G,A28)</f>
        <v>0</v>
      </c>
    </row>
    <row r="29" spans="1:3" x14ac:dyDescent="0.3">
      <c r="A29" s="113" t="s">
        <v>893</v>
      </c>
      <c r="B29" s="89">
        <f>COUNTIFS('reductions data'!B:B,$A$6,'reductions data'!G:G,A29)</f>
        <v>0</v>
      </c>
      <c r="C29" s="90">
        <f>SUMIFS('reductions data'!H:H,'reductions data'!B:B,$A$6,'reductions data'!G:G,A29)</f>
        <v>0</v>
      </c>
    </row>
    <row r="30" spans="1:3" x14ac:dyDescent="0.3">
      <c r="A30" s="113" t="s">
        <v>894</v>
      </c>
      <c r="B30" s="89">
        <f>COUNTIFS('reductions data'!B:B,$A$6,'reductions data'!G:G,A30)</f>
        <v>0</v>
      </c>
      <c r="C30" s="90">
        <f>SUMIFS('reductions data'!H:H,'reductions data'!B:B,$A$6,'reductions data'!G:G,A30)</f>
        <v>0</v>
      </c>
    </row>
    <row r="31" spans="1:3" x14ac:dyDescent="0.3">
      <c r="A31" s="113" t="s">
        <v>895</v>
      </c>
      <c r="B31" s="89">
        <f>COUNTIFS('reductions data'!B:B,$A$6,'reductions data'!G:G,A31)</f>
        <v>0</v>
      </c>
      <c r="C31" s="90">
        <f>SUMIFS('reductions data'!H:H,'reductions data'!B:B,$A$6,'reductions data'!G:G,A31)</f>
        <v>0</v>
      </c>
    </row>
    <row r="32" spans="1:3" x14ac:dyDescent="0.3">
      <c r="A32" s="113" t="s">
        <v>896</v>
      </c>
      <c r="B32" s="89">
        <f>COUNTIFS('reductions data'!B:B,$A$6,'reductions data'!G:G,A32)</f>
        <v>0</v>
      </c>
      <c r="C32" s="90">
        <f>SUMIFS('reductions data'!H:H,'reductions data'!B:B,$A$6,'reductions data'!G:G,A32)</f>
        <v>0</v>
      </c>
    </row>
    <row r="33" spans="1:3" x14ac:dyDescent="0.3">
      <c r="A33" s="113" t="s">
        <v>897</v>
      </c>
      <c r="B33" s="89">
        <f>COUNTIFS('reductions data'!B:B,$A$6,'reductions data'!G:G,A33)</f>
        <v>0</v>
      </c>
      <c r="C33" s="90">
        <f>SUMIFS('reductions data'!H:H,'reductions data'!B:B,$A$6,'reductions data'!G:G,A33)</f>
        <v>0</v>
      </c>
    </row>
    <row r="34" spans="1:3" x14ac:dyDescent="0.3">
      <c r="A34" s="113" t="s">
        <v>1231</v>
      </c>
      <c r="B34" s="89">
        <f>COUNTIFS('reductions data'!B:B,$A$6,'reductions data'!G:G,A34)</f>
        <v>0</v>
      </c>
      <c r="C34" s="90">
        <f>SUMIFS('reductions data'!H:H,'reductions data'!B:B,$A$6,'reductions data'!G:G,A34)</f>
        <v>0</v>
      </c>
    </row>
    <row r="35" spans="1:3" x14ac:dyDescent="0.3">
      <c r="A35" s="113" t="s">
        <v>1232</v>
      </c>
      <c r="B35" s="89">
        <f>COUNTIFS('reductions data'!B:B,$A$6,'reductions data'!G:G,A35)</f>
        <v>0</v>
      </c>
      <c r="C35" s="90">
        <f>SUMIFS('reductions data'!H:H,'reductions data'!B:B,$A$6,'reductions data'!G:G,A35)</f>
        <v>0</v>
      </c>
    </row>
    <row r="36" spans="1:3" x14ac:dyDescent="0.3">
      <c r="A36" s="322" t="s">
        <v>1229</v>
      </c>
      <c r="B36" s="89">
        <f>COUNTIFS('reductions data'!B:B,$A$6,'reductions data'!G:G,A36)</f>
        <v>0</v>
      </c>
      <c r="C36" s="90">
        <f>SUMIFS('reductions data'!H:H,'reductions data'!B:B,$A$6,'reductions data'!G:G,A36)</f>
        <v>0</v>
      </c>
    </row>
    <row r="37" spans="1:3" x14ac:dyDescent="0.3">
      <c r="A37" s="322" t="s">
        <v>1230</v>
      </c>
      <c r="B37" s="89">
        <f>COUNTIFS('reductions data'!B:B,$A$6,'reductions data'!G:G,A37)</f>
        <v>0</v>
      </c>
      <c r="C37" s="90">
        <f>SUMIFS('reductions data'!H:H,'reductions data'!B:B,$A$6,'reductions data'!G:G,A37)</f>
        <v>0</v>
      </c>
    </row>
    <row r="38" spans="1:3" x14ac:dyDescent="0.3">
      <c r="A38" s="322" t="s">
        <v>1239</v>
      </c>
      <c r="B38" s="89">
        <f>COUNTIFS('reductions data'!B:B,$A$6,'reductions data'!G:G,A38)</f>
        <v>0</v>
      </c>
      <c r="C38" s="90">
        <f>SUMIFS('reductions data'!H:H,'reductions data'!B:B,$A$6,'reductions data'!G:G,A38)</f>
        <v>0</v>
      </c>
    </row>
    <row r="39" spans="1:3" x14ac:dyDescent="0.3">
      <c r="A39" s="112" t="s">
        <v>1233</v>
      </c>
      <c r="B39" s="89">
        <f>COUNTIFS('reductions data'!B:B,$A$6,'reductions data'!G:G,A39)</f>
        <v>0</v>
      </c>
      <c r="C39" s="90">
        <f>SUMIFS('reductions data'!H:H,'reductions data'!B:B,$A$6,'reductions data'!G:G,A39)</f>
        <v>0</v>
      </c>
    </row>
    <row r="40" spans="1:3" x14ac:dyDescent="0.3">
      <c r="A40" s="113" t="s">
        <v>1234</v>
      </c>
      <c r="B40" s="89">
        <f>COUNTIFS('reductions data'!B:B,$A$6,'reductions data'!G:G,A40)</f>
        <v>0</v>
      </c>
      <c r="C40" s="90">
        <f>SUMIFS('reductions data'!H:H,'reductions data'!B:B,$A$6,'reductions data'!G:G,A40)</f>
        <v>0</v>
      </c>
    </row>
    <row r="41" spans="1:3" x14ac:dyDescent="0.3">
      <c r="A41" s="113" t="s">
        <v>899</v>
      </c>
      <c r="B41" s="89">
        <f>COUNTIFS('reductions data'!B:B,$A$6,'reductions data'!G:G,A41)</f>
        <v>0</v>
      </c>
      <c r="C41" s="90">
        <f>SUMIFS('reductions data'!H:H,'reductions data'!B:B,$A$6,'reductions data'!G:G,A41)</f>
        <v>0</v>
      </c>
    </row>
    <row r="42" spans="1:3" x14ac:dyDescent="0.3">
      <c r="A42" s="113" t="s">
        <v>900</v>
      </c>
      <c r="B42" s="89">
        <f>COUNTIFS('reductions data'!B:B,$A$6,'reductions data'!G:G,A42)</f>
        <v>0</v>
      </c>
      <c r="C42" s="90">
        <f>SUMIFS('reductions data'!H:H,'reductions data'!B:B,$A$6,'reductions data'!G:G,A42)</f>
        <v>0</v>
      </c>
    </row>
    <row r="43" spans="1:3" x14ac:dyDescent="0.3">
      <c r="A43" s="113" t="s">
        <v>901</v>
      </c>
      <c r="B43" s="89">
        <f>COUNTIFS('reductions data'!B:B,$A$6,'reductions data'!G:G,A43)</f>
        <v>0</v>
      </c>
      <c r="C43" s="90">
        <f>SUMIFS('reductions data'!H:H,'reductions data'!B:B,$A$6,'reductions data'!G:G,A43)</f>
        <v>0</v>
      </c>
    </row>
    <row r="44" spans="1:3" x14ac:dyDescent="0.3">
      <c r="A44" s="322" t="s">
        <v>1235</v>
      </c>
      <c r="B44" s="89">
        <f>COUNTIFS('reductions data'!B:B,$A$6,'reductions data'!G:G,A44)</f>
        <v>0</v>
      </c>
      <c r="C44" s="90">
        <f>SUMIFS('reductions data'!H:H,'reductions data'!B:B,$A$6,'reductions data'!G:G,A44)</f>
        <v>0</v>
      </c>
    </row>
    <row r="45" spans="1:3" x14ac:dyDescent="0.3">
      <c r="A45" s="322" t="s">
        <v>1236</v>
      </c>
      <c r="B45" s="89">
        <f>COUNTIFS('reductions data'!B:B,$A$6,'reductions data'!G:G,A45)</f>
        <v>0</v>
      </c>
      <c r="C45" s="90">
        <f>SUMIFS('reductions data'!H:H,'reductions data'!B:B,$A$6,'reductions data'!G:G,A45)</f>
        <v>0</v>
      </c>
    </row>
    <row r="46" spans="1:3" x14ac:dyDescent="0.3">
      <c r="A46" s="322" t="s">
        <v>1240</v>
      </c>
      <c r="B46" s="78">
        <f>COUNTIFS('reductions data'!B:B,$A$6,'reductions data'!G:G,A46)</f>
        <v>0</v>
      </c>
      <c r="C46" s="214">
        <f>SUMIFS('reductions data'!H:H,'reductions data'!B:B,$A$6,'reductions data'!G:G,A46)</f>
        <v>0</v>
      </c>
    </row>
    <row r="47" spans="1:3" x14ac:dyDescent="0.3">
      <c r="A47" s="113" t="s">
        <v>902</v>
      </c>
      <c r="B47" s="78">
        <f>COUNTIFS('reductions data'!B:B,$A$6,'reductions data'!G:G,A47)</f>
        <v>0</v>
      </c>
      <c r="C47" s="394">
        <f>SUMIFS('reductions data'!H:H,'reductions data'!B:B,$A$6,'reductions data'!G:G,A47)</f>
        <v>0</v>
      </c>
    </row>
    <row r="48" spans="1:3" x14ac:dyDescent="0.3">
      <c r="A48" s="113" t="s">
        <v>903</v>
      </c>
      <c r="B48" s="78">
        <f>COUNTIFS('reductions data'!B:B,$A$6,'reductions data'!G:G,A48)</f>
        <v>0</v>
      </c>
      <c r="C48" s="394">
        <f>SUMIFS('reductions data'!H:H,'reductions data'!B:B,$A$6,'reductions data'!G:G,A48)</f>
        <v>0</v>
      </c>
    </row>
    <row r="49" spans="1:3" x14ac:dyDescent="0.3">
      <c r="A49" s="113" t="s">
        <v>904</v>
      </c>
      <c r="B49" s="326">
        <f>COUNTIFS('reductions data'!B:B,$A$6,'reductions data'!G:G,A49)</f>
        <v>0</v>
      </c>
      <c r="C49" s="214">
        <f>SUMIFS('reductions data'!H:H,'reductions data'!B:B,$A$6,'reductions data'!G:G,A49)</f>
        <v>0</v>
      </c>
    </row>
    <row r="50" spans="1:3" x14ac:dyDescent="0.3">
      <c r="A50" s="113" t="s">
        <v>898</v>
      </c>
      <c r="B50" s="326">
        <f>COUNTIFS('reductions data'!B:B,$A$6,'reductions data'!G:G,A50)</f>
        <v>0</v>
      </c>
      <c r="C50" s="214">
        <f>SUMIFS('reductions data'!H:H,'reductions data'!B:B,$A$6,'reductions data'!G:G,A50)</f>
        <v>0</v>
      </c>
    </row>
    <row r="51" spans="1:3" x14ac:dyDescent="0.3">
      <c r="A51" s="113" t="s">
        <v>905</v>
      </c>
      <c r="B51" s="326">
        <f>COUNTIFS('reductions data'!B:B,$A$6,'reductions data'!G:G,A51)</f>
        <v>0</v>
      </c>
      <c r="C51" s="214">
        <f>SUMIFS('reductions data'!H:H,'reductions data'!B:B,$A$6,'reductions data'!G:G,A51)</f>
        <v>0</v>
      </c>
    </row>
    <row r="52" spans="1:3" x14ac:dyDescent="0.3">
      <c r="A52" s="112" t="s">
        <v>906</v>
      </c>
      <c r="B52" s="78">
        <f>COUNTIFS('reductions data'!B:B,$A$6,'reductions data'!G:G,A52)</f>
        <v>0</v>
      </c>
      <c r="C52" s="214">
        <f>SUMIFS('reductions data'!H:H,'reductions data'!B:B,$A$6,'reductions data'!G:G,A52)</f>
        <v>0</v>
      </c>
    </row>
    <row r="53" spans="1:3" x14ac:dyDescent="0.3">
      <c r="A53" s="113" t="s">
        <v>907</v>
      </c>
      <c r="B53" s="78">
        <f>COUNTIFS('reductions data'!B:B,$A$6,'reductions data'!G:G,A53)</f>
        <v>0</v>
      </c>
      <c r="C53" s="314">
        <f>SUMIFS('reductions data'!H:H,'reductions data'!B:B,$A$6,'reductions data'!G:G,A53)</f>
        <v>0</v>
      </c>
    </row>
    <row r="54" spans="1:3" x14ac:dyDescent="0.3">
      <c r="A54" s="113" t="s">
        <v>908</v>
      </c>
      <c r="B54" s="78">
        <f>COUNTIFS('reductions data'!B:B,$A$6,'reductions data'!G:G,A54)</f>
        <v>0</v>
      </c>
      <c r="C54" s="314">
        <f>SUMIFS('reductions data'!H:H,'reductions data'!B:B,$A$6,'reductions data'!G:G,A54)</f>
        <v>0</v>
      </c>
    </row>
    <row r="55" spans="1:3" x14ac:dyDescent="0.3">
      <c r="A55" s="113" t="s">
        <v>909</v>
      </c>
      <c r="B55" s="78">
        <f>COUNTIFS('reductions data'!B:B,$A$6,'reductions data'!G:G,A55)</f>
        <v>0</v>
      </c>
      <c r="C55" s="314">
        <f>SUMIFS('reductions data'!H:H,'reductions data'!B:B,$A$6,'reductions data'!G:G,A55)</f>
        <v>0</v>
      </c>
    </row>
    <row r="56" spans="1:3" x14ac:dyDescent="0.3">
      <c r="A56" s="113" t="s">
        <v>910</v>
      </c>
      <c r="B56" s="78">
        <f>COUNTIFS('reductions data'!B:B,$A$6,'reductions data'!G:G,A56)</f>
        <v>0</v>
      </c>
      <c r="C56" s="214">
        <f>SUMIFS('reductions data'!H:H,'reductions data'!B:B,$A$6,'reductions data'!G:G,A56)</f>
        <v>0</v>
      </c>
    </row>
    <row r="57" spans="1:3" x14ac:dyDescent="0.3">
      <c r="A57" s="113" t="s">
        <v>911</v>
      </c>
      <c r="B57" s="78">
        <f>COUNTIFS('reductions data'!B:B,$A$6,'reductions data'!G:G,A57)</f>
        <v>0</v>
      </c>
      <c r="C57" s="214">
        <f>SUMIFS('reductions data'!H:H,'reductions data'!B:B,$A$6,'reductions data'!G:G,A57)</f>
        <v>0</v>
      </c>
    </row>
    <row r="58" spans="1:3" x14ac:dyDescent="0.3">
      <c r="A58" s="113" t="s">
        <v>912</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I24" sqref="I24"/>
    </sheetView>
  </sheetViews>
  <sheetFormatPr defaultColWidth="9.1796875" defaultRowHeight="15.5" x14ac:dyDescent="0.35"/>
  <cols>
    <col min="1" max="1" width="4.453125" style="1" customWidth="1"/>
    <col min="2" max="2" width="38.1796875" style="1" customWidth="1"/>
    <col min="3" max="3" width="13.81640625" style="2" bestFit="1" customWidth="1"/>
    <col min="4" max="4" width="12.81640625" style="2" customWidth="1"/>
    <col min="5" max="5" width="17.26953125" style="2" customWidth="1"/>
    <col min="6" max="6" width="14" style="2" customWidth="1"/>
    <col min="7" max="7" width="12.453125" style="2" customWidth="1"/>
    <col min="8" max="8" width="17.7265625" style="2" customWidth="1"/>
    <col min="9" max="9" width="13.453125" style="2" customWidth="1"/>
    <col min="10" max="10" width="12.453125" style="2" customWidth="1"/>
    <col min="11" max="11" width="16.81640625" style="2" customWidth="1"/>
    <col min="12" max="12" width="15" style="2" customWidth="1"/>
    <col min="13" max="13" width="13.453125" style="2" customWidth="1"/>
    <col min="14" max="14" width="16.7265625" style="2" customWidth="1"/>
    <col min="15" max="16384" width="9.1796875" style="1"/>
  </cols>
  <sheetData>
    <row r="1" spans="1:46" s="3" customFormat="1" ht="57" customHeight="1" x14ac:dyDescent="0.3">
      <c r="A1" s="537" t="s">
        <v>1170</v>
      </c>
      <c r="B1" s="537"/>
      <c r="C1" s="537"/>
      <c r="D1" s="537"/>
      <c r="E1" s="537"/>
      <c r="F1" s="537"/>
      <c r="G1" s="537"/>
      <c r="H1" s="537"/>
      <c r="I1" s="537"/>
      <c r="J1" s="537"/>
      <c r="K1" s="537"/>
      <c r="L1" s="537"/>
      <c r="M1" s="537"/>
      <c r="N1" s="537"/>
      <c r="O1" s="261"/>
      <c r="P1" s="26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35">
      <c r="A2" s="430"/>
      <c r="B2" s="430"/>
      <c r="C2" s="430"/>
      <c r="D2" s="430"/>
      <c r="E2" s="430"/>
      <c r="F2" s="430"/>
      <c r="G2" s="430"/>
      <c r="H2" s="430"/>
      <c r="I2" s="430"/>
      <c r="J2" s="430"/>
      <c r="K2" s="430"/>
      <c r="L2" s="430"/>
      <c r="M2" s="430"/>
      <c r="N2" s="430"/>
      <c r="O2" s="271"/>
      <c r="P2" s="271"/>
      <c r="Q2" s="5"/>
      <c r="R2" s="5"/>
    </row>
    <row r="3" spans="1:46" s="2" customFormat="1" ht="39" customHeight="1" thickBot="1" x14ac:dyDescent="0.4"/>
    <row r="4" spans="1:46" ht="28.5" customHeight="1" x14ac:dyDescent="0.35">
      <c r="B4" s="602" t="s">
        <v>1171</v>
      </c>
      <c r="C4" s="593" t="s">
        <v>979</v>
      </c>
      <c r="D4" s="594"/>
      <c r="E4" s="595"/>
      <c r="F4" s="596" t="s">
        <v>984</v>
      </c>
      <c r="G4" s="597"/>
      <c r="H4" s="598"/>
      <c r="I4" s="599" t="s">
        <v>985</v>
      </c>
      <c r="J4" s="600"/>
      <c r="K4" s="601"/>
      <c r="L4" s="594" t="s">
        <v>1172</v>
      </c>
      <c r="M4" s="594"/>
      <c r="N4" s="595"/>
      <c r="P4" s="5"/>
      <c r="Q4" s="5"/>
      <c r="R4" s="5"/>
    </row>
    <row r="5" spans="1:46" ht="42" x14ac:dyDescent="0.35">
      <c r="B5" s="603"/>
      <c r="C5" s="187" t="s">
        <v>1173</v>
      </c>
      <c r="D5" s="37" t="s">
        <v>1174</v>
      </c>
      <c r="E5" s="188" t="s">
        <v>1175</v>
      </c>
      <c r="F5" s="275" t="s">
        <v>1173</v>
      </c>
      <c r="G5" s="276" t="s">
        <v>1174</v>
      </c>
      <c r="H5" s="277" t="s">
        <v>1175</v>
      </c>
      <c r="I5" s="272" t="s">
        <v>1173</v>
      </c>
      <c r="J5" s="273" t="s">
        <v>1174</v>
      </c>
      <c r="K5" s="274" t="s">
        <v>1175</v>
      </c>
      <c r="L5" s="202" t="s">
        <v>1173</v>
      </c>
      <c r="M5" s="37" t="s">
        <v>1176</v>
      </c>
      <c r="N5" s="188" t="s">
        <v>1175</v>
      </c>
    </row>
    <row r="6" spans="1:46" ht="21" customHeight="1" x14ac:dyDescent="0.35">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35">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35">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35">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35">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35">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35">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35">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35">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35">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35">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35">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4">
      <c r="B18" s="195" t="s">
        <v>1161</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35">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defaultColWidth="9.1796875" defaultRowHeight="14" x14ac:dyDescent="0.3"/>
  <cols>
    <col min="1" max="1" width="15.453125" style="3" customWidth="1"/>
    <col min="2" max="2" width="26.453125" style="3" customWidth="1"/>
    <col min="3" max="3" width="24" style="3" customWidth="1"/>
    <col min="4" max="4" width="52.81640625" style="3" customWidth="1"/>
    <col min="5" max="5" width="14.453125" style="3" customWidth="1"/>
    <col min="6" max="6" width="10.81640625" style="3" customWidth="1"/>
    <col min="7" max="9" width="10.453125" style="3" customWidth="1"/>
    <col min="10" max="10" width="11.453125" style="3" customWidth="1"/>
    <col min="11" max="12" width="9.1796875" style="3" customWidth="1"/>
    <col min="13" max="13" width="12" style="3" customWidth="1"/>
    <col min="14" max="14" width="11.453125" style="3" customWidth="1"/>
    <col min="15" max="15" width="3.453125" style="3" customWidth="1"/>
    <col min="16" max="17" width="22.453125" style="3" bestFit="1" customWidth="1"/>
    <col min="18" max="18" width="32.453125" style="3" bestFit="1" customWidth="1"/>
    <col min="19" max="19" width="14.453125" style="3" bestFit="1" customWidth="1"/>
    <col min="20" max="20" width="12.453125" style="3" bestFit="1" customWidth="1"/>
    <col min="21" max="23" width="10.453125" style="3" bestFit="1" customWidth="1"/>
    <col min="24" max="24" width="11.453125" style="3" bestFit="1" customWidth="1"/>
    <col min="25" max="25" width="10" style="3" bestFit="1" customWidth="1"/>
    <col min="26" max="26" width="9.1796875" style="3"/>
    <col min="27" max="27" width="3.453125" style="3" customWidth="1"/>
    <col min="28" max="29" width="20.453125" style="3" customWidth="1"/>
    <col min="30" max="30" width="37.453125" style="3" customWidth="1"/>
    <col min="31" max="31" width="14.453125" style="3" bestFit="1" customWidth="1"/>
    <col min="32" max="32" width="11.453125" style="3" bestFit="1" customWidth="1"/>
    <col min="33" max="35" width="10.453125" style="3" bestFit="1" customWidth="1"/>
    <col min="36" max="36" width="11.453125" style="3" bestFit="1" customWidth="1"/>
    <col min="37" max="41" width="9.1796875" style="3"/>
    <col min="42" max="42" width="5.453125" style="3" customWidth="1"/>
    <col min="43" max="43" width="9.1796875" style="3"/>
    <col min="44" max="44" width="255.453125" style="3" customWidth="1"/>
    <col min="45" max="45" width="127.453125" style="3" customWidth="1"/>
    <col min="46" max="46" width="16.453125" style="3" bestFit="1" customWidth="1"/>
    <col min="47" max="48" width="10" style="3" bestFit="1" customWidth="1"/>
    <col min="49" max="49" width="9.453125" style="3" bestFit="1" customWidth="1"/>
    <col min="50" max="53" width="10" style="3" bestFit="1" customWidth="1"/>
    <col min="54" max="16384" width="9.1796875" style="3"/>
  </cols>
  <sheetData>
    <row r="1" spans="1:52" ht="82.5" customHeight="1" x14ac:dyDescent="0.3">
      <c r="A1" s="604" t="s">
        <v>1177</v>
      </c>
      <c r="B1" s="604"/>
      <c r="C1" s="604"/>
      <c r="D1" s="604"/>
      <c r="E1" s="604"/>
      <c r="F1" s="604"/>
      <c r="G1" s="604"/>
      <c r="H1" s="604"/>
      <c r="I1" s="604"/>
      <c r="J1" s="604"/>
      <c r="K1" s="604"/>
      <c r="L1" s="604"/>
      <c r="M1" s="604"/>
      <c r="N1" s="604"/>
      <c r="O1" s="604"/>
      <c r="P1" s="604"/>
      <c r="Q1" s="604"/>
      <c r="R1" s="604"/>
      <c r="S1" s="604"/>
      <c r="T1" s="604"/>
    </row>
    <row r="2" spans="1:52" s="1" customFormat="1" ht="59.25" customHeight="1" x14ac:dyDescent="0.35">
      <c r="A2" s="605" t="s">
        <v>1178</v>
      </c>
      <c r="B2" s="605"/>
      <c r="C2" s="606" t="e">
        <f>home!#REF!</f>
        <v>#REF!</v>
      </c>
      <c r="D2" s="606"/>
      <c r="E2" s="606"/>
      <c r="F2" s="606"/>
      <c r="G2" s="606"/>
      <c r="H2" s="606"/>
      <c r="I2" s="606"/>
      <c r="J2" s="606"/>
      <c r="K2" s="606"/>
      <c r="L2" s="606"/>
      <c r="M2" s="606"/>
      <c r="N2" s="606"/>
      <c r="O2" s="606"/>
      <c r="P2" s="606"/>
      <c r="Q2" s="606"/>
      <c r="R2" s="606"/>
      <c r="S2" s="606"/>
      <c r="T2" s="606"/>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3">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3">
      <c r="A4" s="16"/>
      <c r="B4" s="16"/>
      <c r="C4" s="16"/>
      <c r="D4" s="16" t="s">
        <v>1179</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3"/>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defaultColWidth="9.1796875" defaultRowHeight="14" x14ac:dyDescent="0.3"/>
  <cols>
    <col min="1" max="1" width="15.453125" style="3" customWidth="1"/>
    <col min="2" max="2" width="26.453125" style="3" customWidth="1"/>
    <col min="3" max="3" width="24" style="3" customWidth="1"/>
    <col min="4" max="4" width="52.81640625" style="3" customWidth="1"/>
    <col min="5" max="5" width="14.453125" style="3" customWidth="1"/>
    <col min="6" max="6" width="10.81640625" style="3" customWidth="1"/>
    <col min="7" max="9" width="10.453125" style="3" customWidth="1"/>
    <col min="10" max="10" width="11.453125" style="3" customWidth="1"/>
    <col min="11" max="12" width="9.1796875" style="3" customWidth="1"/>
    <col min="13" max="13" width="12" style="3" customWidth="1"/>
    <col min="14" max="14" width="11.453125" style="3" customWidth="1"/>
    <col min="15" max="15" width="3.453125" style="3" customWidth="1"/>
    <col min="16" max="17" width="22.453125" style="3" bestFit="1" customWidth="1"/>
    <col min="18" max="18" width="32.453125" style="3" bestFit="1" customWidth="1"/>
    <col min="19" max="19" width="14.453125" style="3" bestFit="1" customWidth="1"/>
    <col min="20" max="20" width="12.453125" style="3" bestFit="1" customWidth="1"/>
    <col min="21" max="23" width="10.453125" style="3" bestFit="1" customWidth="1"/>
    <col min="24" max="24" width="11.453125" style="3" bestFit="1" customWidth="1"/>
    <col min="25" max="25" width="10" style="3" bestFit="1" customWidth="1"/>
    <col min="26" max="26" width="9.1796875" style="3"/>
    <col min="27" max="27" width="3.453125" style="3" customWidth="1"/>
    <col min="28" max="29" width="20.453125" style="3" customWidth="1"/>
    <col min="30" max="30" width="37.453125" style="3" customWidth="1"/>
    <col min="31" max="31" width="14.453125" style="3" bestFit="1" customWidth="1"/>
    <col min="32" max="32" width="11.453125" style="3" bestFit="1" customWidth="1"/>
    <col min="33" max="35" width="10.453125" style="3" bestFit="1" customWidth="1"/>
    <col min="36" max="36" width="11.453125" style="3" bestFit="1" customWidth="1"/>
    <col min="37" max="41" width="9.1796875" style="3"/>
    <col min="42" max="42" width="5.453125" style="3" customWidth="1"/>
    <col min="43" max="43" width="9.1796875" style="3"/>
    <col min="44" max="44" width="255.453125" style="3" customWidth="1"/>
    <col min="45" max="45" width="127.453125" style="3" customWidth="1"/>
    <col min="46" max="46" width="16.453125" style="3" bestFit="1" customWidth="1"/>
    <col min="47" max="48" width="10" style="3" bestFit="1" customWidth="1"/>
    <col min="49" max="49" width="9.453125" style="3" bestFit="1" customWidth="1"/>
    <col min="50" max="53" width="10" style="3" bestFit="1" customWidth="1"/>
    <col min="54" max="16384" width="9.1796875" style="3"/>
  </cols>
  <sheetData>
    <row r="1" spans="1:52" ht="48" customHeight="1" x14ac:dyDescent="0.3">
      <c r="A1" s="607" t="s">
        <v>1180</v>
      </c>
      <c r="B1" s="607"/>
      <c r="C1" s="607"/>
      <c r="D1" s="607"/>
      <c r="E1" s="607"/>
      <c r="F1" s="607"/>
      <c r="G1" s="607"/>
      <c r="H1" s="607"/>
      <c r="I1" s="607"/>
      <c r="J1" s="607"/>
      <c r="K1" s="607"/>
      <c r="L1" s="607"/>
      <c r="M1" s="607"/>
      <c r="N1" s="607"/>
      <c r="O1" s="607"/>
      <c r="P1" s="607"/>
      <c r="Q1" s="607"/>
      <c r="R1" s="607"/>
      <c r="S1" s="607"/>
      <c r="T1" s="607"/>
    </row>
    <row r="2" spans="1:52" s="1" customFormat="1" ht="36.75" customHeight="1" x14ac:dyDescent="0.35">
      <c r="A2" s="608" t="s">
        <v>1178</v>
      </c>
      <c r="B2" s="608"/>
      <c r="C2" s="609" t="e">
        <f>home!#REF!</f>
        <v>#REF!</v>
      </c>
      <c r="D2" s="609"/>
      <c r="E2" s="609"/>
      <c r="F2" s="609"/>
      <c r="G2" s="609"/>
      <c r="H2" s="609"/>
      <c r="I2" s="609"/>
      <c r="J2" s="609"/>
      <c r="K2" s="609"/>
      <c r="L2" s="609"/>
      <c r="M2" s="609"/>
      <c r="N2" s="609"/>
      <c r="O2" s="609"/>
      <c r="P2" s="609"/>
      <c r="Q2" s="609"/>
      <c r="R2" s="609"/>
      <c r="S2" s="609"/>
      <c r="T2" s="60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3">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3">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3"/>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defaultColWidth="9.1796875" defaultRowHeight="14" x14ac:dyDescent="0.3"/>
  <cols>
    <col min="1" max="1" width="15.453125" style="3" customWidth="1"/>
    <col min="2" max="2" width="26.453125" style="3" customWidth="1"/>
    <col min="3" max="3" width="24" style="3" customWidth="1"/>
    <col min="4" max="4" width="52.81640625" style="3" customWidth="1"/>
    <col min="5" max="5" width="14.453125" style="3" customWidth="1"/>
    <col min="6" max="6" width="10.81640625" style="3" customWidth="1"/>
    <col min="7" max="9" width="10.453125" style="3" customWidth="1"/>
    <col min="10" max="10" width="11.453125" style="3" customWidth="1"/>
    <col min="11" max="12" width="9.1796875" style="3" customWidth="1"/>
    <col min="13" max="13" width="12" style="3" customWidth="1"/>
    <col min="14" max="14" width="11.453125" style="3" customWidth="1"/>
    <col min="15" max="15" width="3.453125" style="3" customWidth="1"/>
    <col min="16" max="17" width="22.453125" style="3" bestFit="1" customWidth="1"/>
    <col min="18" max="18" width="32.453125" style="3" bestFit="1" customWidth="1"/>
    <col min="19" max="19" width="14.453125" style="3" bestFit="1" customWidth="1"/>
    <col min="20" max="20" width="12.453125" style="3" bestFit="1" customWidth="1"/>
    <col min="21" max="23" width="10.453125" style="3" bestFit="1" customWidth="1"/>
    <col min="24" max="24" width="11.453125" style="3" bestFit="1" customWidth="1"/>
    <col min="25" max="25" width="10" style="3" bestFit="1" customWidth="1"/>
    <col min="26" max="26" width="9.1796875" style="3"/>
    <col min="27" max="27" width="3.453125" style="3" customWidth="1"/>
    <col min="28" max="29" width="20.453125" style="3" customWidth="1"/>
    <col min="30" max="30" width="37.453125" style="3" customWidth="1"/>
    <col min="31" max="31" width="14.453125" style="3" bestFit="1" customWidth="1"/>
    <col min="32" max="32" width="11.453125" style="3" bestFit="1" customWidth="1"/>
    <col min="33" max="35" width="10.453125" style="3" bestFit="1" customWidth="1"/>
    <col min="36" max="36" width="11.453125" style="3" bestFit="1" customWidth="1"/>
    <col min="37" max="41" width="9.1796875" style="3"/>
    <col min="42" max="42" width="5.453125" style="3" customWidth="1"/>
    <col min="43" max="43" width="9.1796875" style="3"/>
    <col min="44" max="44" width="255.453125" style="3" customWidth="1"/>
    <col min="45" max="45" width="127.453125" style="3" customWidth="1"/>
    <col min="46" max="46" width="16.453125" style="3" bestFit="1" customWidth="1"/>
    <col min="47" max="48" width="10" style="3" bestFit="1" customWidth="1"/>
    <col min="49" max="49" width="9.453125" style="3" bestFit="1" customWidth="1"/>
    <col min="50" max="53" width="10" style="3" bestFit="1" customWidth="1"/>
    <col min="54" max="16384" width="9.1796875" style="3"/>
  </cols>
  <sheetData>
    <row r="1" spans="1:52" ht="48" customHeight="1" x14ac:dyDescent="0.3">
      <c r="A1" s="607" t="s">
        <v>1181</v>
      </c>
      <c r="B1" s="607"/>
      <c r="C1" s="607"/>
      <c r="D1" s="607"/>
      <c r="E1" s="607"/>
      <c r="F1" s="607"/>
      <c r="G1" s="607"/>
      <c r="H1" s="607"/>
      <c r="I1" s="607"/>
      <c r="J1" s="607"/>
      <c r="K1" s="607"/>
      <c r="L1" s="607"/>
      <c r="M1" s="607"/>
      <c r="N1" s="607"/>
      <c r="O1" s="607"/>
      <c r="P1" s="607"/>
      <c r="Q1" s="607"/>
      <c r="R1" s="607"/>
      <c r="S1" s="607"/>
      <c r="T1" s="607"/>
    </row>
    <row r="2" spans="1:52" s="1" customFormat="1" ht="36.75" customHeight="1" x14ac:dyDescent="0.35">
      <c r="A2" s="610" t="s">
        <v>1178</v>
      </c>
      <c r="B2" s="610"/>
      <c r="C2" s="609" t="e">
        <f>home!#REF!</f>
        <v>#REF!</v>
      </c>
      <c r="D2" s="609"/>
      <c r="E2" s="609"/>
      <c r="F2" s="609"/>
      <c r="G2" s="609"/>
      <c r="H2" s="609"/>
      <c r="I2" s="609"/>
      <c r="J2" s="609"/>
      <c r="K2" s="609"/>
      <c r="L2" s="609"/>
      <c r="M2" s="609"/>
      <c r="N2" s="609"/>
      <c r="O2" s="609"/>
      <c r="P2" s="609"/>
      <c r="Q2" s="609"/>
      <c r="R2" s="609"/>
      <c r="S2" s="609"/>
      <c r="T2" s="609"/>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3">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3">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3"/>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3.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Tella, Madhavi</cp:lastModifiedBy>
  <cp:revision/>
  <dcterms:created xsi:type="dcterms:W3CDTF">2018-06-21T11:47:43Z</dcterms:created>
  <dcterms:modified xsi:type="dcterms:W3CDTF">2022-08-08T14:51:52Z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