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markrees/workspace/wmt-worker/app/templates/"/>
    </mc:Choice>
  </mc:AlternateContent>
  <xr:revisionPtr revIDLastSave="0" documentId="13_ncr:1_{B601C0C0-0458-DA47-8B60-749801584B50}" xr6:coauthVersionLast="47" xr6:coauthVersionMax="47" xr10:uidLastSave="{00000000-0000-0000-0000-000000000000}"/>
  <bookViews>
    <workbookView showSheetTabs="0" xWindow="0" yWindow="460" windowWidth="28280" windowHeight="15820" xr2:uid="{00000000-000D-0000-FFFF-FFFF00000000}"/>
  </bookViews>
  <sheets>
    <sheet name="home" sheetId="11" r:id="rId1"/>
    <sheet name="PDUs" sheetId="78" r:id="rId2"/>
    <sheet name="caseload data" sheetId="99" r:id="rId3"/>
    <sheet name="capacity data" sheetId="79" r:id="rId4"/>
    <sheet name="reductions data" sheetId="85" r:id="rId5"/>
    <sheet name="reductions workings" sheetId="106" r:id="rId6"/>
    <sheet name="FAQs" sheetId="112" r:id="rId7"/>
    <sheet name="divisional &amp; regional overview" sheetId="101" r:id="rId8"/>
    <sheet name="cluster overview" sheetId="98" r:id="rId9"/>
    <sheet name="team overview" sheetId="114" r:id="rId10"/>
    <sheet name="national caseload" sheetId="100" r:id="rId11"/>
    <sheet name="national tier ratios" sheetId="111" r:id="rId12"/>
    <sheet name="divisional &amp; regional caseload" sheetId="102" r:id="rId13"/>
    <sheet name="divisional &amp; regional caseload%" sheetId="105" r:id="rId14"/>
    <sheet name="custody caseload" sheetId="107" r:id="rId15"/>
    <sheet name="custody %" sheetId="109" r:id="rId16"/>
    <sheet name="community caseload" sheetId="108" r:id="rId17"/>
    <sheet name="community %" sheetId="110" r:id="rId18"/>
    <sheet name="divisional &amp; regional capacity" sheetId="80" r:id="rId19"/>
    <sheet name="cluster capacity, unallocateds" sheetId="81" r:id="rId20"/>
    <sheet name="cluster officer capacity ranks" sheetId="82" r:id="rId21"/>
    <sheet name="div &amp; regional over-capacities" sheetId="95" r:id="rId22"/>
    <sheet name="unallocated cases" sheetId="84" r:id="rId23"/>
    <sheet name="reasons for reduction division" sheetId="87" r:id="rId24"/>
    <sheet name="cluster reductions" sheetId="89" r:id="rId25"/>
    <sheet name="div &amp; regional reduction hours" sheetId="88" r:id="rId26"/>
    <sheet name="Caseload Buttons" sheetId="93" r:id="rId27"/>
    <sheet name="Capacity Buttons" sheetId="91" r:id="rId28"/>
    <sheet name="Reductions Buttons" sheetId="92" r:id="rId29"/>
  </sheets>
  <externalReferences>
    <externalReference r:id="rId30"/>
    <externalReference r:id="rId31"/>
    <externalReference r:id="rId32"/>
  </externalReferences>
  <definedNames>
    <definedName name="_xlnm._FilterDatabase" localSheetId="3" hidden="1">'capacity data'!$A$1:$U$7283</definedName>
    <definedName name="_xlnm._FilterDatabase" localSheetId="2" hidden="1">'caseload data'!$A$1:$V$1819</definedName>
    <definedName name="_xlnm._FilterDatabase" localSheetId="4" hidden="1">'reductions data'!$A$1:$L$1</definedName>
    <definedName name="Against_National_Average">'[1]Rating Lookup'!$C$2:$F$2</definedName>
    <definedName name="Against_Target">'[1]Rating Lookup'!$B$3:$B$6</definedName>
    <definedName name="Aggregation" localSheetId="27">#REF!</definedName>
    <definedName name="Aggregation" localSheetId="3">#REF!</definedName>
    <definedName name="Aggregation" localSheetId="26">#REF!</definedName>
    <definedName name="Aggregation" localSheetId="19">#REF!</definedName>
    <definedName name="Aggregation" localSheetId="20">#REF!</definedName>
    <definedName name="Aggregation" localSheetId="24">#REF!</definedName>
    <definedName name="Aggregation" localSheetId="17">#REF!</definedName>
    <definedName name="Aggregation" localSheetId="16">#REF!</definedName>
    <definedName name="Aggregation" localSheetId="15">#REF!</definedName>
    <definedName name="Aggregation" localSheetId="14">#REF!</definedName>
    <definedName name="Aggregation" localSheetId="25">#REF!</definedName>
    <definedName name="Aggregation" localSheetId="18">#REF!</definedName>
    <definedName name="Aggregation" localSheetId="13">#REF!</definedName>
    <definedName name="Aggregation" localSheetId="7">#REF!</definedName>
    <definedName name="Aggregation" localSheetId="1">#REF!</definedName>
    <definedName name="Aggregation" localSheetId="23">#REF!</definedName>
    <definedName name="Aggregation" localSheetId="28">#REF!</definedName>
    <definedName name="Aggregation" localSheetId="4">#REF!</definedName>
    <definedName name="Aggregation" localSheetId="9">#REF!</definedName>
    <definedName name="Aggregation" localSheetId="22">#REF!</definedName>
    <definedName name="Aggregation">#REF!</definedName>
    <definedName name="AmberRating" localSheetId="27">#REF!</definedName>
    <definedName name="AmberRating" localSheetId="3">#REF!</definedName>
    <definedName name="AmberRating" localSheetId="26">#REF!</definedName>
    <definedName name="AmberRating" localSheetId="19">#REF!</definedName>
    <definedName name="AmberRating" localSheetId="20">#REF!</definedName>
    <definedName name="AmberRating" localSheetId="24">#REF!</definedName>
    <definedName name="AmberRating" localSheetId="17">#REF!</definedName>
    <definedName name="AmberRating" localSheetId="16">#REF!</definedName>
    <definedName name="AmberRating" localSheetId="15">#REF!</definedName>
    <definedName name="AmberRating" localSheetId="14">#REF!</definedName>
    <definedName name="AmberRating" localSheetId="25">#REF!</definedName>
    <definedName name="AmberRating" localSheetId="18">#REF!</definedName>
    <definedName name="AmberRating" localSheetId="13">#REF!</definedName>
    <definedName name="AmberRating" localSheetId="7">#REF!</definedName>
    <definedName name="AmberRating" localSheetId="1">#REF!</definedName>
    <definedName name="AmberRating" localSheetId="23">#REF!</definedName>
    <definedName name="AmberRating" localSheetId="28">#REF!</definedName>
    <definedName name="AmberRating" localSheetId="4">#REF!</definedName>
    <definedName name="AmberRating" localSheetId="9">#REF!</definedName>
    <definedName name="AmberRating" localSheetId="22">#REF!</definedName>
    <definedName name="AmberRating">#REF!</definedName>
    <definedName name="Anchor_Cell">PDUs!$A$1</definedName>
    <definedName name="CurMonth" localSheetId="27">#REF!</definedName>
    <definedName name="CurMonth" localSheetId="3">#REF!</definedName>
    <definedName name="CurMonth" localSheetId="26">#REF!</definedName>
    <definedName name="CurMonth" localSheetId="19">#REF!</definedName>
    <definedName name="CurMonth" localSheetId="20">#REF!</definedName>
    <definedName name="CurMonth" localSheetId="24">#REF!</definedName>
    <definedName name="CurMonth" localSheetId="17">#REF!</definedName>
    <definedName name="CurMonth" localSheetId="16">#REF!</definedName>
    <definedName name="CurMonth" localSheetId="15">#REF!</definedName>
    <definedName name="CurMonth" localSheetId="14">#REF!</definedName>
    <definedName name="CurMonth" localSheetId="25">#REF!</definedName>
    <definedName name="CurMonth" localSheetId="18">#REF!</definedName>
    <definedName name="CurMonth" localSheetId="13">#REF!</definedName>
    <definedName name="CurMonth" localSheetId="7">#REF!</definedName>
    <definedName name="CurMonth" localSheetId="1">#REF!</definedName>
    <definedName name="CurMonth" localSheetId="23">#REF!</definedName>
    <definedName name="CurMonth" localSheetId="28">#REF!</definedName>
    <definedName name="CurMonth" localSheetId="4">#REF!</definedName>
    <definedName name="CurMonth" localSheetId="9">#REF!</definedName>
    <definedName name="CurMonth" localSheetId="22">#REF!</definedName>
    <definedName name="CurMonth">#REF!</definedName>
    <definedName name="CurQuarter" localSheetId="27">#REF!</definedName>
    <definedName name="CurQuarter" localSheetId="3">#REF!</definedName>
    <definedName name="CurQuarter" localSheetId="26">#REF!</definedName>
    <definedName name="CurQuarter" localSheetId="19">#REF!</definedName>
    <definedName name="CurQuarter" localSheetId="20">#REF!</definedName>
    <definedName name="CurQuarter" localSheetId="24">#REF!</definedName>
    <definedName name="CurQuarter" localSheetId="17">#REF!</definedName>
    <definedName name="CurQuarter" localSheetId="16">#REF!</definedName>
    <definedName name="CurQuarter" localSheetId="15">#REF!</definedName>
    <definedName name="CurQuarter" localSheetId="14">#REF!</definedName>
    <definedName name="CurQuarter" localSheetId="25">#REF!</definedName>
    <definedName name="CurQuarter" localSheetId="18">#REF!</definedName>
    <definedName name="CurQuarter" localSheetId="13">#REF!</definedName>
    <definedName name="CurQuarter" localSheetId="7">#REF!</definedName>
    <definedName name="CurQuarter" localSheetId="1">#REF!</definedName>
    <definedName name="CurQuarter" localSheetId="23">#REF!</definedName>
    <definedName name="CurQuarter" localSheetId="28">#REF!</definedName>
    <definedName name="CurQuarter" localSheetId="4">#REF!</definedName>
    <definedName name="CurQuarter" localSheetId="9">#REF!</definedName>
    <definedName name="CurQuarter" localSheetId="22">#REF!</definedName>
    <definedName name="CurQuarter">#REF!</definedName>
    <definedName name="DateRange" localSheetId="27">#REF!</definedName>
    <definedName name="DateRange" localSheetId="3">#REF!</definedName>
    <definedName name="DateRange" localSheetId="26">#REF!</definedName>
    <definedName name="DateRange" localSheetId="19">#REF!</definedName>
    <definedName name="DateRange" localSheetId="20">#REF!</definedName>
    <definedName name="DateRange" localSheetId="24">#REF!</definedName>
    <definedName name="DateRange" localSheetId="17">#REF!</definedName>
    <definedName name="DateRange" localSheetId="16">#REF!</definedName>
    <definedName name="DateRange" localSheetId="15">#REF!</definedName>
    <definedName name="DateRange" localSheetId="14">#REF!</definedName>
    <definedName name="DateRange" localSheetId="25">#REF!</definedName>
    <definedName name="DateRange" localSheetId="18">#REF!</definedName>
    <definedName name="DateRange" localSheetId="13">#REF!</definedName>
    <definedName name="DateRange" localSheetId="7">#REF!</definedName>
    <definedName name="DateRange" localSheetId="1">#REF!</definedName>
    <definedName name="DateRange" localSheetId="23">#REF!</definedName>
    <definedName name="DateRange" localSheetId="28">#REF!</definedName>
    <definedName name="DateRange" localSheetId="4">#REF!</definedName>
    <definedName name="DateRange" localSheetId="9">#REF!</definedName>
    <definedName name="DateRange" localSheetId="22">#REF!</definedName>
    <definedName name="DateRange">#REF!</definedName>
    <definedName name="EMR">'national caseload'!$B$11</definedName>
    <definedName name="EoE">'national caseload'!$B$15</definedName>
    <definedName name="ForecastDate" localSheetId="27">#REF!</definedName>
    <definedName name="ForecastDate" localSheetId="3">#REF!</definedName>
    <definedName name="ForecastDate" localSheetId="26">#REF!</definedName>
    <definedName name="ForecastDate" localSheetId="19">#REF!</definedName>
    <definedName name="ForecastDate" localSheetId="20">#REF!</definedName>
    <definedName name="ForecastDate" localSheetId="24">#REF!</definedName>
    <definedName name="ForecastDate" localSheetId="17">#REF!</definedName>
    <definedName name="ForecastDate" localSheetId="16">#REF!</definedName>
    <definedName name="ForecastDate" localSheetId="15">#REF!</definedName>
    <definedName name="ForecastDate" localSheetId="14">#REF!</definedName>
    <definedName name="ForecastDate" localSheetId="25">#REF!</definedName>
    <definedName name="ForecastDate" localSheetId="18">#REF!</definedName>
    <definedName name="ForecastDate" localSheetId="13">#REF!</definedName>
    <definedName name="ForecastDate" localSheetId="7">#REF!</definedName>
    <definedName name="ForecastDate" localSheetId="1">#REF!</definedName>
    <definedName name="ForecastDate" localSheetId="23">#REF!</definedName>
    <definedName name="ForecastDate" localSheetId="28">#REF!</definedName>
    <definedName name="ForecastDate" localSheetId="4">#REF!</definedName>
    <definedName name="ForecastDate" localSheetId="9">#REF!</definedName>
    <definedName name="ForecastDate" localSheetId="22">#REF!</definedName>
    <definedName name="ForecastDate">#REF!</definedName>
    <definedName name="GM">'national caseload'!$B$19</definedName>
    <definedName name="HubData" localSheetId="27">#REF!</definedName>
    <definedName name="HubData" localSheetId="3">#REF!</definedName>
    <definedName name="HubData" localSheetId="26">#REF!</definedName>
    <definedName name="HubData" localSheetId="19">#REF!</definedName>
    <definedName name="HubData" localSheetId="20">#REF!</definedName>
    <definedName name="HubData" localSheetId="24">#REF!</definedName>
    <definedName name="HubData" localSheetId="17">#REF!</definedName>
    <definedName name="HubData" localSheetId="16">#REF!</definedName>
    <definedName name="HubData" localSheetId="15">#REF!</definedName>
    <definedName name="HubData" localSheetId="14">#REF!</definedName>
    <definedName name="HubData" localSheetId="25">#REF!</definedName>
    <definedName name="HubData" localSheetId="18">#REF!</definedName>
    <definedName name="HubData" localSheetId="13">#REF!</definedName>
    <definedName name="HubData" localSheetId="7">#REF!</definedName>
    <definedName name="HubData" localSheetId="1">#REF!</definedName>
    <definedName name="HubData" localSheetId="23">#REF!</definedName>
    <definedName name="HubData" localSheetId="28">#REF!</definedName>
    <definedName name="HubData" localSheetId="4">#REF!</definedName>
    <definedName name="HubData" localSheetId="9">#REF!</definedName>
    <definedName name="HubData" localSheetId="22">#REF!</definedName>
    <definedName name="HubData">#REF!</definedName>
    <definedName name="KSSR">'national caseload'!$B$23</definedName>
    <definedName name="L">'national caseload'!$B$27</definedName>
    <definedName name="LDU" localSheetId="27">#REF!</definedName>
    <definedName name="LDU" localSheetId="3">#REF!</definedName>
    <definedName name="LDU" localSheetId="26">#REF!</definedName>
    <definedName name="LDU" localSheetId="19">#REF!</definedName>
    <definedName name="LDU" localSheetId="20">#REF!</definedName>
    <definedName name="LDU" localSheetId="24">#REF!</definedName>
    <definedName name="LDU" localSheetId="17">#REF!</definedName>
    <definedName name="LDU" localSheetId="16">#REF!</definedName>
    <definedName name="LDU" localSheetId="15">#REF!</definedName>
    <definedName name="LDU" localSheetId="14">#REF!</definedName>
    <definedName name="LDU" localSheetId="25">#REF!</definedName>
    <definedName name="LDU" localSheetId="18">#REF!</definedName>
    <definedName name="LDU" localSheetId="13">#REF!</definedName>
    <definedName name="LDU" localSheetId="7">#REF!</definedName>
    <definedName name="LDU" localSheetId="1">#REF!</definedName>
    <definedName name="LDU" localSheetId="23">#REF!</definedName>
    <definedName name="LDU" localSheetId="28">#REF!</definedName>
    <definedName name="LDU" localSheetId="4">#REF!</definedName>
    <definedName name="LDU" localSheetId="9">#REF!</definedName>
    <definedName name="LDU" localSheetId="22">#REF!</definedName>
    <definedName name="LDU">#REF!</definedName>
    <definedName name="LDUCluster" localSheetId="27">#REF!</definedName>
    <definedName name="LDUCluster" localSheetId="3">#REF!</definedName>
    <definedName name="LDUCluster" localSheetId="26">#REF!</definedName>
    <definedName name="LDUCluster" localSheetId="19">#REF!</definedName>
    <definedName name="LDUCluster" localSheetId="20">#REF!</definedName>
    <definedName name="LDUCluster" localSheetId="24">#REF!</definedName>
    <definedName name="LDUCluster" localSheetId="17">#REF!</definedName>
    <definedName name="LDUCluster" localSheetId="16">#REF!</definedName>
    <definedName name="LDUCluster" localSheetId="15">#REF!</definedName>
    <definedName name="LDUCluster" localSheetId="14">#REF!</definedName>
    <definedName name="LDUCluster" localSheetId="25">#REF!</definedName>
    <definedName name="LDUCluster" localSheetId="18">#REF!</definedName>
    <definedName name="LDUCluster" localSheetId="13">#REF!</definedName>
    <definedName name="LDUCluster" localSheetId="7">#REF!</definedName>
    <definedName name="LDUCluster" localSheetId="1">#REF!</definedName>
    <definedName name="LDUCluster" localSheetId="23">#REF!</definedName>
    <definedName name="LDUCluster" localSheetId="28">#REF!</definedName>
    <definedName name="LDUCluster" localSheetId="4">#REF!</definedName>
    <definedName name="LDUCluster" localSheetId="9">#REF!</definedName>
    <definedName name="LDUCluster" localSheetId="22">#REF!</definedName>
    <definedName name="LDUCluster">#REF!</definedName>
    <definedName name="MonthNo" localSheetId="27">#REF!</definedName>
    <definedName name="MonthNo" localSheetId="3">#REF!</definedName>
    <definedName name="MonthNo" localSheetId="26">#REF!</definedName>
    <definedName name="MonthNo" localSheetId="19">#REF!</definedName>
    <definedName name="MonthNo" localSheetId="20">#REF!</definedName>
    <definedName name="MonthNo" localSheetId="24">#REF!</definedName>
    <definedName name="MonthNo" localSheetId="17">#REF!</definedName>
    <definedName name="MonthNo" localSheetId="16">#REF!</definedName>
    <definedName name="MonthNo" localSheetId="15">#REF!</definedName>
    <definedName name="MonthNo" localSheetId="14">#REF!</definedName>
    <definedName name="MonthNo" localSheetId="25">#REF!</definedName>
    <definedName name="MonthNo" localSheetId="18">#REF!</definedName>
    <definedName name="MonthNo" localSheetId="13">#REF!</definedName>
    <definedName name="MonthNo" localSheetId="7">#REF!</definedName>
    <definedName name="MonthNo" localSheetId="1">#REF!</definedName>
    <definedName name="MonthNo" localSheetId="23">#REF!</definedName>
    <definedName name="MonthNo" localSheetId="28">#REF!</definedName>
    <definedName name="MonthNo" localSheetId="4">#REF!</definedName>
    <definedName name="MonthNo" localSheetId="9">#REF!</definedName>
    <definedName name="MonthNo" localSheetId="22">#REF!</definedName>
    <definedName name="MonthNo">#REF!</definedName>
    <definedName name="MonthRemain" localSheetId="27">#REF!</definedName>
    <definedName name="MonthRemain" localSheetId="3">#REF!</definedName>
    <definedName name="MonthRemain" localSheetId="26">#REF!</definedName>
    <definedName name="MonthRemain" localSheetId="19">#REF!</definedName>
    <definedName name="MonthRemain" localSheetId="20">#REF!</definedName>
    <definedName name="MonthRemain" localSheetId="24">#REF!</definedName>
    <definedName name="MonthRemain" localSheetId="17">#REF!</definedName>
    <definedName name="MonthRemain" localSheetId="16">#REF!</definedName>
    <definedName name="MonthRemain" localSheetId="15">#REF!</definedName>
    <definedName name="MonthRemain" localSheetId="14">#REF!</definedName>
    <definedName name="MonthRemain" localSheetId="25">#REF!</definedName>
    <definedName name="MonthRemain" localSheetId="18">#REF!</definedName>
    <definedName name="MonthRemain" localSheetId="13">#REF!</definedName>
    <definedName name="MonthRemain" localSheetId="7">#REF!</definedName>
    <definedName name="MonthRemain" localSheetId="1">#REF!</definedName>
    <definedName name="MonthRemain" localSheetId="23">#REF!</definedName>
    <definedName name="MonthRemain" localSheetId="28">#REF!</definedName>
    <definedName name="MonthRemain" localSheetId="4">#REF!</definedName>
    <definedName name="MonthRemain" localSheetId="9">#REF!</definedName>
    <definedName name="MonthRemain" localSheetId="22">#REF!</definedName>
    <definedName name="MonthRemain">#REF!</definedName>
    <definedName name="NE001Month" localSheetId="27">#REF!</definedName>
    <definedName name="NE001Month" localSheetId="3">#REF!</definedName>
    <definedName name="NE001Month" localSheetId="26">#REF!</definedName>
    <definedName name="NE001Month" localSheetId="19">#REF!</definedName>
    <definedName name="NE001Month" localSheetId="20">#REF!</definedName>
    <definedName name="NE001Month" localSheetId="24">#REF!</definedName>
    <definedName name="NE001Month" localSheetId="17">#REF!</definedName>
    <definedName name="NE001Month" localSheetId="16">#REF!</definedName>
    <definedName name="NE001Month" localSheetId="15">#REF!</definedName>
    <definedName name="NE001Month" localSheetId="14">#REF!</definedName>
    <definedName name="NE001Month" localSheetId="25">#REF!</definedName>
    <definedName name="NE001Month" localSheetId="18">#REF!</definedName>
    <definedName name="NE001Month" localSheetId="13">#REF!</definedName>
    <definedName name="NE001Month" localSheetId="7">#REF!</definedName>
    <definedName name="NE001Month" localSheetId="1">#REF!</definedName>
    <definedName name="NE001Month" localSheetId="23">#REF!</definedName>
    <definedName name="NE001Month" localSheetId="28">#REF!</definedName>
    <definedName name="NE001Month" localSheetId="4">#REF!</definedName>
    <definedName name="NE001Month" localSheetId="9">#REF!</definedName>
    <definedName name="NE001Month" localSheetId="22">#REF!</definedName>
    <definedName name="NE001Month">#REF!</definedName>
    <definedName name="NE002Month" localSheetId="27">#REF!</definedName>
    <definedName name="NE002Month" localSheetId="3">#REF!</definedName>
    <definedName name="NE002Month" localSheetId="26">#REF!</definedName>
    <definedName name="NE002Month" localSheetId="19">#REF!</definedName>
    <definedName name="NE002Month" localSheetId="20">#REF!</definedName>
    <definedName name="NE002Month" localSheetId="24">#REF!</definedName>
    <definedName name="NE002Month" localSheetId="17">#REF!</definedName>
    <definedName name="NE002Month" localSheetId="16">#REF!</definedName>
    <definedName name="NE002Month" localSheetId="15">#REF!</definedName>
    <definedName name="NE002Month" localSheetId="14">#REF!</definedName>
    <definedName name="NE002Month" localSheetId="25">#REF!</definedName>
    <definedName name="NE002Month" localSheetId="18">#REF!</definedName>
    <definedName name="NE002Month" localSheetId="13">#REF!</definedName>
    <definedName name="NE002Month" localSheetId="7">#REF!</definedName>
    <definedName name="NE002Month" localSheetId="1">#REF!</definedName>
    <definedName name="NE002Month" localSheetId="23">#REF!</definedName>
    <definedName name="NE002Month" localSheetId="28">#REF!</definedName>
    <definedName name="NE002Month" localSheetId="4">#REF!</definedName>
    <definedName name="NE002Month" localSheetId="9">#REF!</definedName>
    <definedName name="NE002Month" localSheetId="22">#REF!</definedName>
    <definedName name="NE002Month">#REF!</definedName>
    <definedName name="NE003Month" localSheetId="27">#REF!</definedName>
    <definedName name="NE003Month" localSheetId="3">#REF!</definedName>
    <definedName name="NE003Month" localSheetId="26">#REF!</definedName>
    <definedName name="NE003Month" localSheetId="19">#REF!</definedName>
    <definedName name="NE003Month" localSheetId="20">#REF!</definedName>
    <definedName name="NE003Month" localSheetId="24">#REF!</definedName>
    <definedName name="NE003Month" localSheetId="17">#REF!</definedName>
    <definedName name="NE003Month" localSheetId="16">#REF!</definedName>
    <definedName name="NE003Month" localSheetId="15">#REF!</definedName>
    <definedName name="NE003Month" localSheetId="14">#REF!</definedName>
    <definedName name="NE003Month" localSheetId="25">#REF!</definedName>
    <definedName name="NE003Month" localSheetId="18">#REF!</definedName>
    <definedName name="NE003Month" localSheetId="13">#REF!</definedName>
    <definedName name="NE003Month" localSheetId="7">#REF!</definedName>
    <definedName name="NE003Month" localSheetId="1">#REF!</definedName>
    <definedName name="NE003Month" localSheetId="23">#REF!</definedName>
    <definedName name="NE003Month" localSheetId="28">#REF!</definedName>
    <definedName name="NE003Month" localSheetId="4">#REF!</definedName>
    <definedName name="NE003Month" localSheetId="9">#REF!</definedName>
    <definedName name="NE003Month" localSheetId="22">#REF!</definedName>
    <definedName name="NE003Month">#REF!</definedName>
    <definedName name="NE004AFMonth" localSheetId="27">#REF!</definedName>
    <definedName name="NE004AFMonth" localSheetId="3">#REF!</definedName>
    <definedName name="NE004AFMonth" localSheetId="26">#REF!</definedName>
    <definedName name="NE004AFMonth" localSheetId="19">#REF!</definedName>
    <definedName name="NE004AFMonth" localSheetId="20">#REF!</definedName>
    <definedName name="NE004AFMonth" localSheetId="24">#REF!</definedName>
    <definedName name="NE004AFMonth" localSheetId="17">#REF!</definedName>
    <definedName name="NE004AFMonth" localSheetId="16">#REF!</definedName>
    <definedName name="NE004AFMonth" localSheetId="15">#REF!</definedName>
    <definedName name="NE004AFMonth" localSheetId="14">#REF!</definedName>
    <definedName name="NE004AFMonth" localSheetId="25">#REF!</definedName>
    <definedName name="NE004AFMonth" localSheetId="18">#REF!</definedName>
    <definedName name="NE004AFMonth" localSheetId="13">#REF!</definedName>
    <definedName name="NE004AFMonth" localSheetId="7">#REF!</definedName>
    <definedName name="NE004AFMonth" localSheetId="1">#REF!</definedName>
    <definedName name="NE004AFMonth" localSheetId="23">#REF!</definedName>
    <definedName name="NE004AFMonth" localSheetId="28">#REF!</definedName>
    <definedName name="NE004AFMonth" localSheetId="4">#REF!</definedName>
    <definedName name="NE004AFMonth" localSheetId="9">#REF!</definedName>
    <definedName name="NE004AFMonth" localSheetId="22">#REF!</definedName>
    <definedName name="NE004AFMonth">#REF!</definedName>
    <definedName name="NE004AFYTD" localSheetId="27">#REF!</definedName>
    <definedName name="NE004AFYTD" localSheetId="3">#REF!</definedName>
    <definedName name="NE004AFYTD" localSheetId="26">#REF!</definedName>
    <definedName name="NE004AFYTD" localSheetId="19">#REF!</definedName>
    <definedName name="NE004AFYTD" localSheetId="20">#REF!</definedName>
    <definedName name="NE004AFYTD" localSheetId="24">#REF!</definedName>
    <definedName name="NE004AFYTD" localSheetId="17">#REF!</definedName>
    <definedName name="NE004AFYTD" localSheetId="16">#REF!</definedName>
    <definedName name="NE004AFYTD" localSheetId="15">#REF!</definedName>
    <definedName name="NE004AFYTD" localSheetId="14">#REF!</definedName>
    <definedName name="NE004AFYTD" localSheetId="25">#REF!</definedName>
    <definedName name="NE004AFYTD" localSheetId="18">#REF!</definedName>
    <definedName name="NE004AFYTD" localSheetId="13">#REF!</definedName>
    <definedName name="NE004AFYTD" localSheetId="7">#REF!</definedName>
    <definedName name="NE004AFYTD" localSheetId="1">#REF!</definedName>
    <definedName name="NE004AFYTD" localSheetId="23">#REF!</definedName>
    <definedName name="NE004AFYTD" localSheetId="28">#REF!</definedName>
    <definedName name="NE004AFYTD" localSheetId="4">#REF!</definedName>
    <definedName name="NE004AFYTD" localSheetId="9">#REF!</definedName>
    <definedName name="NE004AFYTD" localSheetId="22">#REF!</definedName>
    <definedName name="NE004AFYTD">#REF!</definedName>
    <definedName name="NE004ASMonth" localSheetId="27">#REF!</definedName>
    <definedName name="NE004ASMonth" localSheetId="3">#REF!</definedName>
    <definedName name="NE004ASMonth" localSheetId="26">#REF!</definedName>
    <definedName name="NE004ASMonth" localSheetId="19">#REF!</definedName>
    <definedName name="NE004ASMonth" localSheetId="20">#REF!</definedName>
    <definedName name="NE004ASMonth" localSheetId="24">#REF!</definedName>
    <definedName name="NE004ASMonth" localSheetId="17">#REF!</definedName>
    <definedName name="NE004ASMonth" localSheetId="16">#REF!</definedName>
    <definedName name="NE004ASMonth" localSheetId="15">#REF!</definedName>
    <definedName name="NE004ASMonth" localSheetId="14">#REF!</definedName>
    <definedName name="NE004ASMonth" localSheetId="25">#REF!</definedName>
    <definedName name="NE004ASMonth" localSheetId="18">#REF!</definedName>
    <definedName name="NE004ASMonth" localSheetId="13">#REF!</definedName>
    <definedName name="NE004ASMonth" localSheetId="7">#REF!</definedName>
    <definedName name="NE004ASMonth" localSheetId="1">#REF!</definedName>
    <definedName name="NE004ASMonth" localSheetId="23">#REF!</definedName>
    <definedName name="NE004ASMonth" localSheetId="28">#REF!</definedName>
    <definedName name="NE004ASMonth" localSheetId="4">#REF!</definedName>
    <definedName name="NE004ASMonth" localSheetId="9">#REF!</definedName>
    <definedName name="NE004ASMonth" localSheetId="22">#REF!</definedName>
    <definedName name="NE004ASMonth">#REF!</definedName>
    <definedName name="NE004ASYTD" localSheetId="27">#REF!</definedName>
    <definedName name="NE004ASYTD" localSheetId="3">#REF!</definedName>
    <definedName name="NE004ASYTD" localSheetId="26">#REF!</definedName>
    <definedName name="NE004ASYTD" localSheetId="19">#REF!</definedName>
    <definedName name="NE004ASYTD" localSheetId="20">#REF!</definedName>
    <definedName name="NE004ASYTD" localSheetId="24">#REF!</definedName>
    <definedName name="NE004ASYTD" localSheetId="17">#REF!</definedName>
    <definedName name="NE004ASYTD" localSheetId="16">#REF!</definedName>
    <definedName name="NE004ASYTD" localSheetId="15">#REF!</definedName>
    <definedName name="NE004ASYTD" localSheetId="14">#REF!</definedName>
    <definedName name="NE004ASYTD" localSheetId="25">#REF!</definedName>
    <definedName name="NE004ASYTD" localSheetId="18">#REF!</definedName>
    <definedName name="NE004ASYTD" localSheetId="13">#REF!</definedName>
    <definedName name="NE004ASYTD" localSheetId="7">#REF!</definedName>
    <definedName name="NE004ASYTD" localSheetId="1">#REF!</definedName>
    <definedName name="NE004ASYTD" localSheetId="23">#REF!</definedName>
    <definedName name="NE004ASYTD" localSheetId="28">#REF!</definedName>
    <definedName name="NE004ASYTD" localSheetId="4">#REF!</definedName>
    <definedName name="NE004ASYTD" localSheetId="9">#REF!</definedName>
    <definedName name="NE004ASYTD" localSheetId="22">#REF!</definedName>
    <definedName name="NE004ASYTD">#REF!</definedName>
    <definedName name="NE004MText" localSheetId="27">#REF!</definedName>
    <definedName name="NE004MText" localSheetId="3">#REF!</definedName>
    <definedName name="NE004MText" localSheetId="26">#REF!</definedName>
    <definedName name="NE004MText" localSheetId="19">#REF!</definedName>
    <definedName name="NE004MText" localSheetId="20">#REF!</definedName>
    <definedName name="NE004MText" localSheetId="24">#REF!</definedName>
    <definedName name="NE004MText" localSheetId="17">#REF!</definedName>
    <definedName name="NE004MText" localSheetId="16">#REF!</definedName>
    <definedName name="NE004MText" localSheetId="15">#REF!</definedName>
    <definedName name="NE004MText" localSheetId="14">#REF!</definedName>
    <definedName name="NE004MText" localSheetId="25">#REF!</definedName>
    <definedName name="NE004MText" localSheetId="18">#REF!</definedName>
    <definedName name="NE004MText" localSheetId="13">#REF!</definedName>
    <definedName name="NE004MText" localSheetId="7">#REF!</definedName>
    <definedName name="NE004MText" localSheetId="1">#REF!</definedName>
    <definedName name="NE004MText" localSheetId="23">#REF!</definedName>
    <definedName name="NE004MText" localSheetId="28">#REF!</definedName>
    <definedName name="NE004MText" localSheetId="4">#REF!</definedName>
    <definedName name="NE004MText" localSheetId="9">#REF!</definedName>
    <definedName name="NE004MText" localSheetId="22">#REF!</definedName>
    <definedName name="NE004MText">#REF!</definedName>
    <definedName name="NE004MTitle" localSheetId="27">#REF!</definedName>
    <definedName name="NE004MTitle" localSheetId="3">#REF!</definedName>
    <definedName name="NE004MTitle" localSheetId="26">#REF!</definedName>
    <definedName name="NE004MTitle" localSheetId="19">#REF!</definedName>
    <definedName name="NE004MTitle" localSheetId="20">#REF!</definedName>
    <definedName name="NE004MTitle" localSheetId="24">#REF!</definedName>
    <definedName name="NE004MTitle" localSheetId="17">#REF!</definedName>
    <definedName name="NE004MTitle" localSheetId="16">#REF!</definedName>
    <definedName name="NE004MTitle" localSheetId="15">#REF!</definedName>
    <definedName name="NE004MTitle" localSheetId="14">#REF!</definedName>
    <definedName name="NE004MTitle" localSheetId="25">#REF!</definedName>
    <definedName name="NE004MTitle" localSheetId="18">#REF!</definedName>
    <definedName name="NE004MTitle" localSheetId="13">#REF!</definedName>
    <definedName name="NE004MTitle" localSheetId="7">#REF!</definedName>
    <definedName name="NE004MTitle" localSheetId="1">#REF!</definedName>
    <definedName name="NE004MTitle" localSheetId="23">#REF!</definedName>
    <definedName name="NE004MTitle" localSheetId="28">#REF!</definedName>
    <definedName name="NE004MTitle" localSheetId="4">#REF!</definedName>
    <definedName name="NE004MTitle" localSheetId="9">#REF!</definedName>
    <definedName name="NE004MTitle" localSheetId="22">#REF!</definedName>
    <definedName name="NE004MTitle">#REF!</definedName>
    <definedName name="NE004ODMonth" localSheetId="27">#REF!</definedName>
    <definedName name="NE004ODMonth" localSheetId="3">#REF!</definedName>
    <definedName name="NE004ODMonth" localSheetId="26">#REF!</definedName>
    <definedName name="NE004ODMonth" localSheetId="19">#REF!</definedName>
    <definedName name="NE004ODMonth" localSheetId="20">#REF!</definedName>
    <definedName name="NE004ODMonth" localSheetId="24">#REF!</definedName>
    <definedName name="NE004ODMonth" localSheetId="17">#REF!</definedName>
    <definedName name="NE004ODMonth" localSheetId="16">#REF!</definedName>
    <definedName name="NE004ODMonth" localSheetId="15">#REF!</definedName>
    <definedName name="NE004ODMonth" localSheetId="14">#REF!</definedName>
    <definedName name="NE004ODMonth" localSheetId="25">#REF!</definedName>
    <definedName name="NE004ODMonth" localSheetId="18">#REF!</definedName>
    <definedName name="NE004ODMonth" localSheetId="13">#REF!</definedName>
    <definedName name="NE004ODMonth" localSheetId="7">#REF!</definedName>
    <definedName name="NE004ODMonth" localSheetId="1">#REF!</definedName>
    <definedName name="NE004ODMonth" localSheetId="23">#REF!</definedName>
    <definedName name="NE004ODMonth" localSheetId="28">#REF!</definedName>
    <definedName name="NE004ODMonth" localSheetId="4">#REF!</definedName>
    <definedName name="NE004ODMonth" localSheetId="9">#REF!</definedName>
    <definedName name="NE004ODMonth" localSheetId="22">#REF!</definedName>
    <definedName name="NE004ODMonth">#REF!</definedName>
    <definedName name="NE004ODYTD" localSheetId="27">#REF!</definedName>
    <definedName name="NE004ODYTD" localSheetId="3">#REF!</definedName>
    <definedName name="NE004ODYTD" localSheetId="26">#REF!</definedName>
    <definedName name="NE004ODYTD" localSheetId="19">#REF!</definedName>
    <definedName name="NE004ODYTD" localSheetId="20">#REF!</definedName>
    <definedName name="NE004ODYTD" localSheetId="24">#REF!</definedName>
    <definedName name="NE004ODYTD" localSheetId="17">#REF!</definedName>
    <definedName name="NE004ODYTD" localSheetId="16">#REF!</definedName>
    <definedName name="NE004ODYTD" localSheetId="15">#REF!</definedName>
    <definedName name="NE004ODYTD" localSheetId="14">#REF!</definedName>
    <definedName name="NE004ODYTD" localSheetId="25">#REF!</definedName>
    <definedName name="NE004ODYTD" localSheetId="18">#REF!</definedName>
    <definedName name="NE004ODYTD" localSheetId="13">#REF!</definedName>
    <definedName name="NE004ODYTD" localSheetId="7">#REF!</definedName>
    <definedName name="NE004ODYTD" localSheetId="1">#REF!</definedName>
    <definedName name="NE004ODYTD" localSheetId="23">#REF!</definedName>
    <definedName name="NE004ODYTD" localSheetId="28">#REF!</definedName>
    <definedName name="NE004ODYTD" localSheetId="4">#REF!</definedName>
    <definedName name="NE004ODYTD" localSheetId="9">#REF!</definedName>
    <definedName name="NE004ODYTD" localSheetId="22">#REF!</definedName>
    <definedName name="NE004ODYTD">#REF!</definedName>
    <definedName name="NER">'national caseload'!$B$31</definedName>
    <definedName name="NWR">'national caseload'!$B$35</definedName>
    <definedName name="obbbbbj" localSheetId="27">'[2]List Data'!#REF!</definedName>
    <definedName name="obbbbbj" localSheetId="26">'[2]List Data'!#REF!</definedName>
    <definedName name="obbbbbj" localSheetId="17">'[2]List Data'!#REF!</definedName>
    <definedName name="obbbbbj" localSheetId="16">'[2]List Data'!#REF!</definedName>
    <definedName name="obbbbbj" localSheetId="15">'[2]List Data'!#REF!</definedName>
    <definedName name="obbbbbj" localSheetId="14">'[2]List Data'!#REF!</definedName>
    <definedName name="obbbbbj" localSheetId="13">'[2]List Data'!#REF!</definedName>
    <definedName name="obbbbbj" localSheetId="7">'[2]List Data'!#REF!</definedName>
    <definedName name="obbbbbj" localSheetId="28">'[2]List Data'!#REF!</definedName>
    <definedName name="obbbbbj" localSheetId="9">'[2]List Data'!#REF!</definedName>
    <definedName name="obbbbbj">'[2]List Data'!#REF!</definedName>
    <definedName name="obbbjj" localSheetId="27">'[2]List Data'!#REF!</definedName>
    <definedName name="obbbjj" localSheetId="26">'[2]List Data'!#REF!</definedName>
    <definedName name="obbbjj" localSheetId="17">'[2]List Data'!#REF!</definedName>
    <definedName name="obbbjj" localSheetId="16">'[2]List Data'!#REF!</definedName>
    <definedName name="obbbjj" localSheetId="15">'[2]List Data'!#REF!</definedName>
    <definedName name="obbbjj" localSheetId="14">'[2]List Data'!#REF!</definedName>
    <definedName name="obbbjj" localSheetId="13">'[2]List Data'!#REF!</definedName>
    <definedName name="obbbjj" localSheetId="7">'[2]List Data'!#REF!</definedName>
    <definedName name="obbbjj" localSheetId="28">'[2]List Data'!#REF!</definedName>
    <definedName name="obbbjj" localSheetId="9">'[2]List Data'!#REF!</definedName>
    <definedName name="obbbjj">'[2]List Data'!#REF!</definedName>
    <definedName name="obbbjjj" localSheetId="27">'[2]List Data'!#REF!</definedName>
    <definedName name="obbbjjj" localSheetId="26">'[2]List Data'!#REF!</definedName>
    <definedName name="obbbjjj" localSheetId="17">'[2]List Data'!#REF!</definedName>
    <definedName name="obbbjjj" localSheetId="16">'[2]List Data'!#REF!</definedName>
    <definedName name="obbbjjj" localSheetId="15">'[2]List Data'!#REF!</definedName>
    <definedName name="obbbjjj" localSheetId="14">'[2]List Data'!#REF!</definedName>
    <definedName name="obbbjjj" localSheetId="13">'[2]List Data'!#REF!</definedName>
    <definedName name="obbbjjj" localSheetId="7">'[2]List Data'!#REF!</definedName>
    <definedName name="obbbjjj" localSheetId="28">'[2]List Data'!#REF!</definedName>
    <definedName name="obbbjjj" localSheetId="9">'[2]List Data'!#REF!</definedName>
    <definedName name="obbbjjj">'[2]List Data'!#REF!</definedName>
    <definedName name="obbj" localSheetId="27">'[2]List Data'!#REF!</definedName>
    <definedName name="obbj" localSheetId="26">'[2]List Data'!#REF!</definedName>
    <definedName name="obbj" localSheetId="17">'[2]List Data'!#REF!</definedName>
    <definedName name="obbj" localSheetId="16">'[2]List Data'!#REF!</definedName>
    <definedName name="obbj" localSheetId="15">'[2]List Data'!#REF!</definedName>
    <definedName name="obbj" localSheetId="14">'[2]List Data'!#REF!</definedName>
    <definedName name="obbj" localSheetId="13">'[2]List Data'!#REF!</definedName>
    <definedName name="obbj" localSheetId="7">'[2]List Data'!#REF!</definedName>
    <definedName name="obbj" localSheetId="28">'[2]List Data'!#REF!</definedName>
    <definedName name="obbj" localSheetId="9">'[2]List Data'!#REF!</definedName>
    <definedName name="obbj">'[2]List Data'!#REF!</definedName>
    <definedName name="obbjj" localSheetId="27">'[2]List Data'!#REF!</definedName>
    <definedName name="obbjj" localSheetId="26">'[2]List Data'!#REF!</definedName>
    <definedName name="obbjj" localSheetId="17">'[2]List Data'!#REF!</definedName>
    <definedName name="obbjj" localSheetId="16">'[2]List Data'!#REF!</definedName>
    <definedName name="obbjj" localSheetId="15">'[2]List Data'!#REF!</definedName>
    <definedName name="obbjj" localSheetId="14">'[2]List Data'!#REF!</definedName>
    <definedName name="obbjj" localSheetId="13">'[2]List Data'!#REF!</definedName>
    <definedName name="obbjj" localSheetId="7">'[2]List Data'!#REF!</definedName>
    <definedName name="obbjj" localSheetId="28">'[2]List Data'!#REF!</definedName>
    <definedName name="obbjj" localSheetId="9">'[2]List Data'!#REF!</definedName>
    <definedName name="obbjj">'[2]List Data'!#REF!</definedName>
    <definedName name="obj" localSheetId="27">'[2]List Data'!#REF!</definedName>
    <definedName name="obj" localSheetId="26">'[2]List Data'!#REF!</definedName>
    <definedName name="obj" localSheetId="17">'[2]List Data'!#REF!</definedName>
    <definedName name="obj" localSheetId="16">'[2]List Data'!#REF!</definedName>
    <definedName name="obj" localSheetId="15">'[2]List Data'!#REF!</definedName>
    <definedName name="obj" localSheetId="14">'[2]List Data'!#REF!</definedName>
    <definedName name="obj" localSheetId="13">'[2]List Data'!#REF!</definedName>
    <definedName name="obj" localSheetId="7">'[2]List Data'!#REF!</definedName>
    <definedName name="obj" localSheetId="28">'[2]List Data'!#REF!</definedName>
    <definedName name="obj" localSheetId="9">'[2]List Data'!#REF!</definedName>
    <definedName name="obj">'[2]List Data'!#REF!</definedName>
    <definedName name="Objective" localSheetId="27">'[2]List Data'!#REF!</definedName>
    <definedName name="Objective" localSheetId="3">'[3]List Data'!#REF!</definedName>
    <definedName name="Objective" localSheetId="26">'[2]List Data'!#REF!</definedName>
    <definedName name="Objective" localSheetId="19">'[3]List Data'!#REF!</definedName>
    <definedName name="Objective" localSheetId="20">'[3]List Data'!#REF!</definedName>
    <definedName name="Objective" localSheetId="24">'[3]List Data'!#REF!</definedName>
    <definedName name="Objective" localSheetId="17">'[2]List Data'!#REF!</definedName>
    <definedName name="Objective" localSheetId="16">'[2]List Data'!#REF!</definedName>
    <definedName name="Objective" localSheetId="15">'[2]List Data'!#REF!</definedName>
    <definedName name="Objective" localSheetId="14">'[2]List Data'!#REF!</definedName>
    <definedName name="Objective" localSheetId="25">'[3]List Data'!#REF!</definedName>
    <definedName name="Objective" localSheetId="18">'[3]List Data'!#REF!</definedName>
    <definedName name="Objective" localSheetId="13">'[2]List Data'!#REF!</definedName>
    <definedName name="Objective" localSheetId="7">'[2]List Data'!#REF!</definedName>
    <definedName name="Objective" localSheetId="1">'[3]List Data'!#REF!</definedName>
    <definedName name="Objective" localSheetId="23">'[3]List Data'!#REF!</definedName>
    <definedName name="Objective" localSheetId="28">'[2]List Data'!#REF!</definedName>
    <definedName name="Objective" localSheetId="4">'[3]List Data'!#REF!</definedName>
    <definedName name="Objective" localSheetId="9">'[2]List Data'!#REF!</definedName>
    <definedName name="Objective" localSheetId="22">'[3]List Data'!#REF!</definedName>
    <definedName name="Objective">'[2]List Data'!#REF!</definedName>
    <definedName name="objj" localSheetId="27">'[2]List Data'!#REF!</definedName>
    <definedName name="objj" localSheetId="26">'[2]List Data'!#REF!</definedName>
    <definedName name="objj" localSheetId="17">'[2]List Data'!#REF!</definedName>
    <definedName name="objj" localSheetId="16">'[2]List Data'!#REF!</definedName>
    <definedName name="objj" localSheetId="15">'[2]List Data'!#REF!</definedName>
    <definedName name="objj" localSheetId="14">'[2]List Data'!#REF!</definedName>
    <definedName name="objj" localSheetId="13">'[2]List Data'!#REF!</definedName>
    <definedName name="objj" localSheetId="7">'[2]List Data'!#REF!</definedName>
    <definedName name="objj" localSheetId="28">'[2]List Data'!#REF!</definedName>
    <definedName name="objj" localSheetId="9">'[2]List Data'!#REF!</definedName>
    <definedName name="objj">'[2]List Data'!#REF!</definedName>
    <definedName name="oobbbjjj" localSheetId="27">'[2]List Data'!#REF!</definedName>
    <definedName name="oobbbjjj" localSheetId="26">'[2]List Data'!#REF!</definedName>
    <definedName name="oobbbjjj" localSheetId="17">'[2]List Data'!#REF!</definedName>
    <definedName name="oobbbjjj" localSheetId="16">'[2]List Data'!#REF!</definedName>
    <definedName name="oobbbjjj" localSheetId="15">'[2]List Data'!#REF!</definedName>
    <definedName name="oobbbjjj" localSheetId="14">'[2]List Data'!#REF!</definedName>
    <definedName name="oobbbjjj" localSheetId="13">'[2]List Data'!#REF!</definedName>
    <definedName name="oobbbjjj" localSheetId="7">'[2]List Data'!#REF!</definedName>
    <definedName name="oobbbjjj" localSheetId="28">'[2]List Data'!#REF!</definedName>
    <definedName name="oobbbjjj" localSheetId="9">'[2]List Data'!#REF!</definedName>
    <definedName name="oobbbjjj">'[2]List Data'!#REF!</definedName>
    <definedName name="ooobbbbjjj" localSheetId="27">'[2]List Data'!#REF!</definedName>
    <definedName name="ooobbbbjjj" localSheetId="26">'[2]List Data'!#REF!</definedName>
    <definedName name="ooobbbbjjj" localSheetId="17">'[2]List Data'!#REF!</definedName>
    <definedName name="ooobbbbjjj" localSheetId="16">'[2]List Data'!#REF!</definedName>
    <definedName name="ooobbbbjjj" localSheetId="15">'[2]List Data'!#REF!</definedName>
    <definedName name="ooobbbbjjj" localSheetId="14">'[2]List Data'!#REF!</definedName>
    <definedName name="ooobbbbjjj" localSheetId="13">'[2]List Data'!#REF!</definedName>
    <definedName name="ooobbbbjjj" localSheetId="7">'[2]List Data'!#REF!</definedName>
    <definedName name="ooobbbbjjj" localSheetId="28">'[2]List Data'!#REF!</definedName>
    <definedName name="ooobbbbjjj" localSheetId="9">'[2]List Data'!#REF!</definedName>
    <definedName name="ooobbbbjjj">'[2]List Data'!#REF!</definedName>
    <definedName name="ooobbbjjj" localSheetId="27">'[2]List Data'!#REF!</definedName>
    <definedName name="ooobbbjjj" localSheetId="26">'[2]List Data'!#REF!</definedName>
    <definedName name="ooobbbjjj" localSheetId="17">'[2]List Data'!#REF!</definedName>
    <definedName name="ooobbbjjj" localSheetId="16">'[2]List Data'!#REF!</definedName>
    <definedName name="ooobbbjjj" localSheetId="15">'[2]List Data'!#REF!</definedName>
    <definedName name="ooobbbjjj" localSheetId="14">'[2]List Data'!#REF!</definedName>
    <definedName name="ooobbbjjj" localSheetId="13">'[2]List Data'!#REF!</definedName>
    <definedName name="ooobbbjjj" localSheetId="7">'[2]List Data'!#REF!</definedName>
    <definedName name="ooobbbjjj" localSheetId="28">'[2]List Data'!#REF!</definedName>
    <definedName name="ooobbbjjj" localSheetId="9">'[2]List Data'!#REF!</definedName>
    <definedName name="ooobbbjjj">'[2]List Data'!#REF!</definedName>
    <definedName name="ooobbbjjjj" localSheetId="27">'[2]List Data'!#REF!</definedName>
    <definedName name="ooobbbjjjj" localSheetId="26">'[2]List Data'!#REF!</definedName>
    <definedName name="ooobbbjjjj" localSheetId="17">'[2]List Data'!#REF!</definedName>
    <definedName name="ooobbbjjjj" localSheetId="16">'[2]List Data'!#REF!</definedName>
    <definedName name="ooobbbjjjj" localSheetId="15">'[2]List Data'!#REF!</definedName>
    <definedName name="ooobbbjjjj" localSheetId="14">'[2]List Data'!#REF!</definedName>
    <definedName name="ooobbbjjjj" localSheetId="13">'[2]List Data'!#REF!</definedName>
    <definedName name="ooobbbjjjj" localSheetId="7">'[2]List Data'!#REF!</definedName>
    <definedName name="ooobbbjjjj" localSheetId="28">'[2]List Data'!#REF!</definedName>
    <definedName name="ooobbbjjjj" localSheetId="9">'[2]List Data'!#REF!</definedName>
    <definedName name="ooobbbjjjj">'[2]List Data'!#REF!</definedName>
    <definedName name="ooobbjjjjj" localSheetId="27">'[2]List Data'!#REF!</definedName>
    <definedName name="ooobbjjjjj" localSheetId="26">'[2]List Data'!#REF!</definedName>
    <definedName name="ooobbjjjjj" localSheetId="17">'[2]List Data'!#REF!</definedName>
    <definedName name="ooobbjjjjj" localSheetId="16">'[2]List Data'!#REF!</definedName>
    <definedName name="ooobbjjjjj" localSheetId="15">'[2]List Data'!#REF!</definedName>
    <definedName name="ooobbjjjjj" localSheetId="14">'[2]List Data'!#REF!</definedName>
    <definedName name="ooobbjjjjj" localSheetId="13">'[2]List Data'!#REF!</definedName>
    <definedName name="ooobbjjjjj" localSheetId="7">'[2]List Data'!#REF!</definedName>
    <definedName name="ooobbjjjjj" localSheetId="28">'[2]List Data'!#REF!</definedName>
    <definedName name="ooobbjjjjj" localSheetId="9">'[2]List Data'!#REF!</definedName>
    <definedName name="ooobbjjjjj">'[2]List Data'!#REF!</definedName>
    <definedName name="oooobbbjjj" localSheetId="27">'[2]List Data'!#REF!</definedName>
    <definedName name="oooobbbjjj" localSheetId="26">'[2]List Data'!#REF!</definedName>
    <definedName name="oooobbbjjj" localSheetId="17">'[2]List Data'!#REF!</definedName>
    <definedName name="oooobbbjjj" localSheetId="16">'[2]List Data'!#REF!</definedName>
    <definedName name="oooobbbjjj" localSheetId="15">'[2]List Data'!#REF!</definedName>
    <definedName name="oooobbbjjj" localSheetId="14">'[2]List Data'!#REF!</definedName>
    <definedName name="oooobbbjjj" localSheetId="13">'[2]List Data'!#REF!</definedName>
    <definedName name="oooobbbjjj" localSheetId="7">'[2]List Data'!#REF!</definedName>
    <definedName name="oooobbbjjj" localSheetId="28">'[2]List Data'!#REF!</definedName>
    <definedName name="oooobbbjjj" localSheetId="9">'[2]List Data'!#REF!</definedName>
    <definedName name="oooobbbjjj">'[2]List Data'!#REF!</definedName>
    <definedName name="_xlnm.Print_Area" localSheetId="27">#REF!,'Capacity Buttons'!#REF!,'Capacity Buttons'!#REF!,'Capacity Buttons'!#REF!,'Capacity Buttons'!#REF!,'Capacity Buttons'!#REF!,'Capacity Buttons'!#REF!,'Capacity Buttons'!#REF!</definedName>
    <definedName name="_xlnm.Print_Area" localSheetId="26">#REF!,'Caseload Buttons'!#REF!,'Caseload Buttons'!#REF!,'Caseload Buttons'!#REF!,'Caseload Buttons'!#REF!,'Caseload Buttons'!#REF!,'Caseload Buttons'!#REF!,'Caseload Buttons'!#REF!</definedName>
    <definedName name="_xlnm.Print_Area" localSheetId="25">'div &amp; regional reduction hours'!$B$1:$N$21</definedName>
    <definedName name="_xlnm.Print_Area" localSheetId="18">'divisional &amp; regional capacity'!$B$1:$F$20</definedName>
    <definedName name="_xlnm.Print_Area" localSheetId="0">home!$A$1:$U$24</definedName>
    <definedName name="_xlnm.Print_Area" localSheetId="28">#REF!,'Reductions Buttons'!#REF!,'Reductions Buttons'!#REF!,'Reductions Buttons'!#REF!,'Reductions Buttons'!#REF!,'Reductions Buttons'!#REF!,'Reductions Buttons'!#REF!,'Reductions Buttons'!#REF!</definedName>
    <definedName name="QtrRange" localSheetId="27">#REF!</definedName>
    <definedName name="QtrRange" localSheetId="3">#REF!</definedName>
    <definedName name="QtrRange" localSheetId="26">#REF!</definedName>
    <definedName name="QtrRange" localSheetId="19">#REF!</definedName>
    <definedName name="QtrRange" localSheetId="20">#REF!</definedName>
    <definedName name="QtrRange" localSheetId="24">#REF!</definedName>
    <definedName name="QtrRange" localSheetId="17">#REF!</definedName>
    <definedName name="QtrRange" localSheetId="16">#REF!</definedName>
    <definedName name="QtrRange" localSheetId="15">#REF!</definedName>
    <definedName name="QtrRange" localSheetId="14">#REF!</definedName>
    <definedName name="QtrRange" localSheetId="25">#REF!</definedName>
    <definedName name="QtrRange" localSheetId="18">#REF!</definedName>
    <definedName name="QtrRange" localSheetId="13">#REF!</definedName>
    <definedName name="QtrRange" localSheetId="7">#REF!</definedName>
    <definedName name="QtrRange" localSheetId="1">#REF!</definedName>
    <definedName name="QtrRange" localSheetId="23">#REF!</definedName>
    <definedName name="QtrRange" localSheetId="28">#REF!</definedName>
    <definedName name="QtrRange" localSheetId="4">#REF!</definedName>
    <definedName name="QtrRange" localSheetId="9">#REF!</definedName>
    <definedName name="QtrRange" localSheetId="22">#REF!</definedName>
    <definedName name="QtrRange">#REF!</definedName>
    <definedName name="Rank_Rating_Lookup">'[1]Rating Lookup'!$I$2:$J$36</definedName>
    <definedName name="Rating">'[1]Rating Lookup'!$C$3:$F$6</definedName>
    <definedName name="Region_Table">PDUs!$A$1:$O$30</definedName>
    <definedName name="Regions">PDUs!$A$1:$O$1</definedName>
    <definedName name="Second_Anchor">PDUs!$Q$1</definedName>
    <definedName name="Selection_LDUCluster" localSheetId="27">#REF!</definedName>
    <definedName name="Selection_LDUCluster" localSheetId="3">#REF!</definedName>
    <definedName name="Selection_LDUCluster" localSheetId="26">#REF!</definedName>
    <definedName name="Selection_LDUCluster" localSheetId="19">#REF!</definedName>
    <definedName name="Selection_LDUCluster" localSheetId="20">#REF!</definedName>
    <definedName name="Selection_LDUCluster" localSheetId="24">#REF!</definedName>
    <definedName name="Selection_LDUCluster" localSheetId="17">#REF!</definedName>
    <definedName name="Selection_LDUCluster" localSheetId="16">#REF!</definedName>
    <definedName name="Selection_LDUCluster" localSheetId="15">#REF!</definedName>
    <definedName name="Selection_LDUCluster" localSheetId="14">#REF!</definedName>
    <definedName name="Selection_LDUCluster" localSheetId="25">#REF!</definedName>
    <definedName name="Selection_LDUCluster" localSheetId="18">#REF!</definedName>
    <definedName name="Selection_LDUCluster" localSheetId="13">#REF!</definedName>
    <definedName name="Selection_LDUCluster" localSheetId="7">#REF!</definedName>
    <definedName name="Selection_LDUCluster" localSheetId="1">#REF!</definedName>
    <definedName name="Selection_LDUCluster" localSheetId="23">#REF!</definedName>
    <definedName name="Selection_LDUCluster" localSheetId="28">#REF!</definedName>
    <definedName name="Selection_LDUCluster" localSheetId="4">#REF!</definedName>
    <definedName name="Selection_LDUCluster" localSheetId="9">#REF!</definedName>
    <definedName name="Selection_LDUCluster" localSheetId="22">#REF!</definedName>
    <definedName name="Selection_LDUCluster">#REF!</definedName>
    <definedName name="Selection_Metric" localSheetId="27">#REF!</definedName>
    <definedName name="Selection_Metric" localSheetId="3">#REF!</definedName>
    <definedName name="Selection_Metric" localSheetId="26">#REF!</definedName>
    <definedName name="Selection_Metric" localSheetId="19">#REF!</definedName>
    <definedName name="Selection_Metric" localSheetId="20">#REF!</definedName>
    <definedName name="Selection_Metric" localSheetId="24">#REF!</definedName>
    <definedName name="Selection_Metric" localSheetId="17">#REF!</definedName>
    <definedName name="Selection_Metric" localSheetId="16">#REF!</definedName>
    <definedName name="Selection_Metric" localSheetId="15">#REF!</definedName>
    <definedName name="Selection_Metric" localSheetId="14">#REF!</definedName>
    <definedName name="Selection_Metric" localSheetId="25">#REF!</definedName>
    <definedName name="Selection_Metric" localSheetId="18">#REF!</definedName>
    <definedName name="Selection_Metric" localSheetId="13">#REF!</definedName>
    <definedName name="Selection_Metric" localSheetId="7">#REF!</definedName>
    <definedName name="Selection_Metric" localSheetId="1">#REF!</definedName>
    <definedName name="Selection_Metric" localSheetId="23">#REF!</definedName>
    <definedName name="Selection_Metric" localSheetId="28">#REF!</definedName>
    <definedName name="Selection_Metric" localSheetId="4">#REF!</definedName>
    <definedName name="Selection_Metric" localSheetId="9">#REF!</definedName>
    <definedName name="Selection_Metric" localSheetId="22">#REF!</definedName>
    <definedName name="Selection_Metric">#REF!</definedName>
    <definedName name="SL001Month" localSheetId="27">#REF!</definedName>
    <definedName name="SL001Month" localSheetId="3">#REF!</definedName>
    <definedName name="SL001Month" localSheetId="26">#REF!</definedName>
    <definedName name="SL001Month" localSheetId="19">#REF!</definedName>
    <definedName name="SL001Month" localSheetId="20">#REF!</definedName>
    <definedName name="SL001Month" localSheetId="24">#REF!</definedName>
    <definedName name="SL001Month" localSheetId="17">#REF!</definedName>
    <definedName name="SL001Month" localSheetId="16">#REF!</definedName>
    <definedName name="SL001Month" localSheetId="15">#REF!</definedName>
    <definedName name="SL001Month" localSheetId="14">#REF!</definedName>
    <definedName name="SL001Month" localSheetId="25">#REF!</definedName>
    <definedName name="SL001Month" localSheetId="18">#REF!</definedName>
    <definedName name="SL001Month" localSheetId="13">#REF!</definedName>
    <definedName name="SL001Month" localSheetId="7">#REF!</definedName>
    <definedName name="SL001Month" localSheetId="1">#REF!</definedName>
    <definedName name="SL001Month" localSheetId="23">#REF!</definedName>
    <definedName name="SL001Month" localSheetId="28">#REF!</definedName>
    <definedName name="SL001Month" localSheetId="4">#REF!</definedName>
    <definedName name="SL001Month" localSheetId="9">#REF!</definedName>
    <definedName name="SL001Month" localSheetId="22">#REF!</definedName>
    <definedName name="SL001Month">#REF!</definedName>
    <definedName name="SL001Text" localSheetId="27">#REF!</definedName>
    <definedName name="SL001Text" localSheetId="3">#REF!</definedName>
    <definedName name="SL001Text" localSheetId="26">#REF!</definedName>
    <definedName name="SL001Text" localSheetId="19">#REF!</definedName>
    <definedName name="SL001Text" localSheetId="20">#REF!</definedName>
    <definedName name="SL001Text" localSheetId="24">#REF!</definedName>
    <definedName name="SL001Text" localSheetId="17">#REF!</definedName>
    <definedName name="SL001Text" localSheetId="16">#REF!</definedName>
    <definedName name="SL001Text" localSheetId="15">#REF!</definedName>
    <definedName name="SL001Text" localSheetId="14">#REF!</definedName>
    <definedName name="SL001Text" localSheetId="25">#REF!</definedName>
    <definedName name="SL001Text" localSheetId="18">#REF!</definedName>
    <definedName name="SL001Text" localSheetId="13">#REF!</definedName>
    <definedName name="SL001Text" localSheetId="7">#REF!</definedName>
    <definedName name="SL001Text" localSheetId="1">#REF!</definedName>
    <definedName name="SL001Text" localSheetId="23">#REF!</definedName>
    <definedName name="SL001Text" localSheetId="28">#REF!</definedName>
    <definedName name="SL001Text" localSheetId="4">#REF!</definedName>
    <definedName name="SL001Text" localSheetId="9">#REF!</definedName>
    <definedName name="SL001Text" localSheetId="22">#REF!</definedName>
    <definedName name="SL001Text">#REF!</definedName>
    <definedName name="SL001Title" localSheetId="27">#REF!</definedName>
    <definedName name="SL001Title" localSheetId="3">#REF!</definedName>
    <definedName name="SL001Title" localSheetId="26">#REF!</definedName>
    <definedName name="SL001Title" localSheetId="19">#REF!</definedName>
    <definedName name="SL001Title" localSheetId="20">#REF!</definedName>
    <definedName name="SL001Title" localSheetId="24">#REF!</definedName>
    <definedName name="SL001Title" localSheetId="17">#REF!</definedName>
    <definedName name="SL001Title" localSheetId="16">#REF!</definedName>
    <definedName name="SL001Title" localSheetId="15">#REF!</definedName>
    <definedName name="SL001Title" localSheetId="14">#REF!</definedName>
    <definedName name="SL001Title" localSheetId="25">#REF!</definedName>
    <definedName name="SL001Title" localSheetId="18">#REF!</definedName>
    <definedName name="SL001Title" localSheetId="13">#REF!</definedName>
    <definedName name="SL001Title" localSheetId="7">#REF!</definedName>
    <definedName name="SL001Title" localSheetId="1">#REF!</definedName>
    <definedName name="SL001Title" localSheetId="23">#REF!</definedName>
    <definedName name="SL001Title" localSheetId="28">#REF!</definedName>
    <definedName name="SL001Title" localSheetId="4">#REF!</definedName>
    <definedName name="SL001Title" localSheetId="9">#REF!</definedName>
    <definedName name="SL001Title" localSheetId="22">#REF!</definedName>
    <definedName name="SL001Title">#REF!</definedName>
    <definedName name="SL001YTD" localSheetId="27">#REF!</definedName>
    <definedName name="SL001YTD" localSheetId="3">#REF!</definedName>
    <definedName name="SL001YTD" localSheetId="26">#REF!</definedName>
    <definedName name="SL001YTD" localSheetId="19">#REF!</definedName>
    <definedName name="SL001YTD" localSheetId="20">#REF!</definedName>
    <definedName name="SL001YTD" localSheetId="24">#REF!</definedName>
    <definedName name="SL001YTD" localSheetId="17">#REF!</definedName>
    <definedName name="SL001YTD" localSheetId="16">#REF!</definedName>
    <definedName name="SL001YTD" localSheetId="15">#REF!</definedName>
    <definedName name="SL001YTD" localSheetId="14">#REF!</definedName>
    <definedName name="SL001YTD" localSheetId="25">#REF!</definedName>
    <definedName name="SL001YTD" localSheetId="18">#REF!</definedName>
    <definedName name="SL001YTD" localSheetId="13">#REF!</definedName>
    <definedName name="SL001YTD" localSheetId="7">#REF!</definedName>
    <definedName name="SL001YTD" localSheetId="1">#REF!</definedName>
    <definedName name="SL001YTD" localSheetId="23">#REF!</definedName>
    <definedName name="SL001YTD" localSheetId="28">#REF!</definedName>
    <definedName name="SL001YTD" localSheetId="4">#REF!</definedName>
    <definedName name="SL001YTD" localSheetId="9">#REF!</definedName>
    <definedName name="SL001YTD" localSheetId="22">#REF!</definedName>
    <definedName name="SL001YTD">#REF!</definedName>
    <definedName name="SL002AMonth" localSheetId="27">#REF!</definedName>
    <definedName name="SL002AMonth" localSheetId="3">#REF!</definedName>
    <definedName name="SL002AMonth" localSheetId="26">#REF!</definedName>
    <definedName name="SL002AMonth" localSheetId="19">#REF!</definedName>
    <definedName name="SL002AMonth" localSheetId="20">#REF!</definedName>
    <definedName name="SL002AMonth" localSheetId="24">#REF!</definedName>
    <definedName name="SL002AMonth" localSheetId="17">#REF!</definedName>
    <definedName name="SL002AMonth" localSheetId="16">#REF!</definedName>
    <definedName name="SL002AMonth" localSheetId="15">#REF!</definedName>
    <definedName name="SL002AMonth" localSheetId="14">#REF!</definedName>
    <definedName name="SL002AMonth" localSheetId="25">#REF!</definedName>
    <definedName name="SL002AMonth" localSheetId="18">#REF!</definedName>
    <definedName name="SL002AMonth" localSheetId="13">#REF!</definedName>
    <definedName name="SL002AMonth" localSheetId="7">#REF!</definedName>
    <definedName name="SL002AMonth" localSheetId="1">#REF!</definedName>
    <definedName name="SL002AMonth" localSheetId="23">#REF!</definedName>
    <definedName name="SL002AMonth" localSheetId="28">#REF!</definedName>
    <definedName name="SL002AMonth" localSheetId="4">#REF!</definedName>
    <definedName name="SL002AMonth" localSheetId="9">#REF!</definedName>
    <definedName name="SL002AMonth" localSheetId="22">#REF!</definedName>
    <definedName name="SL002AMonth">#REF!</definedName>
    <definedName name="SL002AText" localSheetId="27">#REF!</definedName>
    <definedName name="SL002AText" localSheetId="3">#REF!</definedName>
    <definedName name="SL002AText" localSheetId="26">#REF!</definedName>
    <definedName name="SL002AText" localSheetId="19">#REF!</definedName>
    <definedName name="SL002AText" localSheetId="20">#REF!</definedName>
    <definedName name="SL002AText" localSheetId="24">#REF!</definedName>
    <definedName name="SL002AText" localSheetId="17">#REF!</definedName>
    <definedName name="SL002AText" localSheetId="16">#REF!</definedName>
    <definedName name="SL002AText" localSheetId="15">#REF!</definedName>
    <definedName name="SL002AText" localSheetId="14">#REF!</definedName>
    <definedName name="SL002AText" localSheetId="25">#REF!</definedName>
    <definedName name="SL002AText" localSheetId="18">#REF!</definedName>
    <definedName name="SL002AText" localSheetId="13">#REF!</definedName>
    <definedName name="SL002AText" localSheetId="7">#REF!</definedName>
    <definedName name="SL002AText" localSheetId="1">#REF!</definedName>
    <definedName name="SL002AText" localSheetId="23">#REF!</definedName>
    <definedName name="SL002AText" localSheetId="28">#REF!</definedName>
    <definedName name="SL002AText" localSheetId="4">#REF!</definedName>
    <definedName name="SL002AText" localSheetId="9">#REF!</definedName>
    <definedName name="SL002AText" localSheetId="22">#REF!</definedName>
    <definedName name="SL002AText">#REF!</definedName>
    <definedName name="SL002ATitle" localSheetId="27">#REF!</definedName>
    <definedName name="SL002ATitle" localSheetId="3">#REF!</definedName>
    <definedName name="SL002ATitle" localSheetId="26">#REF!</definedName>
    <definedName name="SL002ATitle" localSheetId="19">#REF!</definedName>
    <definedName name="SL002ATitle" localSheetId="20">#REF!</definedName>
    <definedName name="SL002ATitle" localSheetId="24">#REF!</definedName>
    <definedName name="SL002ATitle" localSheetId="17">#REF!</definedName>
    <definedName name="SL002ATitle" localSheetId="16">#REF!</definedName>
    <definedName name="SL002ATitle" localSheetId="15">#REF!</definedName>
    <definedName name="SL002ATitle" localSheetId="14">#REF!</definedName>
    <definedName name="SL002ATitle" localSheetId="25">#REF!</definedName>
    <definedName name="SL002ATitle" localSheetId="18">#REF!</definedName>
    <definedName name="SL002ATitle" localSheetId="13">#REF!</definedName>
    <definedName name="SL002ATitle" localSheetId="7">#REF!</definedName>
    <definedName name="SL002ATitle" localSheetId="1">#REF!</definedName>
    <definedName name="SL002ATitle" localSheetId="23">#REF!</definedName>
    <definedName name="SL002ATitle" localSheetId="28">#REF!</definedName>
    <definedName name="SL002ATitle" localSheetId="4">#REF!</definedName>
    <definedName name="SL002ATitle" localSheetId="9">#REF!</definedName>
    <definedName name="SL002ATitle" localSheetId="22">#REF!</definedName>
    <definedName name="SL002ATitle">#REF!</definedName>
    <definedName name="SL002AYTD" localSheetId="27">#REF!</definedName>
    <definedName name="SL002AYTD" localSheetId="3">#REF!</definedName>
    <definedName name="SL002AYTD" localSheetId="26">#REF!</definedName>
    <definedName name="SL002AYTD" localSheetId="19">#REF!</definedName>
    <definedName name="SL002AYTD" localSheetId="20">#REF!</definedName>
    <definedName name="SL002AYTD" localSheetId="24">#REF!</definedName>
    <definedName name="SL002AYTD" localSheetId="17">#REF!</definedName>
    <definedName name="SL002AYTD" localSheetId="16">#REF!</definedName>
    <definedName name="SL002AYTD" localSheetId="15">#REF!</definedName>
    <definedName name="SL002AYTD" localSheetId="14">#REF!</definedName>
    <definedName name="SL002AYTD" localSheetId="25">#REF!</definedName>
    <definedName name="SL002AYTD" localSheetId="18">#REF!</definedName>
    <definedName name="SL002AYTD" localSheetId="13">#REF!</definedName>
    <definedName name="SL002AYTD" localSheetId="7">#REF!</definedName>
    <definedName name="SL002AYTD" localSheetId="1">#REF!</definedName>
    <definedName name="SL002AYTD" localSheetId="23">#REF!</definedName>
    <definedName name="SL002AYTD" localSheetId="28">#REF!</definedName>
    <definedName name="SL002AYTD" localSheetId="4">#REF!</definedName>
    <definedName name="SL002AYTD" localSheetId="9">#REF!</definedName>
    <definedName name="SL002AYTD" localSheetId="22">#REF!</definedName>
    <definedName name="SL002AYTD">#REF!</definedName>
    <definedName name="SL002BMonth" localSheetId="27">#REF!</definedName>
    <definedName name="SL002BMonth" localSheetId="3">#REF!</definedName>
    <definedName name="SL002BMonth" localSheetId="26">#REF!</definedName>
    <definedName name="SL002BMonth" localSheetId="19">#REF!</definedName>
    <definedName name="SL002BMonth" localSheetId="20">#REF!</definedName>
    <definedName name="SL002BMonth" localSheetId="24">#REF!</definedName>
    <definedName name="SL002BMonth" localSheetId="17">#REF!</definedName>
    <definedName name="SL002BMonth" localSheetId="16">#REF!</definedName>
    <definedName name="SL002BMonth" localSheetId="15">#REF!</definedName>
    <definedName name="SL002BMonth" localSheetId="14">#REF!</definedName>
    <definedName name="SL002BMonth" localSheetId="25">#REF!</definedName>
    <definedName name="SL002BMonth" localSheetId="18">#REF!</definedName>
    <definedName name="SL002BMonth" localSheetId="13">#REF!</definedName>
    <definedName name="SL002BMonth" localSheetId="7">#REF!</definedName>
    <definedName name="SL002BMonth" localSheetId="1">#REF!</definedName>
    <definedName name="SL002BMonth" localSheetId="23">#REF!</definedName>
    <definedName name="SL002BMonth" localSheetId="28">#REF!</definedName>
    <definedName name="SL002BMonth" localSheetId="4">#REF!</definedName>
    <definedName name="SL002BMonth" localSheetId="9">#REF!</definedName>
    <definedName name="SL002BMonth" localSheetId="22">#REF!</definedName>
    <definedName name="SL002BMonth">#REF!</definedName>
    <definedName name="SL002BText" localSheetId="27">#REF!</definedName>
    <definedName name="SL002BText" localSheetId="3">#REF!</definedName>
    <definedName name="SL002BText" localSheetId="26">#REF!</definedName>
    <definedName name="SL002BText" localSheetId="19">#REF!</definedName>
    <definedName name="SL002BText" localSheetId="20">#REF!</definedName>
    <definedName name="SL002BText" localSheetId="24">#REF!</definedName>
    <definedName name="SL002BText" localSheetId="17">#REF!</definedName>
    <definedName name="SL002BText" localSheetId="16">#REF!</definedName>
    <definedName name="SL002BText" localSheetId="15">#REF!</definedName>
    <definedName name="SL002BText" localSheetId="14">#REF!</definedName>
    <definedName name="SL002BText" localSheetId="25">#REF!</definedName>
    <definedName name="SL002BText" localSheetId="18">#REF!</definedName>
    <definedName name="SL002BText" localSheetId="13">#REF!</definedName>
    <definedName name="SL002BText" localSheetId="7">#REF!</definedName>
    <definedName name="SL002BText" localSheetId="1">#REF!</definedName>
    <definedName name="SL002BText" localSheetId="23">#REF!</definedName>
    <definedName name="SL002BText" localSheetId="28">#REF!</definedName>
    <definedName name="SL002BText" localSheetId="4">#REF!</definedName>
    <definedName name="SL002BText" localSheetId="9">#REF!</definedName>
    <definedName name="SL002BText" localSheetId="22">#REF!</definedName>
    <definedName name="SL002BText">#REF!</definedName>
    <definedName name="SL002BTitle" localSheetId="27">#REF!</definedName>
    <definedName name="SL002BTitle" localSheetId="3">#REF!</definedName>
    <definedName name="SL002BTitle" localSheetId="26">#REF!</definedName>
    <definedName name="SL002BTitle" localSheetId="19">#REF!</definedName>
    <definedName name="SL002BTitle" localSheetId="20">#REF!</definedName>
    <definedName name="SL002BTitle" localSheetId="24">#REF!</definedName>
    <definedName name="SL002BTitle" localSheetId="17">#REF!</definedName>
    <definedName name="SL002BTitle" localSheetId="16">#REF!</definedName>
    <definedName name="SL002BTitle" localSheetId="15">#REF!</definedName>
    <definedName name="SL002BTitle" localSheetId="14">#REF!</definedName>
    <definedName name="SL002BTitle" localSheetId="25">#REF!</definedName>
    <definedName name="SL002BTitle" localSheetId="18">#REF!</definedName>
    <definedName name="SL002BTitle" localSheetId="13">#REF!</definedName>
    <definedName name="SL002BTitle" localSheetId="7">#REF!</definedName>
    <definedName name="SL002BTitle" localSheetId="1">#REF!</definedName>
    <definedName name="SL002BTitle" localSheetId="23">#REF!</definedName>
    <definedName name="SL002BTitle" localSheetId="28">#REF!</definedName>
    <definedName name="SL002BTitle" localSheetId="4">#REF!</definedName>
    <definedName name="SL002BTitle" localSheetId="9">#REF!</definedName>
    <definedName name="SL002BTitle" localSheetId="22">#REF!</definedName>
    <definedName name="SL002BTitle">#REF!</definedName>
    <definedName name="SL002BYTD" localSheetId="27">#REF!</definedName>
    <definedName name="SL002BYTD" localSheetId="3">#REF!</definedName>
    <definedName name="SL002BYTD" localSheetId="26">#REF!</definedName>
    <definedName name="SL002BYTD" localSheetId="19">#REF!</definedName>
    <definedName name="SL002BYTD" localSheetId="20">#REF!</definedName>
    <definedName name="SL002BYTD" localSheetId="24">#REF!</definedName>
    <definedName name="SL002BYTD" localSheetId="17">#REF!</definedName>
    <definedName name="SL002BYTD" localSheetId="16">#REF!</definedName>
    <definedName name="SL002BYTD" localSheetId="15">#REF!</definedName>
    <definedName name="SL002BYTD" localSheetId="14">#REF!</definedName>
    <definedName name="SL002BYTD" localSheetId="25">#REF!</definedName>
    <definedName name="SL002BYTD" localSheetId="18">#REF!</definedName>
    <definedName name="SL002BYTD" localSheetId="13">#REF!</definedName>
    <definedName name="SL002BYTD" localSheetId="7">#REF!</definedName>
    <definedName name="SL002BYTD" localSheetId="1">#REF!</definedName>
    <definedName name="SL002BYTD" localSheetId="23">#REF!</definedName>
    <definedName name="SL002BYTD" localSheetId="28">#REF!</definedName>
    <definedName name="SL002BYTD" localSheetId="4">#REF!</definedName>
    <definedName name="SL002BYTD" localSheetId="9">#REF!</definedName>
    <definedName name="SL002BYTD" localSheetId="22">#REF!</definedName>
    <definedName name="SL002BYTD">#REF!</definedName>
    <definedName name="SL002Month" localSheetId="27">#REF!</definedName>
    <definedName name="SL002Month" localSheetId="3">#REF!</definedName>
    <definedName name="SL002Month" localSheetId="26">#REF!</definedName>
    <definedName name="SL002Month" localSheetId="19">#REF!</definedName>
    <definedName name="SL002Month" localSheetId="20">#REF!</definedName>
    <definedName name="SL002Month" localSheetId="24">#REF!</definedName>
    <definedName name="SL002Month" localSheetId="17">#REF!</definedName>
    <definedName name="SL002Month" localSheetId="16">#REF!</definedName>
    <definedName name="SL002Month" localSheetId="15">#REF!</definedName>
    <definedName name="SL002Month" localSheetId="14">#REF!</definedName>
    <definedName name="SL002Month" localSheetId="25">#REF!</definedName>
    <definedName name="SL002Month" localSheetId="18">#REF!</definedName>
    <definedName name="SL002Month" localSheetId="13">#REF!</definedName>
    <definedName name="SL002Month" localSheetId="7">#REF!</definedName>
    <definedName name="SL002Month" localSheetId="1">#REF!</definedName>
    <definedName name="SL002Month" localSheetId="23">#REF!</definedName>
    <definedName name="SL002Month" localSheetId="28">#REF!</definedName>
    <definedName name="SL002Month" localSheetId="4">#REF!</definedName>
    <definedName name="SL002Month" localSheetId="9">#REF!</definedName>
    <definedName name="SL002Month" localSheetId="22">#REF!</definedName>
    <definedName name="SL002Month">#REF!</definedName>
    <definedName name="SL002Text" localSheetId="27">#REF!</definedName>
    <definedName name="SL002Text" localSheetId="3">#REF!</definedName>
    <definedName name="SL002Text" localSheetId="26">#REF!</definedName>
    <definedName name="SL002Text" localSheetId="19">#REF!</definedName>
    <definedName name="SL002Text" localSheetId="20">#REF!</definedName>
    <definedName name="SL002Text" localSheetId="24">#REF!</definedName>
    <definedName name="SL002Text" localSheetId="17">#REF!</definedName>
    <definedName name="SL002Text" localSheetId="16">#REF!</definedName>
    <definedName name="SL002Text" localSheetId="15">#REF!</definedName>
    <definedName name="SL002Text" localSheetId="14">#REF!</definedName>
    <definedName name="SL002Text" localSheetId="25">#REF!</definedName>
    <definedName name="SL002Text" localSheetId="18">#REF!</definedName>
    <definedName name="SL002Text" localSheetId="13">#REF!</definedName>
    <definedName name="SL002Text" localSheetId="7">#REF!</definedName>
    <definedName name="SL002Text" localSheetId="1">#REF!</definedName>
    <definedName name="SL002Text" localSheetId="23">#REF!</definedName>
    <definedName name="SL002Text" localSheetId="28">#REF!</definedName>
    <definedName name="SL002Text" localSheetId="4">#REF!</definedName>
    <definedName name="SL002Text" localSheetId="9">#REF!</definedName>
    <definedName name="SL002Text" localSheetId="22">#REF!</definedName>
    <definedName name="SL002Text">#REF!</definedName>
    <definedName name="SL002Title" localSheetId="27">#REF!</definedName>
    <definedName name="SL002Title" localSheetId="3">#REF!</definedName>
    <definedName name="SL002Title" localSheetId="26">#REF!</definedName>
    <definedName name="SL002Title" localSheetId="19">#REF!</definedName>
    <definedName name="SL002Title" localSheetId="20">#REF!</definedName>
    <definedName name="SL002Title" localSheetId="24">#REF!</definedName>
    <definedName name="SL002Title" localSheetId="17">#REF!</definedName>
    <definedName name="SL002Title" localSheetId="16">#REF!</definedName>
    <definedName name="SL002Title" localSheetId="15">#REF!</definedName>
    <definedName name="SL002Title" localSheetId="14">#REF!</definedName>
    <definedName name="SL002Title" localSheetId="25">#REF!</definedName>
    <definedName name="SL002Title" localSheetId="18">#REF!</definedName>
    <definedName name="SL002Title" localSheetId="13">#REF!</definedName>
    <definedName name="SL002Title" localSheetId="7">#REF!</definedName>
    <definedName name="SL002Title" localSheetId="1">#REF!</definedName>
    <definedName name="SL002Title" localSheetId="23">#REF!</definedName>
    <definedName name="SL002Title" localSheetId="28">#REF!</definedName>
    <definedName name="SL002Title" localSheetId="4">#REF!</definedName>
    <definedName name="SL002Title" localSheetId="9">#REF!</definedName>
    <definedName name="SL002Title" localSheetId="22">#REF!</definedName>
    <definedName name="SL002Title">#REF!</definedName>
    <definedName name="SL002YTD" localSheetId="27">#REF!</definedName>
    <definedName name="SL002YTD" localSheetId="3">#REF!</definedName>
    <definedName name="SL002YTD" localSheetId="26">#REF!</definedName>
    <definedName name="SL002YTD" localSheetId="19">#REF!</definedName>
    <definedName name="SL002YTD" localSheetId="20">#REF!</definedName>
    <definedName name="SL002YTD" localSheetId="24">#REF!</definedName>
    <definedName name="SL002YTD" localSheetId="17">#REF!</definedName>
    <definedName name="SL002YTD" localSheetId="16">#REF!</definedName>
    <definedName name="SL002YTD" localSheetId="15">#REF!</definedName>
    <definedName name="SL002YTD" localSheetId="14">#REF!</definedName>
    <definedName name="SL002YTD" localSheetId="25">#REF!</definedName>
    <definedName name="SL002YTD" localSheetId="18">#REF!</definedName>
    <definedName name="SL002YTD" localSheetId="13">#REF!</definedName>
    <definedName name="SL002YTD" localSheetId="7">#REF!</definedName>
    <definedName name="SL002YTD" localSheetId="1">#REF!</definedName>
    <definedName name="SL002YTD" localSheetId="23">#REF!</definedName>
    <definedName name="SL002YTD" localSheetId="28">#REF!</definedName>
    <definedName name="SL002YTD" localSheetId="4">#REF!</definedName>
    <definedName name="SL002YTD" localSheetId="9">#REF!</definedName>
    <definedName name="SL002YTD" localSheetId="22">#REF!</definedName>
    <definedName name="SL002YTD">#REF!</definedName>
    <definedName name="SL003Month" localSheetId="27">#REF!</definedName>
    <definedName name="SL003Month" localSheetId="3">#REF!</definedName>
    <definedName name="SL003Month" localSheetId="26">#REF!</definedName>
    <definedName name="SL003Month" localSheetId="19">#REF!</definedName>
    <definedName name="SL003Month" localSheetId="20">#REF!</definedName>
    <definedName name="SL003Month" localSheetId="24">#REF!</definedName>
    <definedName name="SL003Month" localSheetId="17">#REF!</definedName>
    <definedName name="SL003Month" localSheetId="16">#REF!</definedName>
    <definedName name="SL003Month" localSheetId="15">#REF!</definedName>
    <definedName name="SL003Month" localSheetId="14">#REF!</definedName>
    <definedName name="SL003Month" localSheetId="25">#REF!</definedName>
    <definedName name="SL003Month" localSheetId="18">#REF!</definedName>
    <definedName name="SL003Month" localSheetId="13">#REF!</definedName>
    <definedName name="SL003Month" localSheetId="7">#REF!</definedName>
    <definedName name="SL003Month" localSheetId="1">#REF!</definedName>
    <definedName name="SL003Month" localSheetId="23">#REF!</definedName>
    <definedName name="SL003Month" localSheetId="28">#REF!</definedName>
    <definedName name="SL003Month" localSheetId="4">#REF!</definedName>
    <definedName name="SL003Month" localSheetId="9">#REF!</definedName>
    <definedName name="SL003Month" localSheetId="22">#REF!</definedName>
    <definedName name="SL003Month">#REF!</definedName>
    <definedName name="SL003Text" localSheetId="27">#REF!</definedName>
    <definedName name="SL003Text" localSheetId="3">#REF!</definedName>
    <definedName name="SL003Text" localSheetId="26">#REF!</definedName>
    <definedName name="SL003Text" localSheetId="19">#REF!</definedName>
    <definedName name="SL003Text" localSheetId="20">#REF!</definedName>
    <definedName name="SL003Text" localSheetId="24">#REF!</definedName>
    <definedName name="SL003Text" localSheetId="17">#REF!</definedName>
    <definedName name="SL003Text" localSheetId="16">#REF!</definedName>
    <definedName name="SL003Text" localSheetId="15">#REF!</definedName>
    <definedName name="SL003Text" localSheetId="14">#REF!</definedName>
    <definedName name="SL003Text" localSheetId="25">#REF!</definedName>
    <definedName name="SL003Text" localSheetId="18">#REF!</definedName>
    <definedName name="SL003Text" localSheetId="13">#REF!</definedName>
    <definedName name="SL003Text" localSheetId="7">#REF!</definedName>
    <definedName name="SL003Text" localSheetId="1">#REF!</definedName>
    <definedName name="SL003Text" localSheetId="23">#REF!</definedName>
    <definedName name="SL003Text" localSheetId="28">#REF!</definedName>
    <definedName name="SL003Text" localSheetId="4">#REF!</definedName>
    <definedName name="SL003Text" localSheetId="9">#REF!</definedName>
    <definedName name="SL003Text" localSheetId="22">#REF!</definedName>
    <definedName name="SL003Text">#REF!</definedName>
    <definedName name="SL003Title" localSheetId="27">#REF!</definedName>
    <definedName name="SL003Title" localSheetId="3">#REF!</definedName>
    <definedName name="SL003Title" localSheetId="26">#REF!</definedName>
    <definedName name="SL003Title" localSheetId="19">#REF!</definedName>
    <definedName name="SL003Title" localSheetId="20">#REF!</definedName>
    <definedName name="SL003Title" localSheetId="24">#REF!</definedName>
    <definedName name="SL003Title" localSheetId="17">#REF!</definedName>
    <definedName name="SL003Title" localSheetId="16">#REF!</definedName>
    <definedName name="SL003Title" localSheetId="15">#REF!</definedName>
    <definedName name="SL003Title" localSheetId="14">#REF!</definedName>
    <definedName name="SL003Title" localSheetId="25">#REF!</definedName>
    <definedName name="SL003Title" localSheetId="18">#REF!</definedName>
    <definedName name="SL003Title" localSheetId="13">#REF!</definedName>
    <definedName name="SL003Title" localSheetId="7">#REF!</definedName>
    <definedName name="SL003Title" localSheetId="1">#REF!</definedName>
    <definedName name="SL003Title" localSheetId="23">#REF!</definedName>
    <definedName name="SL003Title" localSheetId="28">#REF!</definedName>
    <definedName name="SL003Title" localSheetId="4">#REF!</definedName>
    <definedName name="SL003Title" localSheetId="9">#REF!</definedName>
    <definedName name="SL003Title" localSheetId="22">#REF!</definedName>
    <definedName name="SL003Title">#REF!</definedName>
    <definedName name="SL003YTD" localSheetId="27">#REF!</definedName>
    <definedName name="SL003YTD" localSheetId="3">#REF!</definedName>
    <definedName name="SL003YTD" localSheetId="26">#REF!</definedName>
    <definedName name="SL003YTD" localSheetId="19">#REF!</definedName>
    <definedName name="SL003YTD" localSheetId="20">#REF!</definedName>
    <definedName name="SL003YTD" localSheetId="24">#REF!</definedName>
    <definedName name="SL003YTD" localSheetId="17">#REF!</definedName>
    <definedName name="SL003YTD" localSheetId="16">#REF!</definedName>
    <definedName name="SL003YTD" localSheetId="15">#REF!</definedName>
    <definedName name="SL003YTD" localSheetId="14">#REF!</definedName>
    <definedName name="SL003YTD" localSheetId="25">#REF!</definedName>
    <definedName name="SL003YTD" localSheetId="18">#REF!</definedName>
    <definedName name="SL003YTD" localSheetId="13">#REF!</definedName>
    <definedName name="SL003YTD" localSheetId="7">#REF!</definedName>
    <definedName name="SL003YTD" localSheetId="1">#REF!</definedName>
    <definedName name="SL003YTD" localSheetId="23">#REF!</definedName>
    <definedName name="SL003YTD" localSheetId="28">#REF!</definedName>
    <definedName name="SL003YTD" localSheetId="4">#REF!</definedName>
    <definedName name="SL003YTD" localSheetId="9">#REF!</definedName>
    <definedName name="SL003YTD" localSheetId="22">#REF!</definedName>
    <definedName name="SL003YTD">#REF!</definedName>
    <definedName name="SL004Month" localSheetId="27">#REF!</definedName>
    <definedName name="SL004Month" localSheetId="3">#REF!</definedName>
    <definedName name="SL004Month" localSheetId="26">#REF!</definedName>
    <definedName name="SL004Month" localSheetId="19">#REF!</definedName>
    <definedName name="SL004Month" localSheetId="20">#REF!</definedName>
    <definedName name="SL004Month" localSheetId="24">#REF!</definedName>
    <definedName name="SL004Month" localSheetId="17">#REF!</definedName>
    <definedName name="SL004Month" localSheetId="16">#REF!</definedName>
    <definedName name="SL004Month" localSheetId="15">#REF!</definedName>
    <definedName name="SL004Month" localSheetId="14">#REF!</definedName>
    <definedName name="SL004Month" localSheetId="25">#REF!</definedName>
    <definedName name="SL004Month" localSheetId="18">#REF!</definedName>
    <definedName name="SL004Month" localSheetId="13">#REF!</definedName>
    <definedName name="SL004Month" localSheetId="7">#REF!</definedName>
    <definedName name="SL004Month" localSheetId="1">#REF!</definedName>
    <definedName name="SL004Month" localSheetId="23">#REF!</definedName>
    <definedName name="SL004Month" localSheetId="28">#REF!</definedName>
    <definedName name="SL004Month" localSheetId="4">#REF!</definedName>
    <definedName name="SL004Month" localSheetId="9">#REF!</definedName>
    <definedName name="SL004Month" localSheetId="22">#REF!</definedName>
    <definedName name="SL004Month">#REF!</definedName>
    <definedName name="SL004Text" localSheetId="27">#REF!</definedName>
    <definedName name="SL004Text" localSheetId="3">#REF!</definedName>
    <definedName name="SL004Text" localSheetId="26">#REF!</definedName>
    <definedName name="SL004Text" localSheetId="19">#REF!</definedName>
    <definedName name="SL004Text" localSheetId="20">#REF!</definedName>
    <definedName name="SL004Text" localSheetId="24">#REF!</definedName>
    <definedName name="SL004Text" localSheetId="17">#REF!</definedName>
    <definedName name="SL004Text" localSheetId="16">#REF!</definedName>
    <definedName name="SL004Text" localSheetId="15">#REF!</definedName>
    <definedName name="SL004Text" localSheetId="14">#REF!</definedName>
    <definedName name="SL004Text" localSheetId="25">#REF!</definedName>
    <definedName name="SL004Text" localSheetId="18">#REF!</definedName>
    <definedName name="SL004Text" localSheetId="13">#REF!</definedName>
    <definedName name="SL004Text" localSheetId="7">#REF!</definedName>
    <definedName name="SL004Text" localSheetId="1">#REF!</definedName>
    <definedName name="SL004Text" localSheetId="23">#REF!</definedName>
    <definedName name="SL004Text" localSheetId="28">#REF!</definedName>
    <definedName name="SL004Text" localSheetId="4">#REF!</definedName>
    <definedName name="SL004Text" localSheetId="9">#REF!</definedName>
    <definedName name="SL004Text" localSheetId="22">#REF!</definedName>
    <definedName name="SL004Text">#REF!</definedName>
    <definedName name="SL004Title" localSheetId="27">#REF!</definedName>
    <definedName name="SL004Title" localSheetId="3">#REF!</definedName>
    <definedName name="SL004Title" localSheetId="26">#REF!</definedName>
    <definedName name="SL004Title" localSheetId="19">#REF!</definedName>
    <definedName name="SL004Title" localSheetId="20">#REF!</definedName>
    <definedName name="SL004Title" localSheetId="24">#REF!</definedName>
    <definedName name="SL004Title" localSheetId="17">#REF!</definedName>
    <definedName name="SL004Title" localSheetId="16">#REF!</definedName>
    <definedName name="SL004Title" localSheetId="15">#REF!</definedName>
    <definedName name="SL004Title" localSheetId="14">#REF!</definedName>
    <definedName name="SL004Title" localSheetId="25">#REF!</definedName>
    <definedName name="SL004Title" localSheetId="18">#REF!</definedName>
    <definedName name="SL004Title" localSheetId="13">#REF!</definedName>
    <definedName name="SL004Title" localSheetId="7">#REF!</definedName>
    <definedName name="SL004Title" localSheetId="1">#REF!</definedName>
    <definedName name="SL004Title" localSheetId="23">#REF!</definedName>
    <definedName name="SL004Title" localSheetId="28">#REF!</definedName>
    <definedName name="SL004Title" localSheetId="4">#REF!</definedName>
    <definedName name="SL004Title" localSheetId="9">#REF!</definedName>
    <definedName name="SL004Title" localSheetId="22">#REF!</definedName>
    <definedName name="SL004Title">#REF!</definedName>
    <definedName name="SL004YTD" localSheetId="27">#REF!</definedName>
    <definedName name="SL004YTD" localSheetId="3">#REF!</definedName>
    <definedName name="SL004YTD" localSheetId="26">#REF!</definedName>
    <definedName name="SL004YTD" localSheetId="19">#REF!</definedName>
    <definedName name="SL004YTD" localSheetId="20">#REF!</definedName>
    <definedName name="SL004YTD" localSheetId="24">#REF!</definedName>
    <definedName name="SL004YTD" localSheetId="17">#REF!</definedName>
    <definedName name="SL004YTD" localSheetId="16">#REF!</definedName>
    <definedName name="SL004YTD" localSheetId="15">#REF!</definedName>
    <definedName name="SL004YTD" localSheetId="14">#REF!</definedName>
    <definedName name="SL004YTD" localSheetId="25">#REF!</definedName>
    <definedName name="SL004YTD" localSheetId="18">#REF!</definedName>
    <definedName name="SL004YTD" localSheetId="13">#REF!</definedName>
    <definedName name="SL004YTD" localSheetId="7">#REF!</definedName>
    <definedName name="SL004YTD" localSheetId="1">#REF!</definedName>
    <definedName name="SL004YTD" localSheetId="23">#REF!</definedName>
    <definedName name="SL004YTD" localSheetId="28">#REF!</definedName>
    <definedName name="SL004YTD" localSheetId="4">#REF!</definedName>
    <definedName name="SL004YTD" localSheetId="9">#REF!</definedName>
    <definedName name="SL004YTD" localSheetId="22">#REF!</definedName>
    <definedName name="SL004YTD">#REF!</definedName>
    <definedName name="SL005Month" localSheetId="27">#REF!</definedName>
    <definedName name="SL005Month" localSheetId="3">#REF!</definedName>
    <definedName name="SL005Month" localSheetId="26">#REF!</definedName>
    <definedName name="SL005Month" localSheetId="19">#REF!</definedName>
    <definedName name="SL005Month" localSheetId="20">#REF!</definedName>
    <definedName name="SL005Month" localSheetId="24">#REF!</definedName>
    <definedName name="SL005Month" localSheetId="17">#REF!</definedName>
    <definedName name="SL005Month" localSheetId="16">#REF!</definedName>
    <definedName name="SL005Month" localSheetId="15">#REF!</definedName>
    <definedName name="SL005Month" localSheetId="14">#REF!</definedName>
    <definedName name="SL005Month" localSheetId="25">#REF!</definedName>
    <definedName name="SL005Month" localSheetId="18">#REF!</definedName>
    <definedName name="SL005Month" localSheetId="13">#REF!</definedName>
    <definedName name="SL005Month" localSheetId="7">#REF!</definedName>
    <definedName name="SL005Month" localSheetId="1">#REF!</definedName>
    <definedName name="SL005Month" localSheetId="23">#REF!</definedName>
    <definedName name="SL005Month" localSheetId="28">#REF!</definedName>
    <definedName name="SL005Month" localSheetId="4">#REF!</definedName>
    <definedName name="SL005Month" localSheetId="9">#REF!</definedName>
    <definedName name="SL005Month" localSheetId="22">#REF!</definedName>
    <definedName name="SL005Month">#REF!</definedName>
    <definedName name="SL005Text" localSheetId="27">#REF!</definedName>
    <definedName name="SL005Text" localSheetId="3">#REF!</definedName>
    <definedName name="SL005Text" localSheetId="26">#REF!</definedName>
    <definedName name="SL005Text" localSheetId="19">#REF!</definedName>
    <definedName name="SL005Text" localSheetId="20">#REF!</definedName>
    <definedName name="SL005Text" localSheetId="24">#REF!</definedName>
    <definedName name="SL005Text" localSheetId="17">#REF!</definedName>
    <definedName name="SL005Text" localSheetId="16">#REF!</definedName>
    <definedName name="SL005Text" localSheetId="15">#REF!</definedName>
    <definedName name="SL005Text" localSheetId="14">#REF!</definedName>
    <definedName name="SL005Text" localSheetId="25">#REF!</definedName>
    <definedName name="SL005Text" localSheetId="18">#REF!</definedName>
    <definedName name="SL005Text" localSheetId="13">#REF!</definedName>
    <definedName name="SL005Text" localSheetId="7">#REF!</definedName>
    <definedName name="SL005Text" localSheetId="1">#REF!</definedName>
    <definedName name="SL005Text" localSheetId="23">#REF!</definedName>
    <definedName name="SL005Text" localSheetId="28">#REF!</definedName>
    <definedName name="SL005Text" localSheetId="4">#REF!</definedName>
    <definedName name="SL005Text" localSheetId="9">#REF!</definedName>
    <definedName name="SL005Text" localSheetId="22">#REF!</definedName>
    <definedName name="SL005Text">#REF!</definedName>
    <definedName name="SL005Title" localSheetId="27">#REF!</definedName>
    <definedName name="SL005Title" localSheetId="3">#REF!</definedName>
    <definedName name="SL005Title" localSheetId="26">#REF!</definedName>
    <definedName name="SL005Title" localSheetId="19">#REF!</definedName>
    <definedName name="SL005Title" localSheetId="20">#REF!</definedName>
    <definedName name="SL005Title" localSheetId="24">#REF!</definedName>
    <definedName name="SL005Title" localSheetId="17">#REF!</definedName>
    <definedName name="SL005Title" localSheetId="16">#REF!</definedName>
    <definedName name="SL005Title" localSheetId="15">#REF!</definedName>
    <definedName name="SL005Title" localSheetId="14">#REF!</definedName>
    <definedName name="SL005Title" localSheetId="25">#REF!</definedName>
    <definedName name="SL005Title" localSheetId="18">#REF!</definedName>
    <definedName name="SL005Title" localSheetId="13">#REF!</definedName>
    <definedName name="SL005Title" localSheetId="7">#REF!</definedName>
    <definedName name="SL005Title" localSheetId="1">#REF!</definedName>
    <definedName name="SL005Title" localSheetId="23">#REF!</definedName>
    <definedName name="SL005Title" localSheetId="28">#REF!</definedName>
    <definedName name="SL005Title" localSheetId="4">#REF!</definedName>
    <definedName name="SL005Title" localSheetId="9">#REF!</definedName>
    <definedName name="SL005Title" localSheetId="22">#REF!</definedName>
    <definedName name="SL005Title">#REF!</definedName>
    <definedName name="SL005YTD" localSheetId="27">#REF!</definedName>
    <definedName name="SL005YTD" localSheetId="3">#REF!</definedName>
    <definedName name="SL005YTD" localSheetId="26">#REF!</definedName>
    <definedName name="SL005YTD" localSheetId="19">#REF!</definedName>
    <definedName name="SL005YTD" localSheetId="20">#REF!</definedName>
    <definedName name="SL005YTD" localSheetId="24">#REF!</definedName>
    <definedName name="SL005YTD" localSheetId="17">#REF!</definedName>
    <definedName name="SL005YTD" localSheetId="16">#REF!</definedName>
    <definedName name="SL005YTD" localSheetId="15">#REF!</definedName>
    <definedName name="SL005YTD" localSheetId="14">#REF!</definedName>
    <definedName name="SL005YTD" localSheetId="25">#REF!</definedName>
    <definedName name="SL005YTD" localSheetId="18">#REF!</definedName>
    <definedName name="SL005YTD" localSheetId="13">#REF!</definedName>
    <definedName name="SL005YTD" localSheetId="7">#REF!</definedName>
    <definedName name="SL005YTD" localSheetId="1">#REF!</definedName>
    <definedName name="SL005YTD" localSheetId="23">#REF!</definedName>
    <definedName name="SL005YTD" localSheetId="28">#REF!</definedName>
    <definedName name="SL005YTD" localSheetId="4">#REF!</definedName>
    <definedName name="SL005YTD" localSheetId="9">#REF!</definedName>
    <definedName name="SL005YTD" localSheetId="22">#REF!</definedName>
    <definedName name="SL005YTD">#REF!</definedName>
    <definedName name="SL006Month" localSheetId="27">#REF!</definedName>
    <definedName name="SL006Month" localSheetId="3">#REF!</definedName>
    <definedName name="SL006Month" localSheetId="26">#REF!</definedName>
    <definedName name="SL006Month" localSheetId="19">#REF!</definedName>
    <definedName name="SL006Month" localSheetId="20">#REF!</definedName>
    <definedName name="SL006Month" localSheetId="24">#REF!</definedName>
    <definedName name="SL006Month" localSheetId="17">#REF!</definedName>
    <definedName name="SL006Month" localSheetId="16">#REF!</definedName>
    <definedName name="SL006Month" localSheetId="15">#REF!</definedName>
    <definedName name="SL006Month" localSheetId="14">#REF!</definedName>
    <definedName name="SL006Month" localSheetId="25">#REF!</definedName>
    <definedName name="SL006Month" localSheetId="18">#REF!</definedName>
    <definedName name="SL006Month" localSheetId="13">#REF!</definedName>
    <definedName name="SL006Month" localSheetId="7">#REF!</definedName>
    <definedName name="SL006Month" localSheetId="1">#REF!</definedName>
    <definedName name="SL006Month" localSheetId="23">#REF!</definedName>
    <definedName name="SL006Month" localSheetId="28">#REF!</definedName>
    <definedName name="SL006Month" localSheetId="4">#REF!</definedName>
    <definedName name="SL006Month" localSheetId="9">#REF!</definedName>
    <definedName name="SL006Month" localSheetId="22">#REF!</definedName>
    <definedName name="SL006Month">#REF!</definedName>
    <definedName name="SL006Text" localSheetId="27">#REF!</definedName>
    <definedName name="SL006Text" localSheetId="3">#REF!</definedName>
    <definedName name="SL006Text" localSheetId="26">#REF!</definedName>
    <definedName name="SL006Text" localSheetId="19">#REF!</definedName>
    <definedName name="SL006Text" localSheetId="20">#REF!</definedName>
    <definedName name="SL006Text" localSheetId="24">#REF!</definedName>
    <definedName name="SL006Text" localSheetId="17">#REF!</definedName>
    <definedName name="SL006Text" localSheetId="16">#REF!</definedName>
    <definedName name="SL006Text" localSheetId="15">#REF!</definedName>
    <definedName name="SL006Text" localSheetId="14">#REF!</definedName>
    <definedName name="SL006Text" localSheetId="25">#REF!</definedName>
    <definedName name="SL006Text" localSheetId="18">#REF!</definedName>
    <definedName name="SL006Text" localSheetId="13">#REF!</definedName>
    <definedName name="SL006Text" localSheetId="7">#REF!</definedName>
    <definedName name="SL006Text" localSheetId="1">#REF!</definedName>
    <definedName name="SL006Text" localSheetId="23">#REF!</definedName>
    <definedName name="SL006Text" localSheetId="28">#REF!</definedName>
    <definedName name="SL006Text" localSheetId="4">#REF!</definedName>
    <definedName name="SL006Text" localSheetId="9">#REF!</definedName>
    <definedName name="SL006Text" localSheetId="22">#REF!</definedName>
    <definedName name="SL006Text">#REF!</definedName>
    <definedName name="SL006Title" localSheetId="27">#REF!</definedName>
    <definedName name="SL006Title" localSheetId="3">#REF!</definedName>
    <definedName name="SL006Title" localSheetId="26">#REF!</definedName>
    <definedName name="SL006Title" localSheetId="19">#REF!</definedName>
    <definedName name="SL006Title" localSheetId="20">#REF!</definedName>
    <definedName name="SL006Title" localSheetId="24">#REF!</definedName>
    <definedName name="SL006Title" localSheetId="17">#REF!</definedName>
    <definedName name="SL006Title" localSheetId="16">#REF!</definedName>
    <definedName name="SL006Title" localSheetId="15">#REF!</definedName>
    <definedName name="SL006Title" localSheetId="14">#REF!</definedName>
    <definedName name="SL006Title" localSheetId="25">#REF!</definedName>
    <definedName name="SL006Title" localSheetId="18">#REF!</definedName>
    <definedName name="SL006Title" localSheetId="13">#REF!</definedName>
    <definedName name="SL006Title" localSheetId="7">#REF!</definedName>
    <definedName name="SL006Title" localSheetId="1">#REF!</definedName>
    <definedName name="SL006Title" localSheetId="23">#REF!</definedName>
    <definedName name="SL006Title" localSheetId="28">#REF!</definedName>
    <definedName name="SL006Title" localSheetId="4">#REF!</definedName>
    <definedName name="SL006Title" localSheetId="9">#REF!</definedName>
    <definedName name="SL006Title" localSheetId="22">#REF!</definedName>
    <definedName name="SL006Title">#REF!</definedName>
    <definedName name="SL006YTD" localSheetId="27">#REF!</definedName>
    <definedName name="SL006YTD" localSheetId="3">#REF!</definedName>
    <definedName name="SL006YTD" localSheetId="26">#REF!</definedName>
    <definedName name="SL006YTD" localSheetId="19">#REF!</definedName>
    <definedName name="SL006YTD" localSheetId="20">#REF!</definedName>
    <definedName name="SL006YTD" localSheetId="24">#REF!</definedName>
    <definedName name="SL006YTD" localSheetId="17">#REF!</definedName>
    <definedName name="SL006YTD" localSheetId="16">#REF!</definedName>
    <definedName name="SL006YTD" localSheetId="15">#REF!</definedName>
    <definedName name="SL006YTD" localSheetId="14">#REF!</definedName>
    <definedName name="SL006YTD" localSheetId="25">#REF!</definedName>
    <definedName name="SL006YTD" localSheetId="18">#REF!</definedName>
    <definedName name="SL006YTD" localSheetId="13">#REF!</definedName>
    <definedName name="SL006YTD" localSheetId="7">#REF!</definedName>
    <definedName name="SL006YTD" localSheetId="1">#REF!</definedName>
    <definedName name="SL006YTD" localSheetId="23">#REF!</definedName>
    <definedName name="SL006YTD" localSheetId="28">#REF!</definedName>
    <definedName name="SL006YTD" localSheetId="4">#REF!</definedName>
    <definedName name="SL006YTD" localSheetId="9">#REF!</definedName>
    <definedName name="SL006YTD" localSheetId="22">#REF!</definedName>
    <definedName name="SL006YTD">#REF!</definedName>
    <definedName name="SL007Month" localSheetId="27">#REF!</definedName>
    <definedName name="SL007Month" localSheetId="3">#REF!</definedName>
    <definedName name="SL007Month" localSheetId="26">#REF!</definedName>
    <definedName name="SL007Month" localSheetId="19">#REF!</definedName>
    <definedName name="SL007Month" localSheetId="20">#REF!</definedName>
    <definedName name="SL007Month" localSheetId="24">#REF!</definedName>
    <definedName name="SL007Month" localSheetId="17">#REF!</definedName>
    <definedName name="SL007Month" localSheetId="16">#REF!</definedName>
    <definedName name="SL007Month" localSheetId="15">#REF!</definedName>
    <definedName name="SL007Month" localSheetId="14">#REF!</definedName>
    <definedName name="SL007Month" localSheetId="25">#REF!</definedName>
    <definedName name="SL007Month" localSheetId="18">#REF!</definedName>
    <definedName name="SL007Month" localSheetId="13">#REF!</definedName>
    <definedName name="SL007Month" localSheetId="7">#REF!</definedName>
    <definedName name="SL007Month" localSheetId="1">#REF!</definedName>
    <definedName name="SL007Month" localSheetId="23">#REF!</definedName>
    <definedName name="SL007Month" localSheetId="28">#REF!</definedName>
    <definedName name="SL007Month" localSheetId="4">#REF!</definedName>
    <definedName name="SL007Month" localSheetId="9">#REF!</definedName>
    <definedName name="SL007Month" localSheetId="22">#REF!</definedName>
    <definedName name="SL007Month">#REF!</definedName>
    <definedName name="SL007Text" localSheetId="27">#REF!</definedName>
    <definedName name="SL007Text" localSheetId="3">#REF!</definedName>
    <definedName name="SL007Text" localSheetId="26">#REF!</definedName>
    <definedName name="SL007Text" localSheetId="19">#REF!</definedName>
    <definedName name="SL007Text" localSheetId="20">#REF!</definedName>
    <definedName name="SL007Text" localSheetId="24">#REF!</definedName>
    <definedName name="SL007Text" localSheetId="17">#REF!</definedName>
    <definedName name="SL007Text" localSheetId="16">#REF!</definedName>
    <definedName name="SL007Text" localSheetId="15">#REF!</definedName>
    <definedName name="SL007Text" localSheetId="14">#REF!</definedName>
    <definedName name="SL007Text" localSheetId="25">#REF!</definedName>
    <definedName name="SL007Text" localSheetId="18">#REF!</definedName>
    <definedName name="SL007Text" localSheetId="13">#REF!</definedName>
    <definedName name="SL007Text" localSheetId="7">#REF!</definedName>
    <definedName name="SL007Text" localSheetId="1">#REF!</definedName>
    <definedName name="SL007Text" localSheetId="23">#REF!</definedName>
    <definedName name="SL007Text" localSheetId="28">#REF!</definedName>
    <definedName name="SL007Text" localSheetId="4">#REF!</definedName>
    <definedName name="SL007Text" localSheetId="9">#REF!</definedName>
    <definedName name="SL007Text" localSheetId="22">#REF!</definedName>
    <definedName name="SL007Text">#REF!</definedName>
    <definedName name="SL007Title" localSheetId="27">#REF!</definedName>
    <definedName name="SL007Title" localSheetId="3">#REF!</definedName>
    <definedName name="SL007Title" localSheetId="26">#REF!</definedName>
    <definedName name="SL007Title" localSheetId="19">#REF!</definedName>
    <definedName name="SL007Title" localSheetId="20">#REF!</definedName>
    <definedName name="SL007Title" localSheetId="24">#REF!</definedName>
    <definedName name="SL007Title" localSheetId="17">#REF!</definedName>
    <definedName name="SL007Title" localSheetId="16">#REF!</definedName>
    <definedName name="SL007Title" localSheetId="15">#REF!</definedName>
    <definedName name="SL007Title" localSheetId="14">#REF!</definedName>
    <definedName name="SL007Title" localSheetId="25">#REF!</definedName>
    <definedName name="SL007Title" localSheetId="18">#REF!</definedName>
    <definedName name="SL007Title" localSheetId="13">#REF!</definedName>
    <definedName name="SL007Title" localSheetId="7">#REF!</definedName>
    <definedName name="SL007Title" localSheetId="1">#REF!</definedName>
    <definedName name="SL007Title" localSheetId="23">#REF!</definedName>
    <definedName name="SL007Title" localSheetId="28">#REF!</definedName>
    <definedName name="SL007Title" localSheetId="4">#REF!</definedName>
    <definedName name="SL007Title" localSheetId="9">#REF!</definedName>
    <definedName name="SL007Title" localSheetId="22">#REF!</definedName>
    <definedName name="SL007Title">#REF!</definedName>
    <definedName name="SL007YTD" localSheetId="27">#REF!</definedName>
    <definedName name="SL007YTD" localSheetId="3">#REF!</definedName>
    <definedName name="SL007YTD" localSheetId="26">#REF!</definedName>
    <definedName name="SL007YTD" localSheetId="19">#REF!</definedName>
    <definedName name="SL007YTD" localSheetId="20">#REF!</definedName>
    <definedName name="SL007YTD" localSheetId="24">#REF!</definedName>
    <definedName name="SL007YTD" localSheetId="17">#REF!</definedName>
    <definedName name="SL007YTD" localSheetId="16">#REF!</definedName>
    <definedName name="SL007YTD" localSheetId="15">#REF!</definedName>
    <definedName name="SL007YTD" localSheetId="14">#REF!</definedName>
    <definedName name="SL007YTD" localSheetId="25">#REF!</definedName>
    <definedName name="SL007YTD" localSheetId="18">#REF!</definedName>
    <definedName name="SL007YTD" localSheetId="13">#REF!</definedName>
    <definedName name="SL007YTD" localSheetId="7">#REF!</definedName>
    <definedName name="SL007YTD" localSheetId="1">#REF!</definedName>
    <definedName name="SL007YTD" localSheetId="23">#REF!</definedName>
    <definedName name="SL007YTD" localSheetId="28">#REF!</definedName>
    <definedName name="SL007YTD" localSheetId="4">#REF!</definedName>
    <definedName name="SL007YTD" localSheetId="9">#REF!</definedName>
    <definedName name="SL007YTD" localSheetId="22">#REF!</definedName>
    <definedName name="SL007YTD">#REF!</definedName>
    <definedName name="SL008Month" localSheetId="27">#REF!</definedName>
    <definedName name="SL008Month" localSheetId="3">#REF!</definedName>
    <definedName name="SL008Month" localSheetId="26">#REF!</definedName>
    <definedName name="SL008Month" localSheetId="19">#REF!</definedName>
    <definedName name="SL008Month" localSheetId="20">#REF!</definedName>
    <definedName name="SL008Month" localSheetId="24">#REF!</definedName>
    <definedName name="SL008Month" localSheetId="17">#REF!</definedName>
    <definedName name="SL008Month" localSheetId="16">#REF!</definedName>
    <definedName name="SL008Month" localSheetId="15">#REF!</definedName>
    <definedName name="SL008Month" localSheetId="14">#REF!</definedName>
    <definedName name="SL008Month" localSheetId="25">#REF!</definedName>
    <definedName name="SL008Month" localSheetId="18">#REF!</definedName>
    <definedName name="SL008Month" localSheetId="13">#REF!</definedName>
    <definedName name="SL008Month" localSheetId="7">#REF!</definedName>
    <definedName name="SL008Month" localSheetId="1">#REF!</definedName>
    <definedName name="SL008Month" localSheetId="23">#REF!</definedName>
    <definedName name="SL008Month" localSheetId="28">#REF!</definedName>
    <definedName name="SL008Month" localSheetId="4">#REF!</definedName>
    <definedName name="SL008Month" localSheetId="9">#REF!</definedName>
    <definedName name="SL008Month" localSheetId="22">#REF!</definedName>
    <definedName name="SL008Month">#REF!</definedName>
    <definedName name="SL008Text" localSheetId="27">#REF!</definedName>
    <definedName name="SL008Text" localSheetId="3">#REF!</definedName>
    <definedName name="SL008Text" localSheetId="26">#REF!</definedName>
    <definedName name="SL008Text" localSheetId="19">#REF!</definedName>
    <definedName name="SL008Text" localSheetId="20">#REF!</definedName>
    <definedName name="SL008Text" localSheetId="24">#REF!</definedName>
    <definedName name="SL008Text" localSheetId="17">#REF!</definedName>
    <definedName name="SL008Text" localSheetId="16">#REF!</definedName>
    <definedName name="SL008Text" localSheetId="15">#REF!</definedName>
    <definedName name="SL008Text" localSheetId="14">#REF!</definedName>
    <definedName name="SL008Text" localSheetId="25">#REF!</definedName>
    <definedName name="SL008Text" localSheetId="18">#REF!</definedName>
    <definedName name="SL008Text" localSheetId="13">#REF!</definedName>
    <definedName name="SL008Text" localSheetId="7">#REF!</definedName>
    <definedName name="SL008Text" localSheetId="1">#REF!</definedName>
    <definedName name="SL008Text" localSheetId="23">#REF!</definedName>
    <definedName name="SL008Text" localSheetId="28">#REF!</definedName>
    <definedName name="SL008Text" localSheetId="4">#REF!</definedName>
    <definedName name="SL008Text" localSheetId="9">#REF!</definedName>
    <definedName name="SL008Text" localSheetId="22">#REF!</definedName>
    <definedName name="SL008Text">#REF!</definedName>
    <definedName name="SL008Title" localSheetId="27">#REF!</definedName>
    <definedName name="SL008Title" localSheetId="3">#REF!</definedName>
    <definedName name="SL008Title" localSheetId="26">#REF!</definedName>
    <definedName name="SL008Title" localSheetId="19">#REF!</definedName>
    <definedName name="SL008Title" localSheetId="20">#REF!</definedName>
    <definedName name="SL008Title" localSheetId="24">#REF!</definedName>
    <definedName name="SL008Title" localSheetId="17">#REF!</definedName>
    <definedName name="SL008Title" localSheetId="16">#REF!</definedName>
    <definedName name="SL008Title" localSheetId="15">#REF!</definedName>
    <definedName name="SL008Title" localSheetId="14">#REF!</definedName>
    <definedName name="SL008Title" localSheetId="25">#REF!</definedName>
    <definedName name="SL008Title" localSheetId="18">#REF!</definedName>
    <definedName name="SL008Title" localSheetId="13">#REF!</definedName>
    <definedName name="SL008Title" localSheetId="7">#REF!</definedName>
    <definedName name="SL008Title" localSheetId="1">#REF!</definedName>
    <definedName name="SL008Title" localSheetId="23">#REF!</definedName>
    <definedName name="SL008Title" localSheetId="28">#REF!</definedName>
    <definedName name="SL008Title" localSheetId="4">#REF!</definedName>
    <definedName name="SL008Title" localSheetId="9">#REF!</definedName>
    <definedName name="SL008Title" localSheetId="22">#REF!</definedName>
    <definedName name="SL008Title">#REF!</definedName>
    <definedName name="SL008YTD" localSheetId="27">#REF!</definedName>
    <definedName name="SL008YTD" localSheetId="3">#REF!</definedName>
    <definedName name="SL008YTD" localSheetId="26">#REF!</definedName>
    <definedName name="SL008YTD" localSheetId="19">#REF!</definedName>
    <definedName name="SL008YTD" localSheetId="20">#REF!</definedName>
    <definedName name="SL008YTD" localSheetId="24">#REF!</definedName>
    <definedName name="SL008YTD" localSheetId="17">#REF!</definedName>
    <definedName name="SL008YTD" localSheetId="16">#REF!</definedName>
    <definedName name="SL008YTD" localSheetId="15">#REF!</definedName>
    <definedName name="SL008YTD" localSheetId="14">#REF!</definedName>
    <definedName name="SL008YTD" localSheetId="25">#REF!</definedName>
    <definedName name="SL008YTD" localSheetId="18">#REF!</definedName>
    <definedName name="SL008YTD" localSheetId="13">#REF!</definedName>
    <definedName name="SL008YTD" localSheetId="7">#REF!</definedName>
    <definedName name="SL008YTD" localSheetId="1">#REF!</definedName>
    <definedName name="SL008YTD" localSheetId="23">#REF!</definedName>
    <definedName name="SL008YTD" localSheetId="28">#REF!</definedName>
    <definedName name="SL008YTD" localSheetId="4">#REF!</definedName>
    <definedName name="SL008YTD" localSheetId="9">#REF!</definedName>
    <definedName name="SL008YTD" localSheetId="22">#REF!</definedName>
    <definedName name="SL008YTD">#REF!</definedName>
    <definedName name="SL009Month" localSheetId="27">#REF!</definedName>
    <definedName name="SL009Month" localSheetId="3">#REF!</definedName>
    <definedName name="SL009Month" localSheetId="26">#REF!</definedName>
    <definedName name="SL009Month" localSheetId="19">#REF!</definedName>
    <definedName name="SL009Month" localSheetId="20">#REF!</definedName>
    <definedName name="SL009Month" localSheetId="24">#REF!</definedName>
    <definedName name="SL009Month" localSheetId="17">#REF!</definedName>
    <definedName name="SL009Month" localSheetId="16">#REF!</definedName>
    <definedName name="SL009Month" localSheetId="15">#REF!</definedName>
    <definedName name="SL009Month" localSheetId="14">#REF!</definedName>
    <definedName name="SL009Month" localSheetId="25">#REF!</definedName>
    <definedName name="SL009Month" localSheetId="18">#REF!</definedName>
    <definedName name="SL009Month" localSheetId="13">#REF!</definedName>
    <definedName name="SL009Month" localSheetId="7">#REF!</definedName>
    <definedName name="SL009Month" localSheetId="1">#REF!</definedName>
    <definedName name="SL009Month" localSheetId="23">#REF!</definedName>
    <definedName name="SL009Month" localSheetId="28">#REF!</definedName>
    <definedName name="SL009Month" localSheetId="4">#REF!</definedName>
    <definedName name="SL009Month" localSheetId="9">#REF!</definedName>
    <definedName name="SL009Month" localSheetId="22">#REF!</definedName>
    <definedName name="SL009Month">#REF!</definedName>
    <definedName name="SL009Text" localSheetId="27">#REF!</definedName>
    <definedName name="SL009Text" localSheetId="3">#REF!</definedName>
    <definedName name="SL009Text" localSheetId="26">#REF!</definedName>
    <definedName name="SL009Text" localSheetId="19">#REF!</definedName>
    <definedName name="SL009Text" localSheetId="20">#REF!</definedName>
    <definedName name="SL009Text" localSheetId="24">#REF!</definedName>
    <definedName name="SL009Text" localSheetId="17">#REF!</definedName>
    <definedName name="SL009Text" localSheetId="16">#REF!</definedName>
    <definedName name="SL009Text" localSheetId="15">#REF!</definedName>
    <definedName name="SL009Text" localSheetId="14">#REF!</definedName>
    <definedName name="SL009Text" localSheetId="25">#REF!</definedName>
    <definedName name="SL009Text" localSheetId="18">#REF!</definedName>
    <definedName name="SL009Text" localSheetId="13">#REF!</definedName>
    <definedName name="SL009Text" localSheetId="7">#REF!</definedName>
    <definedName name="SL009Text" localSheetId="1">#REF!</definedName>
    <definedName name="SL009Text" localSheetId="23">#REF!</definedName>
    <definedName name="SL009Text" localSheetId="28">#REF!</definedName>
    <definedName name="SL009Text" localSheetId="4">#REF!</definedName>
    <definedName name="SL009Text" localSheetId="9">#REF!</definedName>
    <definedName name="SL009Text" localSheetId="22">#REF!</definedName>
    <definedName name="SL009Text">#REF!</definedName>
    <definedName name="SL009Title" localSheetId="27">#REF!</definedName>
    <definedName name="SL009Title" localSheetId="3">#REF!</definedName>
    <definedName name="SL009Title" localSheetId="26">#REF!</definedName>
    <definedName name="SL009Title" localSheetId="19">#REF!</definedName>
    <definedName name="SL009Title" localSheetId="20">#REF!</definedName>
    <definedName name="SL009Title" localSheetId="24">#REF!</definedName>
    <definedName name="SL009Title" localSheetId="17">#REF!</definedName>
    <definedName name="SL009Title" localSheetId="16">#REF!</definedName>
    <definedName name="SL009Title" localSheetId="15">#REF!</definedName>
    <definedName name="SL009Title" localSheetId="14">#REF!</definedName>
    <definedName name="SL009Title" localSheetId="25">#REF!</definedName>
    <definedName name="SL009Title" localSheetId="18">#REF!</definedName>
    <definedName name="SL009Title" localSheetId="13">#REF!</definedName>
    <definedName name="SL009Title" localSheetId="7">#REF!</definedName>
    <definedName name="SL009Title" localSheetId="1">#REF!</definedName>
    <definedName name="SL009Title" localSheetId="23">#REF!</definedName>
    <definedName name="SL009Title" localSheetId="28">#REF!</definedName>
    <definedName name="SL009Title" localSheetId="4">#REF!</definedName>
    <definedName name="SL009Title" localSheetId="9">#REF!</definedName>
    <definedName name="SL009Title" localSheetId="22">#REF!</definedName>
    <definedName name="SL009Title">#REF!</definedName>
    <definedName name="SL009YTD" localSheetId="27">#REF!</definedName>
    <definedName name="SL009YTD" localSheetId="3">#REF!</definedName>
    <definedName name="SL009YTD" localSheetId="26">#REF!</definedName>
    <definedName name="SL009YTD" localSheetId="19">#REF!</definedName>
    <definedName name="SL009YTD" localSheetId="20">#REF!</definedName>
    <definedName name="SL009YTD" localSheetId="24">#REF!</definedName>
    <definedName name="SL009YTD" localSheetId="17">#REF!</definedName>
    <definedName name="SL009YTD" localSheetId="16">#REF!</definedName>
    <definedName name="SL009YTD" localSheetId="15">#REF!</definedName>
    <definedName name="SL009YTD" localSheetId="14">#REF!</definedName>
    <definedName name="SL009YTD" localSheetId="25">#REF!</definedName>
    <definedName name="SL009YTD" localSheetId="18">#REF!</definedName>
    <definedName name="SL009YTD" localSheetId="13">#REF!</definedName>
    <definedName name="SL009YTD" localSheetId="7">#REF!</definedName>
    <definedName name="SL009YTD" localSheetId="1">#REF!</definedName>
    <definedName name="SL009YTD" localSheetId="23">#REF!</definedName>
    <definedName name="SL009YTD" localSheetId="28">#REF!</definedName>
    <definedName name="SL009YTD" localSheetId="4">#REF!</definedName>
    <definedName name="SL009YTD" localSheetId="9">#REF!</definedName>
    <definedName name="SL009YTD" localSheetId="22">#REF!</definedName>
    <definedName name="SL009YTD">#REF!</definedName>
    <definedName name="SL010Text" localSheetId="27">#REF!</definedName>
    <definedName name="SL010Text" localSheetId="3">#REF!</definedName>
    <definedName name="SL010Text" localSheetId="26">#REF!</definedName>
    <definedName name="SL010Text" localSheetId="19">#REF!</definedName>
    <definedName name="SL010Text" localSheetId="20">#REF!</definedName>
    <definedName name="SL010Text" localSheetId="24">#REF!</definedName>
    <definedName name="SL010Text" localSheetId="17">#REF!</definedName>
    <definedName name="SL010Text" localSheetId="16">#REF!</definedName>
    <definedName name="SL010Text" localSheetId="15">#REF!</definedName>
    <definedName name="SL010Text" localSheetId="14">#REF!</definedName>
    <definedName name="SL010Text" localSheetId="25">#REF!</definedName>
    <definedName name="SL010Text" localSheetId="18">#REF!</definedName>
    <definedName name="SL010Text" localSheetId="13">#REF!</definedName>
    <definedName name="SL010Text" localSheetId="7">#REF!</definedName>
    <definedName name="SL010Text" localSheetId="1">#REF!</definedName>
    <definedName name="SL010Text" localSheetId="23">#REF!</definedName>
    <definedName name="SL010Text" localSheetId="28">#REF!</definedName>
    <definedName name="SL010Text" localSheetId="4">#REF!</definedName>
    <definedName name="SL010Text" localSheetId="9">#REF!</definedName>
    <definedName name="SL010Text" localSheetId="22">#REF!</definedName>
    <definedName name="SL010Text">#REF!</definedName>
    <definedName name="SL010Title" localSheetId="27">#REF!</definedName>
    <definedName name="SL010Title" localSheetId="3">#REF!</definedName>
    <definedName name="SL010Title" localSheetId="26">#REF!</definedName>
    <definedName name="SL010Title" localSheetId="19">#REF!</definedName>
    <definedName name="SL010Title" localSheetId="20">#REF!</definedName>
    <definedName name="SL010Title" localSheetId="24">#REF!</definedName>
    <definedName name="SL010Title" localSheetId="17">#REF!</definedName>
    <definedName name="SL010Title" localSheetId="16">#REF!</definedName>
    <definedName name="SL010Title" localSheetId="15">#REF!</definedName>
    <definedName name="SL010Title" localSheetId="14">#REF!</definedName>
    <definedName name="SL010Title" localSheetId="25">#REF!</definedName>
    <definedName name="SL010Title" localSheetId="18">#REF!</definedName>
    <definedName name="SL010Title" localSheetId="13">#REF!</definedName>
    <definedName name="SL010Title" localSheetId="7">#REF!</definedName>
    <definedName name="SL010Title" localSheetId="1">#REF!</definedName>
    <definedName name="SL010Title" localSheetId="23">#REF!</definedName>
    <definedName name="SL010Title" localSheetId="28">#REF!</definedName>
    <definedName name="SL010Title" localSheetId="4">#REF!</definedName>
    <definedName name="SL010Title" localSheetId="9">#REF!</definedName>
    <definedName name="SL010Title" localSheetId="22">#REF!</definedName>
    <definedName name="SL010Title">#REF!</definedName>
    <definedName name="SL011Month" localSheetId="27">#REF!</definedName>
    <definedName name="SL011Month" localSheetId="3">#REF!</definedName>
    <definedName name="SL011Month" localSheetId="26">#REF!</definedName>
    <definedName name="SL011Month" localSheetId="19">#REF!</definedName>
    <definedName name="SL011Month" localSheetId="20">#REF!</definedName>
    <definedName name="SL011Month" localSheetId="24">#REF!</definedName>
    <definedName name="SL011Month" localSheetId="17">#REF!</definedName>
    <definedName name="SL011Month" localSheetId="16">#REF!</definedName>
    <definedName name="SL011Month" localSheetId="15">#REF!</definedName>
    <definedName name="SL011Month" localSheetId="14">#REF!</definedName>
    <definedName name="SL011Month" localSheetId="25">#REF!</definedName>
    <definedName name="SL011Month" localSheetId="18">#REF!</definedName>
    <definedName name="SL011Month" localSheetId="13">#REF!</definedName>
    <definedName name="SL011Month" localSheetId="7">#REF!</definedName>
    <definedName name="SL011Month" localSheetId="1">#REF!</definedName>
    <definedName name="SL011Month" localSheetId="23">#REF!</definedName>
    <definedName name="SL011Month" localSheetId="28">#REF!</definedName>
    <definedName name="SL011Month" localSheetId="4">#REF!</definedName>
    <definedName name="SL011Month" localSheetId="9">#REF!</definedName>
    <definedName name="SL011Month" localSheetId="22">#REF!</definedName>
    <definedName name="SL011Month">#REF!</definedName>
    <definedName name="SL011Text" localSheetId="27">#REF!</definedName>
    <definedName name="SL011Text" localSheetId="3">#REF!</definedName>
    <definedName name="SL011Text" localSheetId="26">#REF!</definedName>
    <definedName name="SL011Text" localSheetId="19">#REF!</definedName>
    <definedName name="SL011Text" localSheetId="20">#REF!</definedName>
    <definedName name="SL011Text" localSheetId="24">#REF!</definedName>
    <definedName name="SL011Text" localSheetId="17">#REF!</definedName>
    <definedName name="SL011Text" localSheetId="16">#REF!</definedName>
    <definedName name="SL011Text" localSheetId="15">#REF!</definedName>
    <definedName name="SL011Text" localSheetId="14">#REF!</definedName>
    <definedName name="SL011Text" localSheetId="25">#REF!</definedName>
    <definedName name="SL011Text" localSheetId="18">#REF!</definedName>
    <definedName name="SL011Text" localSheetId="13">#REF!</definedName>
    <definedName name="SL011Text" localSheetId="7">#REF!</definedName>
    <definedName name="SL011Text" localSheetId="1">#REF!</definedName>
    <definedName name="SL011Text" localSheetId="23">#REF!</definedName>
    <definedName name="SL011Text" localSheetId="28">#REF!</definedName>
    <definedName name="SL011Text" localSheetId="4">#REF!</definedName>
    <definedName name="SL011Text" localSheetId="9">#REF!</definedName>
    <definedName name="SL011Text" localSheetId="22">#REF!</definedName>
    <definedName name="SL011Text">#REF!</definedName>
    <definedName name="SL011Title" localSheetId="27">#REF!</definedName>
    <definedName name="SL011Title" localSheetId="3">#REF!</definedName>
    <definedName name="SL011Title" localSheetId="26">#REF!</definedName>
    <definedName name="SL011Title" localSheetId="19">#REF!</definedName>
    <definedName name="SL011Title" localSheetId="20">#REF!</definedName>
    <definedName name="SL011Title" localSheetId="24">#REF!</definedName>
    <definedName name="SL011Title" localSheetId="17">#REF!</definedName>
    <definedName name="SL011Title" localSheetId="16">#REF!</definedName>
    <definedName name="SL011Title" localSheetId="15">#REF!</definedName>
    <definedName name="SL011Title" localSheetId="14">#REF!</definedName>
    <definedName name="SL011Title" localSheetId="25">#REF!</definedName>
    <definedName name="SL011Title" localSheetId="18">#REF!</definedName>
    <definedName name="SL011Title" localSheetId="13">#REF!</definedName>
    <definedName name="SL011Title" localSheetId="7">#REF!</definedName>
    <definedName name="SL011Title" localSheetId="1">#REF!</definedName>
    <definedName name="SL011Title" localSheetId="23">#REF!</definedName>
    <definedName name="SL011Title" localSheetId="28">#REF!</definedName>
    <definedName name="SL011Title" localSheetId="4">#REF!</definedName>
    <definedName name="SL011Title" localSheetId="9">#REF!</definedName>
    <definedName name="SL011Title" localSheetId="22">#REF!</definedName>
    <definedName name="SL011Title">#REF!</definedName>
    <definedName name="SL011YTD" localSheetId="27">#REF!</definedName>
    <definedName name="SL011YTD" localSheetId="3">#REF!</definedName>
    <definedName name="SL011YTD" localSheetId="26">#REF!</definedName>
    <definedName name="SL011YTD" localSheetId="19">#REF!</definedName>
    <definedName name="SL011YTD" localSheetId="20">#REF!</definedName>
    <definedName name="SL011YTD" localSheetId="24">#REF!</definedName>
    <definedName name="SL011YTD" localSheetId="17">#REF!</definedName>
    <definedName name="SL011YTD" localSheetId="16">#REF!</definedName>
    <definedName name="SL011YTD" localSheetId="15">#REF!</definedName>
    <definedName name="SL011YTD" localSheetId="14">#REF!</definedName>
    <definedName name="SL011YTD" localSheetId="25">#REF!</definedName>
    <definedName name="SL011YTD" localSheetId="18">#REF!</definedName>
    <definedName name="SL011YTD" localSheetId="13">#REF!</definedName>
    <definedName name="SL011YTD" localSheetId="7">#REF!</definedName>
    <definedName name="SL011YTD" localSheetId="1">#REF!</definedName>
    <definedName name="SL011YTD" localSheetId="23">#REF!</definedName>
    <definedName name="SL011YTD" localSheetId="28">#REF!</definedName>
    <definedName name="SL011YTD" localSheetId="4">#REF!</definedName>
    <definedName name="SL011YTD" localSheetId="9">#REF!</definedName>
    <definedName name="SL011YTD" localSheetId="22">#REF!</definedName>
    <definedName name="SL011YTD">#REF!</definedName>
    <definedName name="SL012Month" localSheetId="27">#REF!</definedName>
    <definedName name="SL012Month" localSheetId="3">#REF!</definedName>
    <definedName name="SL012Month" localSheetId="26">#REF!</definedName>
    <definedName name="SL012Month" localSheetId="19">#REF!</definedName>
    <definedName name="SL012Month" localSheetId="20">#REF!</definedName>
    <definedName name="SL012Month" localSheetId="24">#REF!</definedName>
    <definedName name="SL012Month" localSheetId="17">#REF!</definedName>
    <definedName name="SL012Month" localSheetId="16">#REF!</definedName>
    <definedName name="SL012Month" localSheetId="15">#REF!</definedName>
    <definedName name="SL012Month" localSheetId="14">#REF!</definedName>
    <definedName name="SL012Month" localSheetId="25">#REF!</definedName>
    <definedName name="SL012Month" localSheetId="18">#REF!</definedName>
    <definedName name="SL012Month" localSheetId="13">#REF!</definedName>
    <definedName name="SL012Month" localSheetId="7">#REF!</definedName>
    <definedName name="SL012Month" localSheetId="1">#REF!</definedName>
    <definedName name="SL012Month" localSheetId="23">#REF!</definedName>
    <definedName name="SL012Month" localSheetId="28">#REF!</definedName>
    <definedName name="SL012Month" localSheetId="4">#REF!</definedName>
    <definedName name="SL012Month" localSheetId="9">#REF!</definedName>
    <definedName name="SL012Month" localSheetId="22">#REF!</definedName>
    <definedName name="SL012Month">#REF!</definedName>
    <definedName name="SL012Text" localSheetId="27">#REF!</definedName>
    <definedName name="SL012Text" localSheetId="3">#REF!</definedName>
    <definedName name="SL012Text" localSheetId="26">#REF!</definedName>
    <definedName name="SL012Text" localSheetId="19">#REF!</definedName>
    <definedName name="SL012Text" localSheetId="20">#REF!</definedName>
    <definedName name="SL012Text" localSheetId="24">#REF!</definedName>
    <definedName name="SL012Text" localSheetId="17">#REF!</definedName>
    <definedName name="SL012Text" localSheetId="16">#REF!</definedName>
    <definedName name="SL012Text" localSheetId="15">#REF!</definedName>
    <definedName name="SL012Text" localSheetId="14">#REF!</definedName>
    <definedName name="SL012Text" localSheetId="25">#REF!</definedName>
    <definedName name="SL012Text" localSheetId="18">#REF!</definedName>
    <definedName name="SL012Text" localSheetId="13">#REF!</definedName>
    <definedName name="SL012Text" localSheetId="7">#REF!</definedName>
    <definedName name="SL012Text" localSheetId="1">#REF!</definedName>
    <definedName name="SL012Text" localSheetId="23">#REF!</definedName>
    <definedName name="SL012Text" localSheetId="28">#REF!</definedName>
    <definedName name="SL012Text" localSheetId="4">#REF!</definedName>
    <definedName name="SL012Text" localSheetId="9">#REF!</definedName>
    <definedName name="SL012Text" localSheetId="22">#REF!</definedName>
    <definedName name="SL012Text">#REF!</definedName>
    <definedName name="SL012Title" localSheetId="27">#REF!</definedName>
    <definedName name="SL012Title" localSheetId="3">#REF!</definedName>
    <definedName name="SL012Title" localSheetId="26">#REF!</definedName>
    <definedName name="SL012Title" localSheetId="19">#REF!</definedName>
    <definedName name="SL012Title" localSheetId="20">#REF!</definedName>
    <definedName name="SL012Title" localSheetId="24">#REF!</definedName>
    <definedName name="SL012Title" localSheetId="17">#REF!</definedName>
    <definedName name="SL012Title" localSheetId="16">#REF!</definedName>
    <definedName name="SL012Title" localSheetId="15">#REF!</definedName>
    <definedName name="SL012Title" localSheetId="14">#REF!</definedName>
    <definedName name="SL012Title" localSheetId="25">#REF!</definedName>
    <definedName name="SL012Title" localSheetId="18">#REF!</definedName>
    <definedName name="SL012Title" localSheetId="13">#REF!</definedName>
    <definedName name="SL012Title" localSheetId="7">#REF!</definedName>
    <definedName name="SL012Title" localSheetId="1">#REF!</definedName>
    <definedName name="SL012Title" localSheetId="23">#REF!</definedName>
    <definedName name="SL012Title" localSheetId="28">#REF!</definedName>
    <definedName name="SL012Title" localSheetId="4">#REF!</definedName>
    <definedName name="SL012Title" localSheetId="9">#REF!</definedName>
    <definedName name="SL012Title" localSheetId="22">#REF!</definedName>
    <definedName name="SL012Title">#REF!</definedName>
    <definedName name="SL012YTD" localSheetId="27">#REF!</definedName>
    <definedName name="SL012YTD" localSheetId="3">#REF!</definedName>
    <definedName name="SL012YTD" localSheetId="26">#REF!</definedName>
    <definedName name="SL012YTD" localSheetId="19">#REF!</definedName>
    <definedName name="SL012YTD" localSheetId="20">#REF!</definedName>
    <definedName name="SL012YTD" localSheetId="24">#REF!</definedName>
    <definedName name="SL012YTD" localSheetId="17">#REF!</definedName>
    <definedName name="SL012YTD" localSheetId="16">#REF!</definedName>
    <definedName name="SL012YTD" localSheetId="15">#REF!</definedName>
    <definedName name="SL012YTD" localSheetId="14">#REF!</definedName>
    <definedName name="SL012YTD" localSheetId="25">#REF!</definedName>
    <definedName name="SL012YTD" localSheetId="18">#REF!</definedName>
    <definedName name="SL012YTD" localSheetId="13">#REF!</definedName>
    <definedName name="SL012YTD" localSheetId="7">#REF!</definedName>
    <definedName name="SL012YTD" localSheetId="1">#REF!</definedName>
    <definedName name="SL012YTD" localSheetId="23">#REF!</definedName>
    <definedName name="SL012YTD" localSheetId="28">#REF!</definedName>
    <definedName name="SL012YTD" localSheetId="4">#REF!</definedName>
    <definedName name="SL012YTD" localSheetId="9">#REF!</definedName>
    <definedName name="SL012YTD" localSheetId="22">#REF!</definedName>
    <definedName name="SL012YTD">#REF!</definedName>
    <definedName name="SL013Month" localSheetId="27">#REF!</definedName>
    <definedName name="SL013Month" localSheetId="3">#REF!</definedName>
    <definedName name="SL013Month" localSheetId="26">#REF!</definedName>
    <definedName name="SL013Month" localSheetId="19">#REF!</definedName>
    <definedName name="SL013Month" localSheetId="20">#REF!</definedName>
    <definedName name="SL013Month" localSheetId="24">#REF!</definedName>
    <definedName name="SL013Month" localSheetId="17">#REF!</definedName>
    <definedName name="SL013Month" localSheetId="16">#REF!</definedName>
    <definedName name="SL013Month" localSheetId="15">#REF!</definedName>
    <definedName name="SL013Month" localSheetId="14">#REF!</definedName>
    <definedName name="SL013Month" localSheetId="25">#REF!</definedName>
    <definedName name="SL013Month" localSheetId="18">#REF!</definedName>
    <definedName name="SL013Month" localSheetId="13">#REF!</definedName>
    <definedName name="SL013Month" localSheetId="7">#REF!</definedName>
    <definedName name="SL013Month" localSheetId="1">#REF!</definedName>
    <definedName name="SL013Month" localSheetId="23">#REF!</definedName>
    <definedName name="SL013Month" localSheetId="28">#REF!</definedName>
    <definedName name="SL013Month" localSheetId="4">#REF!</definedName>
    <definedName name="SL013Month" localSheetId="9">#REF!</definedName>
    <definedName name="SL013Month" localSheetId="22">#REF!</definedName>
    <definedName name="SL013Month">#REF!</definedName>
    <definedName name="SL013Text" localSheetId="27">#REF!</definedName>
    <definedName name="SL013Text" localSheetId="3">#REF!</definedName>
    <definedName name="SL013Text" localSheetId="26">#REF!</definedName>
    <definedName name="SL013Text" localSheetId="19">#REF!</definedName>
    <definedName name="SL013Text" localSheetId="20">#REF!</definedName>
    <definedName name="SL013Text" localSheetId="24">#REF!</definedName>
    <definedName name="SL013Text" localSheetId="17">#REF!</definedName>
    <definedName name="SL013Text" localSheetId="16">#REF!</definedName>
    <definedName name="SL013Text" localSheetId="15">#REF!</definedName>
    <definedName name="SL013Text" localSheetId="14">#REF!</definedName>
    <definedName name="SL013Text" localSheetId="25">#REF!</definedName>
    <definedName name="SL013Text" localSheetId="18">#REF!</definedName>
    <definedName name="SL013Text" localSheetId="13">#REF!</definedName>
    <definedName name="SL013Text" localSheetId="7">#REF!</definedName>
    <definedName name="SL013Text" localSheetId="1">#REF!</definedName>
    <definedName name="SL013Text" localSheetId="23">#REF!</definedName>
    <definedName name="SL013Text" localSheetId="28">#REF!</definedName>
    <definedName name="SL013Text" localSheetId="4">#REF!</definedName>
    <definedName name="SL013Text" localSheetId="9">#REF!</definedName>
    <definedName name="SL013Text" localSheetId="22">#REF!</definedName>
    <definedName name="SL013Text">#REF!</definedName>
    <definedName name="SL013Title" localSheetId="27">#REF!</definedName>
    <definedName name="SL013Title" localSheetId="3">#REF!</definedName>
    <definedName name="SL013Title" localSheetId="26">#REF!</definedName>
    <definedName name="SL013Title" localSheetId="19">#REF!</definedName>
    <definedName name="SL013Title" localSheetId="20">#REF!</definedName>
    <definedName name="SL013Title" localSheetId="24">#REF!</definedName>
    <definedName name="SL013Title" localSheetId="17">#REF!</definedName>
    <definedName name="SL013Title" localSheetId="16">#REF!</definedName>
    <definedName name="SL013Title" localSheetId="15">#REF!</definedName>
    <definedName name="SL013Title" localSheetId="14">#REF!</definedName>
    <definedName name="SL013Title" localSheetId="25">#REF!</definedName>
    <definedName name="SL013Title" localSheetId="18">#REF!</definedName>
    <definedName name="SL013Title" localSheetId="13">#REF!</definedName>
    <definedName name="SL013Title" localSheetId="7">#REF!</definedName>
    <definedName name="SL013Title" localSheetId="1">#REF!</definedName>
    <definedName name="SL013Title" localSheetId="23">#REF!</definedName>
    <definedName name="SL013Title" localSheetId="28">#REF!</definedName>
    <definedName name="SL013Title" localSheetId="4">#REF!</definedName>
    <definedName name="SL013Title" localSheetId="9">#REF!</definedName>
    <definedName name="SL013Title" localSheetId="22">#REF!</definedName>
    <definedName name="SL013Title">#REF!</definedName>
    <definedName name="SL013YTD" localSheetId="27">#REF!</definedName>
    <definedName name="SL013YTD" localSheetId="3">#REF!</definedName>
    <definedName name="SL013YTD" localSheetId="26">#REF!</definedName>
    <definedName name="SL013YTD" localSheetId="19">#REF!</definedName>
    <definedName name="SL013YTD" localSheetId="20">#REF!</definedName>
    <definedName name="SL013YTD" localSheetId="24">#REF!</definedName>
    <definedName name="SL013YTD" localSheetId="17">#REF!</definedName>
    <definedName name="SL013YTD" localSheetId="16">#REF!</definedName>
    <definedName name="SL013YTD" localSheetId="15">#REF!</definedName>
    <definedName name="SL013YTD" localSheetId="14">#REF!</definedName>
    <definedName name="SL013YTD" localSheetId="25">#REF!</definedName>
    <definedName name="SL013YTD" localSheetId="18">#REF!</definedName>
    <definedName name="SL013YTD" localSheetId="13">#REF!</definedName>
    <definedName name="SL013YTD" localSheetId="7">#REF!</definedName>
    <definedName name="SL013YTD" localSheetId="1">#REF!</definedName>
    <definedName name="SL013YTD" localSheetId="23">#REF!</definedName>
    <definedName name="SL013YTD" localSheetId="28">#REF!</definedName>
    <definedName name="SL013YTD" localSheetId="4">#REF!</definedName>
    <definedName name="SL013YTD" localSheetId="9">#REF!</definedName>
    <definedName name="SL013YTD" localSheetId="22">#REF!</definedName>
    <definedName name="SL013YTD">#REF!</definedName>
    <definedName name="SL014Month" localSheetId="27">#REF!</definedName>
    <definedName name="SL014Month" localSheetId="3">#REF!</definedName>
    <definedName name="SL014Month" localSheetId="26">#REF!</definedName>
    <definedName name="SL014Month" localSheetId="19">#REF!</definedName>
    <definedName name="SL014Month" localSheetId="20">#REF!</definedName>
    <definedName name="SL014Month" localSheetId="24">#REF!</definedName>
    <definedName name="SL014Month" localSheetId="17">#REF!</definedName>
    <definedName name="SL014Month" localSheetId="16">#REF!</definedName>
    <definedName name="SL014Month" localSheetId="15">#REF!</definedName>
    <definedName name="SL014Month" localSheetId="14">#REF!</definedName>
    <definedName name="SL014Month" localSheetId="25">#REF!</definedName>
    <definedName name="SL014Month" localSheetId="18">#REF!</definedName>
    <definedName name="SL014Month" localSheetId="13">#REF!</definedName>
    <definedName name="SL014Month" localSheetId="7">#REF!</definedName>
    <definedName name="SL014Month" localSheetId="1">#REF!</definedName>
    <definedName name="SL014Month" localSheetId="23">#REF!</definedName>
    <definedName name="SL014Month" localSheetId="28">#REF!</definedName>
    <definedName name="SL014Month" localSheetId="4">#REF!</definedName>
    <definedName name="SL014Month" localSheetId="9">#REF!</definedName>
    <definedName name="SL014Month" localSheetId="22">#REF!</definedName>
    <definedName name="SL014Month">#REF!</definedName>
    <definedName name="SL014Text" localSheetId="27">#REF!</definedName>
    <definedName name="SL014Text" localSheetId="3">#REF!</definedName>
    <definedName name="SL014Text" localSheetId="26">#REF!</definedName>
    <definedName name="SL014Text" localSheetId="19">#REF!</definedName>
    <definedName name="SL014Text" localSheetId="20">#REF!</definedName>
    <definedName name="SL014Text" localSheetId="24">#REF!</definedName>
    <definedName name="SL014Text" localSheetId="17">#REF!</definedName>
    <definedName name="SL014Text" localSheetId="16">#REF!</definedName>
    <definedName name="SL014Text" localSheetId="15">#REF!</definedName>
    <definedName name="SL014Text" localSheetId="14">#REF!</definedName>
    <definedName name="SL014Text" localSheetId="25">#REF!</definedName>
    <definedName name="SL014Text" localSheetId="18">#REF!</definedName>
    <definedName name="SL014Text" localSheetId="13">#REF!</definedName>
    <definedName name="SL014Text" localSheetId="7">#REF!</definedName>
    <definedName name="SL014Text" localSheetId="1">#REF!</definedName>
    <definedName name="SL014Text" localSheetId="23">#REF!</definedName>
    <definedName name="SL014Text" localSheetId="28">#REF!</definedName>
    <definedName name="SL014Text" localSheetId="4">#REF!</definedName>
    <definedName name="SL014Text" localSheetId="9">#REF!</definedName>
    <definedName name="SL014Text" localSheetId="22">#REF!</definedName>
    <definedName name="SL014Text">#REF!</definedName>
    <definedName name="SL014Title" localSheetId="27">#REF!</definedName>
    <definedName name="SL014Title" localSheetId="3">#REF!</definedName>
    <definedName name="SL014Title" localSheetId="26">#REF!</definedName>
    <definedName name="SL014Title" localSheetId="19">#REF!</definedName>
    <definedName name="SL014Title" localSheetId="20">#REF!</definedName>
    <definedName name="SL014Title" localSheetId="24">#REF!</definedName>
    <definedName name="SL014Title" localSheetId="17">#REF!</definedName>
    <definedName name="SL014Title" localSheetId="16">#REF!</definedName>
    <definedName name="SL014Title" localSheetId="15">#REF!</definedName>
    <definedName name="SL014Title" localSheetId="14">#REF!</definedName>
    <definedName name="SL014Title" localSheetId="25">#REF!</definedName>
    <definedName name="SL014Title" localSheetId="18">#REF!</definedName>
    <definedName name="SL014Title" localSheetId="13">#REF!</definedName>
    <definedName name="SL014Title" localSheetId="7">#REF!</definedName>
    <definedName name="SL014Title" localSheetId="1">#REF!</definedName>
    <definedName name="SL014Title" localSheetId="23">#REF!</definedName>
    <definedName name="SL014Title" localSheetId="28">#REF!</definedName>
    <definedName name="SL014Title" localSheetId="4">#REF!</definedName>
    <definedName name="SL014Title" localSheetId="9">#REF!</definedName>
    <definedName name="SL014Title" localSheetId="22">#REF!</definedName>
    <definedName name="SL014Title">#REF!</definedName>
    <definedName name="SL014YTD" localSheetId="27">#REF!</definedName>
    <definedName name="SL014YTD" localSheetId="3">#REF!</definedName>
    <definedName name="SL014YTD" localSheetId="26">#REF!</definedName>
    <definedName name="SL014YTD" localSheetId="19">#REF!</definedName>
    <definedName name="SL014YTD" localSheetId="20">#REF!</definedName>
    <definedName name="SL014YTD" localSheetId="24">#REF!</definedName>
    <definedName name="SL014YTD" localSheetId="17">#REF!</definedName>
    <definedName name="SL014YTD" localSheetId="16">#REF!</definedName>
    <definedName name="SL014YTD" localSheetId="15">#REF!</definedName>
    <definedName name="SL014YTD" localSheetId="14">#REF!</definedName>
    <definedName name="SL014YTD" localSheetId="25">#REF!</definedName>
    <definedName name="SL014YTD" localSheetId="18">#REF!</definedName>
    <definedName name="SL014YTD" localSheetId="13">#REF!</definedName>
    <definedName name="SL014YTD" localSheetId="7">#REF!</definedName>
    <definedName name="SL014YTD" localSheetId="1">#REF!</definedName>
    <definedName name="SL014YTD" localSheetId="23">#REF!</definedName>
    <definedName name="SL014YTD" localSheetId="28">#REF!</definedName>
    <definedName name="SL014YTD" localSheetId="4">#REF!</definedName>
    <definedName name="SL014YTD" localSheetId="9">#REF!</definedName>
    <definedName name="SL014YTD" localSheetId="22">#REF!</definedName>
    <definedName name="SL014YTD">#REF!</definedName>
    <definedName name="SL015Month" localSheetId="27">#REF!</definedName>
    <definedName name="SL015Month" localSheetId="3">#REF!</definedName>
    <definedName name="SL015Month" localSheetId="26">#REF!</definedName>
    <definedName name="SL015Month" localSheetId="19">#REF!</definedName>
    <definedName name="SL015Month" localSheetId="20">#REF!</definedName>
    <definedName name="SL015Month" localSheetId="24">#REF!</definedName>
    <definedName name="SL015Month" localSheetId="17">#REF!</definedName>
    <definedName name="SL015Month" localSheetId="16">#REF!</definedName>
    <definedName name="SL015Month" localSheetId="15">#REF!</definedName>
    <definedName name="SL015Month" localSheetId="14">#REF!</definedName>
    <definedName name="SL015Month" localSheetId="25">#REF!</definedName>
    <definedName name="SL015Month" localSheetId="18">#REF!</definedName>
    <definedName name="SL015Month" localSheetId="13">#REF!</definedName>
    <definedName name="SL015Month" localSheetId="7">#REF!</definedName>
    <definedName name="SL015Month" localSheetId="1">#REF!</definedName>
    <definedName name="SL015Month" localSheetId="23">#REF!</definedName>
    <definedName name="SL015Month" localSheetId="28">#REF!</definedName>
    <definedName name="SL015Month" localSheetId="4">#REF!</definedName>
    <definedName name="SL015Month" localSheetId="9">#REF!</definedName>
    <definedName name="SL015Month" localSheetId="22">#REF!</definedName>
    <definedName name="SL015Month">#REF!</definedName>
    <definedName name="SL015Text" localSheetId="27">#REF!</definedName>
    <definedName name="SL015Text" localSheetId="3">#REF!</definedName>
    <definedName name="SL015Text" localSheetId="26">#REF!</definedName>
    <definedName name="SL015Text" localSheetId="19">#REF!</definedName>
    <definedName name="SL015Text" localSheetId="20">#REF!</definedName>
    <definedName name="SL015Text" localSheetId="24">#REF!</definedName>
    <definedName name="SL015Text" localSheetId="17">#REF!</definedName>
    <definedName name="SL015Text" localSheetId="16">#REF!</definedName>
    <definedName name="SL015Text" localSheetId="15">#REF!</definedName>
    <definedName name="SL015Text" localSheetId="14">#REF!</definedName>
    <definedName name="SL015Text" localSheetId="25">#REF!</definedName>
    <definedName name="SL015Text" localSheetId="18">#REF!</definedName>
    <definedName name="SL015Text" localSheetId="13">#REF!</definedName>
    <definedName name="SL015Text" localSheetId="7">#REF!</definedName>
    <definedName name="SL015Text" localSheetId="1">#REF!</definedName>
    <definedName name="SL015Text" localSheetId="23">#REF!</definedName>
    <definedName name="SL015Text" localSheetId="28">#REF!</definedName>
    <definedName name="SL015Text" localSheetId="4">#REF!</definedName>
    <definedName name="SL015Text" localSheetId="9">#REF!</definedName>
    <definedName name="SL015Text" localSheetId="22">#REF!</definedName>
    <definedName name="SL015Text">#REF!</definedName>
    <definedName name="SL015Title" localSheetId="27">#REF!</definedName>
    <definedName name="SL015Title" localSheetId="3">#REF!</definedName>
    <definedName name="SL015Title" localSheetId="26">#REF!</definedName>
    <definedName name="SL015Title" localSheetId="19">#REF!</definedName>
    <definedName name="SL015Title" localSheetId="20">#REF!</definedName>
    <definedName name="SL015Title" localSheetId="24">#REF!</definedName>
    <definedName name="SL015Title" localSheetId="17">#REF!</definedName>
    <definedName name="SL015Title" localSheetId="16">#REF!</definedName>
    <definedName name="SL015Title" localSheetId="15">#REF!</definedName>
    <definedName name="SL015Title" localSheetId="14">#REF!</definedName>
    <definedName name="SL015Title" localSheetId="25">#REF!</definedName>
    <definedName name="SL015Title" localSheetId="18">#REF!</definedName>
    <definedName name="SL015Title" localSheetId="13">#REF!</definedName>
    <definedName name="SL015Title" localSheetId="7">#REF!</definedName>
    <definedName name="SL015Title" localSheetId="1">#REF!</definedName>
    <definedName name="SL015Title" localSheetId="23">#REF!</definedName>
    <definedName name="SL015Title" localSheetId="28">#REF!</definedName>
    <definedName name="SL015Title" localSheetId="4">#REF!</definedName>
    <definedName name="SL015Title" localSheetId="9">#REF!</definedName>
    <definedName name="SL015Title" localSheetId="22">#REF!</definedName>
    <definedName name="SL015Title">#REF!</definedName>
    <definedName name="SL015YTD" localSheetId="27">#REF!</definedName>
    <definedName name="SL015YTD" localSheetId="3">#REF!</definedName>
    <definedName name="SL015YTD" localSheetId="26">#REF!</definedName>
    <definedName name="SL015YTD" localSheetId="19">#REF!</definedName>
    <definedName name="SL015YTD" localSheetId="20">#REF!</definedName>
    <definedName name="SL015YTD" localSheetId="24">#REF!</definedName>
    <definedName name="SL015YTD" localSheetId="17">#REF!</definedName>
    <definedName name="SL015YTD" localSheetId="16">#REF!</definedName>
    <definedName name="SL015YTD" localSheetId="15">#REF!</definedName>
    <definedName name="SL015YTD" localSheetId="14">#REF!</definedName>
    <definedName name="SL015YTD" localSheetId="25">#REF!</definedName>
    <definedName name="SL015YTD" localSheetId="18">#REF!</definedName>
    <definedName name="SL015YTD" localSheetId="13">#REF!</definedName>
    <definedName name="SL015YTD" localSheetId="7">#REF!</definedName>
    <definedName name="SL015YTD" localSheetId="1">#REF!</definedName>
    <definedName name="SL015YTD" localSheetId="23">#REF!</definedName>
    <definedName name="SL015YTD" localSheetId="28">#REF!</definedName>
    <definedName name="SL015YTD" localSheetId="4">#REF!</definedName>
    <definedName name="SL015YTD" localSheetId="9">#REF!</definedName>
    <definedName name="SL015YTD" localSheetId="22">#REF!</definedName>
    <definedName name="SL015YTD">#REF!</definedName>
    <definedName name="SL016Text" localSheetId="27">#REF!</definedName>
    <definedName name="SL016Text" localSheetId="3">#REF!</definedName>
    <definedName name="SL016Text" localSheetId="26">#REF!</definedName>
    <definedName name="SL016Text" localSheetId="19">#REF!</definedName>
    <definedName name="SL016Text" localSheetId="20">#REF!</definedName>
    <definedName name="SL016Text" localSheetId="24">#REF!</definedName>
    <definedName name="SL016Text" localSheetId="17">#REF!</definedName>
    <definedName name="SL016Text" localSheetId="16">#REF!</definedName>
    <definedName name="SL016Text" localSheetId="15">#REF!</definedName>
    <definedName name="SL016Text" localSheetId="14">#REF!</definedName>
    <definedName name="SL016Text" localSheetId="25">#REF!</definedName>
    <definedName name="SL016Text" localSheetId="18">#REF!</definedName>
    <definedName name="SL016Text" localSheetId="13">#REF!</definedName>
    <definedName name="SL016Text" localSheetId="7">#REF!</definedName>
    <definedName name="SL016Text" localSheetId="1">#REF!</definedName>
    <definedName name="SL016Text" localSheetId="23">#REF!</definedName>
    <definedName name="SL016Text" localSheetId="28">#REF!</definedName>
    <definedName name="SL016Text" localSheetId="4">#REF!</definedName>
    <definedName name="SL016Text" localSheetId="9">#REF!</definedName>
    <definedName name="SL016Text" localSheetId="22">#REF!</definedName>
    <definedName name="SL016Text">#REF!</definedName>
    <definedName name="SL016Title" localSheetId="27">#REF!</definedName>
    <definedName name="SL016Title" localSheetId="3">#REF!</definedName>
    <definedName name="SL016Title" localSheetId="26">#REF!</definedName>
    <definedName name="SL016Title" localSheetId="19">#REF!</definedName>
    <definedName name="SL016Title" localSheetId="20">#REF!</definedName>
    <definedName name="SL016Title" localSheetId="24">#REF!</definedName>
    <definedName name="SL016Title" localSheetId="17">#REF!</definedName>
    <definedName name="SL016Title" localSheetId="16">#REF!</definedName>
    <definedName name="SL016Title" localSheetId="15">#REF!</definedName>
    <definedName name="SL016Title" localSheetId="14">#REF!</definedName>
    <definedName name="SL016Title" localSheetId="25">#REF!</definedName>
    <definedName name="SL016Title" localSheetId="18">#REF!</definedName>
    <definedName name="SL016Title" localSheetId="13">#REF!</definedName>
    <definedName name="SL016Title" localSheetId="7">#REF!</definedName>
    <definedName name="SL016Title" localSheetId="1">#REF!</definedName>
    <definedName name="SL016Title" localSheetId="23">#REF!</definedName>
    <definedName name="SL016Title" localSheetId="28">#REF!</definedName>
    <definedName name="SL016Title" localSheetId="4">#REF!</definedName>
    <definedName name="SL016Title" localSheetId="9">#REF!</definedName>
    <definedName name="SL016Title" localSheetId="22">#REF!</definedName>
    <definedName name="SL016Title">#REF!</definedName>
    <definedName name="SL017Text" localSheetId="27">#REF!</definedName>
    <definedName name="SL017Text" localSheetId="3">#REF!</definedName>
    <definedName name="SL017Text" localSheetId="26">#REF!</definedName>
    <definedName name="SL017Text" localSheetId="19">#REF!</definedName>
    <definedName name="SL017Text" localSheetId="20">#REF!</definedName>
    <definedName name="SL017Text" localSheetId="24">#REF!</definedName>
    <definedName name="SL017Text" localSheetId="17">#REF!</definedName>
    <definedName name="SL017Text" localSheetId="16">#REF!</definedName>
    <definedName name="SL017Text" localSheetId="15">#REF!</definedName>
    <definedName name="SL017Text" localSheetId="14">#REF!</definedName>
    <definedName name="SL017Text" localSheetId="25">#REF!</definedName>
    <definedName name="SL017Text" localSheetId="18">#REF!</definedName>
    <definedName name="SL017Text" localSheetId="13">#REF!</definedName>
    <definedName name="SL017Text" localSheetId="7">#REF!</definedName>
    <definedName name="SL017Text" localSheetId="1">#REF!</definedName>
    <definedName name="SL017Text" localSheetId="23">#REF!</definedName>
    <definedName name="SL017Text" localSheetId="28">#REF!</definedName>
    <definedName name="SL017Text" localSheetId="4">#REF!</definedName>
    <definedName name="SL017Text" localSheetId="9">#REF!</definedName>
    <definedName name="SL017Text" localSheetId="22">#REF!</definedName>
    <definedName name="SL017Text">#REF!</definedName>
    <definedName name="SL017Title" localSheetId="27">#REF!</definedName>
    <definedName name="SL017Title" localSheetId="3">#REF!</definedName>
    <definedName name="SL017Title" localSheetId="26">#REF!</definedName>
    <definedName name="SL017Title" localSheetId="19">#REF!</definedName>
    <definedName name="SL017Title" localSheetId="20">#REF!</definedName>
    <definedName name="SL017Title" localSheetId="24">#REF!</definedName>
    <definedName name="SL017Title" localSheetId="17">#REF!</definedName>
    <definedName name="SL017Title" localSheetId="16">#REF!</definedName>
    <definedName name="SL017Title" localSheetId="15">#REF!</definedName>
    <definedName name="SL017Title" localSheetId="14">#REF!</definedName>
    <definedName name="SL017Title" localSheetId="25">#REF!</definedName>
    <definedName name="SL017Title" localSheetId="18">#REF!</definedName>
    <definedName name="SL017Title" localSheetId="13">#REF!</definedName>
    <definedName name="SL017Title" localSheetId="7">#REF!</definedName>
    <definedName name="SL017Title" localSheetId="1">#REF!</definedName>
    <definedName name="SL017Title" localSheetId="23">#REF!</definedName>
    <definedName name="SL017Title" localSheetId="28">#REF!</definedName>
    <definedName name="SL017Title" localSheetId="4">#REF!</definedName>
    <definedName name="SL017Title" localSheetId="9">#REF!</definedName>
    <definedName name="SL017Title" localSheetId="22">#REF!</definedName>
    <definedName name="SL017Title">#REF!</definedName>
    <definedName name="SL018Month" localSheetId="27">#REF!</definedName>
    <definedName name="SL018Month" localSheetId="3">#REF!</definedName>
    <definedName name="SL018Month" localSheetId="26">#REF!</definedName>
    <definedName name="SL018Month" localSheetId="19">#REF!</definedName>
    <definedName name="SL018Month" localSheetId="20">#REF!</definedName>
    <definedName name="SL018Month" localSheetId="24">#REF!</definedName>
    <definedName name="SL018Month" localSheetId="17">#REF!</definedName>
    <definedName name="SL018Month" localSheetId="16">#REF!</definedName>
    <definedName name="SL018Month" localSheetId="15">#REF!</definedName>
    <definedName name="SL018Month" localSheetId="14">#REF!</definedName>
    <definedName name="SL018Month" localSheetId="25">#REF!</definedName>
    <definedName name="SL018Month" localSheetId="18">#REF!</definedName>
    <definedName name="SL018Month" localSheetId="13">#REF!</definedName>
    <definedName name="SL018Month" localSheetId="7">#REF!</definedName>
    <definedName name="SL018Month" localSheetId="1">#REF!</definedName>
    <definedName name="SL018Month" localSheetId="23">#REF!</definedName>
    <definedName name="SL018Month" localSheetId="28">#REF!</definedName>
    <definedName name="SL018Month" localSheetId="4">#REF!</definedName>
    <definedName name="SL018Month" localSheetId="9">#REF!</definedName>
    <definedName name="SL018Month" localSheetId="22">#REF!</definedName>
    <definedName name="SL018Month">#REF!</definedName>
    <definedName name="SL018Text" localSheetId="27">#REF!</definedName>
    <definedName name="SL018Text" localSheetId="3">#REF!</definedName>
    <definedName name="SL018Text" localSheetId="26">#REF!</definedName>
    <definedName name="SL018Text" localSheetId="19">#REF!</definedName>
    <definedName name="SL018Text" localSheetId="20">#REF!</definedName>
    <definedName name="SL018Text" localSheetId="24">#REF!</definedName>
    <definedName name="SL018Text" localSheetId="17">#REF!</definedName>
    <definedName name="SL018Text" localSheetId="16">#REF!</definedName>
    <definedName name="SL018Text" localSheetId="15">#REF!</definedName>
    <definedName name="SL018Text" localSheetId="14">#REF!</definedName>
    <definedName name="SL018Text" localSheetId="25">#REF!</definedName>
    <definedName name="SL018Text" localSheetId="18">#REF!</definedName>
    <definedName name="SL018Text" localSheetId="13">#REF!</definedName>
    <definedName name="SL018Text" localSheetId="7">#REF!</definedName>
    <definedName name="SL018Text" localSheetId="1">#REF!</definedName>
    <definedName name="SL018Text" localSheetId="23">#REF!</definedName>
    <definedName name="SL018Text" localSheetId="28">#REF!</definedName>
    <definedName name="SL018Text" localSheetId="4">#REF!</definedName>
    <definedName name="SL018Text" localSheetId="9">#REF!</definedName>
    <definedName name="SL018Text" localSheetId="22">#REF!</definedName>
    <definedName name="SL018Text">#REF!</definedName>
    <definedName name="SL018Title" localSheetId="27">#REF!</definedName>
    <definedName name="SL018Title" localSheetId="3">#REF!</definedName>
    <definedName name="SL018Title" localSheetId="26">#REF!</definedName>
    <definedName name="SL018Title" localSheetId="19">#REF!</definedName>
    <definedName name="SL018Title" localSheetId="20">#REF!</definedName>
    <definedName name="SL018Title" localSheetId="24">#REF!</definedName>
    <definedName name="SL018Title" localSheetId="17">#REF!</definedName>
    <definedName name="SL018Title" localSheetId="16">#REF!</definedName>
    <definedName name="SL018Title" localSheetId="15">#REF!</definedName>
    <definedName name="SL018Title" localSheetId="14">#REF!</definedName>
    <definedName name="SL018Title" localSheetId="25">#REF!</definedName>
    <definedName name="SL018Title" localSheetId="18">#REF!</definedName>
    <definedName name="SL018Title" localSheetId="13">#REF!</definedName>
    <definedName name="SL018Title" localSheetId="7">#REF!</definedName>
    <definedName name="SL018Title" localSheetId="1">#REF!</definedName>
    <definedName name="SL018Title" localSheetId="23">#REF!</definedName>
    <definedName name="SL018Title" localSheetId="28">#REF!</definedName>
    <definedName name="SL018Title" localSheetId="4">#REF!</definedName>
    <definedName name="SL018Title" localSheetId="9">#REF!</definedName>
    <definedName name="SL018Title" localSheetId="22">#REF!</definedName>
    <definedName name="SL018Title">#REF!</definedName>
    <definedName name="SL018YTD" localSheetId="27">#REF!</definedName>
    <definedName name="SL018YTD" localSheetId="3">#REF!</definedName>
    <definedName name="SL018YTD" localSheetId="26">#REF!</definedName>
    <definedName name="SL018YTD" localSheetId="19">#REF!</definedName>
    <definedName name="SL018YTD" localSheetId="20">#REF!</definedName>
    <definedName name="SL018YTD" localSheetId="24">#REF!</definedName>
    <definedName name="SL018YTD" localSheetId="17">#REF!</definedName>
    <definedName name="SL018YTD" localSheetId="16">#REF!</definedName>
    <definedName name="SL018YTD" localSheetId="15">#REF!</definedName>
    <definedName name="SL018YTD" localSheetId="14">#REF!</definedName>
    <definedName name="SL018YTD" localSheetId="25">#REF!</definedName>
    <definedName name="SL018YTD" localSheetId="18">#REF!</definedName>
    <definedName name="SL018YTD" localSheetId="13">#REF!</definedName>
    <definedName name="SL018YTD" localSheetId="7">#REF!</definedName>
    <definedName name="SL018YTD" localSheetId="1">#REF!</definedName>
    <definedName name="SL018YTD" localSheetId="23">#REF!</definedName>
    <definedName name="SL018YTD" localSheetId="28">#REF!</definedName>
    <definedName name="SL018YTD" localSheetId="4">#REF!</definedName>
    <definedName name="SL018YTD" localSheetId="9">#REF!</definedName>
    <definedName name="SL018YTD" localSheetId="22">#REF!</definedName>
    <definedName name="SL018YTD">#REF!</definedName>
    <definedName name="SL019Month" localSheetId="27">#REF!</definedName>
    <definedName name="SL019Month" localSheetId="3">#REF!</definedName>
    <definedName name="SL019Month" localSheetId="26">#REF!</definedName>
    <definedName name="SL019Month" localSheetId="19">#REF!</definedName>
    <definedName name="SL019Month" localSheetId="20">#REF!</definedName>
    <definedName name="SL019Month" localSheetId="24">#REF!</definedName>
    <definedName name="SL019Month" localSheetId="17">#REF!</definedName>
    <definedName name="SL019Month" localSheetId="16">#REF!</definedName>
    <definedName name="SL019Month" localSheetId="15">#REF!</definedName>
    <definedName name="SL019Month" localSheetId="14">#REF!</definedName>
    <definedName name="SL019Month" localSheetId="25">#REF!</definedName>
    <definedName name="SL019Month" localSheetId="18">#REF!</definedName>
    <definedName name="SL019Month" localSheetId="13">#REF!</definedName>
    <definedName name="SL019Month" localSheetId="7">#REF!</definedName>
    <definedName name="SL019Month" localSheetId="1">#REF!</definedName>
    <definedName name="SL019Month" localSheetId="23">#REF!</definedName>
    <definedName name="SL019Month" localSheetId="28">#REF!</definedName>
    <definedName name="SL019Month" localSheetId="4">#REF!</definedName>
    <definedName name="SL019Month" localSheetId="9">#REF!</definedName>
    <definedName name="SL019Month" localSheetId="22">#REF!</definedName>
    <definedName name="SL019Month">#REF!</definedName>
    <definedName name="SL019Text" localSheetId="27">#REF!</definedName>
    <definedName name="SL019Text" localSheetId="3">#REF!</definedName>
    <definedName name="SL019Text" localSheetId="26">#REF!</definedName>
    <definedName name="SL019Text" localSheetId="19">#REF!</definedName>
    <definedName name="SL019Text" localSheetId="20">#REF!</definedName>
    <definedName name="SL019Text" localSheetId="24">#REF!</definedName>
    <definedName name="SL019Text" localSheetId="17">#REF!</definedName>
    <definedName name="SL019Text" localSheetId="16">#REF!</definedName>
    <definedName name="SL019Text" localSheetId="15">#REF!</definedName>
    <definedName name="SL019Text" localSheetId="14">#REF!</definedName>
    <definedName name="SL019Text" localSheetId="25">#REF!</definedName>
    <definedName name="SL019Text" localSheetId="18">#REF!</definedName>
    <definedName name="SL019Text" localSheetId="13">#REF!</definedName>
    <definedName name="SL019Text" localSheetId="7">#REF!</definedName>
    <definedName name="SL019Text" localSheetId="1">#REF!</definedName>
    <definedName name="SL019Text" localSheetId="23">#REF!</definedName>
    <definedName name="SL019Text" localSheetId="28">#REF!</definedName>
    <definedName name="SL019Text" localSheetId="4">#REF!</definedName>
    <definedName name="SL019Text" localSheetId="9">#REF!</definedName>
    <definedName name="SL019Text" localSheetId="22">#REF!</definedName>
    <definedName name="SL019Text">#REF!</definedName>
    <definedName name="SL019Title" localSheetId="27">#REF!</definedName>
    <definedName name="SL019Title" localSheetId="3">#REF!</definedName>
    <definedName name="SL019Title" localSheetId="26">#REF!</definedName>
    <definedName name="SL019Title" localSheetId="19">#REF!</definedName>
    <definedName name="SL019Title" localSheetId="20">#REF!</definedName>
    <definedName name="SL019Title" localSheetId="24">#REF!</definedName>
    <definedName name="SL019Title" localSheetId="17">#REF!</definedName>
    <definedName name="SL019Title" localSheetId="16">#REF!</definedName>
    <definedName name="SL019Title" localSheetId="15">#REF!</definedName>
    <definedName name="SL019Title" localSheetId="14">#REF!</definedName>
    <definedName name="SL019Title" localSheetId="25">#REF!</definedName>
    <definedName name="SL019Title" localSheetId="18">#REF!</definedName>
    <definedName name="SL019Title" localSheetId="13">#REF!</definedName>
    <definedName name="SL019Title" localSheetId="7">#REF!</definedName>
    <definedName name="SL019Title" localSheetId="1">#REF!</definedName>
    <definedName name="SL019Title" localSheetId="23">#REF!</definedName>
    <definedName name="SL019Title" localSheetId="28">#REF!</definedName>
    <definedName name="SL019Title" localSheetId="4">#REF!</definedName>
    <definedName name="SL019Title" localSheetId="9">#REF!</definedName>
    <definedName name="SL019Title" localSheetId="22">#REF!</definedName>
    <definedName name="SL019Title">#REF!</definedName>
    <definedName name="SL019YTD" localSheetId="27">#REF!</definedName>
    <definedName name="SL019YTD" localSheetId="3">#REF!</definedName>
    <definedName name="SL019YTD" localSheetId="26">#REF!</definedName>
    <definedName name="SL019YTD" localSheetId="19">#REF!</definedName>
    <definedName name="SL019YTD" localSheetId="20">#REF!</definedName>
    <definedName name="SL019YTD" localSheetId="24">#REF!</definedName>
    <definedName name="SL019YTD" localSheetId="17">#REF!</definedName>
    <definedName name="SL019YTD" localSheetId="16">#REF!</definedName>
    <definedName name="SL019YTD" localSheetId="15">#REF!</definedName>
    <definedName name="SL019YTD" localSheetId="14">#REF!</definedName>
    <definedName name="SL019YTD" localSheetId="25">#REF!</definedName>
    <definedName name="SL019YTD" localSheetId="18">#REF!</definedName>
    <definedName name="SL019YTD" localSheetId="13">#REF!</definedName>
    <definedName name="SL019YTD" localSheetId="7">#REF!</definedName>
    <definedName name="SL019YTD" localSheetId="1">#REF!</definedName>
    <definedName name="SL019YTD" localSheetId="23">#REF!</definedName>
    <definedName name="SL019YTD" localSheetId="28">#REF!</definedName>
    <definedName name="SL019YTD" localSheetId="4">#REF!</definedName>
    <definedName name="SL019YTD" localSheetId="9">#REF!</definedName>
    <definedName name="SL019YTD" localSheetId="22">#REF!</definedName>
    <definedName name="SL019YTD">#REF!</definedName>
    <definedName name="SL021Month" localSheetId="27">#REF!</definedName>
    <definedName name="SL021Month" localSheetId="3">#REF!</definedName>
    <definedName name="SL021Month" localSheetId="26">#REF!</definedName>
    <definedName name="SL021Month" localSheetId="19">#REF!</definedName>
    <definedName name="SL021Month" localSheetId="20">#REF!</definedName>
    <definedName name="SL021Month" localSheetId="24">#REF!</definedName>
    <definedName name="SL021Month" localSheetId="17">#REF!</definedName>
    <definedName name="SL021Month" localSheetId="16">#REF!</definedName>
    <definedName name="SL021Month" localSheetId="15">#REF!</definedName>
    <definedName name="SL021Month" localSheetId="14">#REF!</definedName>
    <definedName name="SL021Month" localSheetId="25">#REF!</definedName>
    <definedName name="SL021Month" localSheetId="18">#REF!</definedName>
    <definedName name="SL021Month" localSheetId="13">#REF!</definedName>
    <definedName name="SL021Month" localSheetId="7">#REF!</definedName>
    <definedName name="SL021Month" localSheetId="1">#REF!</definedName>
    <definedName name="SL021Month" localSheetId="23">#REF!</definedName>
    <definedName name="SL021Month" localSheetId="28">#REF!</definedName>
    <definedName name="SL021Month" localSheetId="4">#REF!</definedName>
    <definedName name="SL021Month" localSheetId="9">#REF!</definedName>
    <definedName name="SL021Month" localSheetId="22">#REF!</definedName>
    <definedName name="SL021Month">#REF!</definedName>
    <definedName name="SL021Text" localSheetId="27">#REF!</definedName>
    <definedName name="SL021Text" localSheetId="3">#REF!</definedName>
    <definedName name="SL021Text" localSheetId="26">#REF!</definedName>
    <definedName name="SL021Text" localSheetId="19">#REF!</definedName>
    <definedName name="SL021Text" localSheetId="20">#REF!</definedName>
    <definedName name="SL021Text" localSheetId="24">#REF!</definedName>
    <definedName name="SL021Text" localSheetId="17">#REF!</definedName>
    <definedName name="SL021Text" localSheetId="16">#REF!</definedName>
    <definedName name="SL021Text" localSheetId="15">#REF!</definedName>
    <definedName name="SL021Text" localSheetId="14">#REF!</definedName>
    <definedName name="SL021Text" localSheetId="25">#REF!</definedName>
    <definedName name="SL021Text" localSheetId="18">#REF!</definedName>
    <definedName name="SL021Text" localSheetId="13">#REF!</definedName>
    <definedName name="SL021Text" localSheetId="7">#REF!</definedName>
    <definedName name="SL021Text" localSheetId="1">#REF!</definedName>
    <definedName name="SL021Text" localSheetId="23">#REF!</definedName>
    <definedName name="SL021Text" localSheetId="28">#REF!</definedName>
    <definedName name="SL021Text" localSheetId="4">#REF!</definedName>
    <definedName name="SL021Text" localSheetId="9">#REF!</definedName>
    <definedName name="SL021Text" localSheetId="22">#REF!</definedName>
    <definedName name="SL021Text">#REF!</definedName>
    <definedName name="SL021Title" localSheetId="27">#REF!</definedName>
    <definedName name="SL021Title" localSheetId="3">#REF!</definedName>
    <definedName name="SL021Title" localSheetId="26">#REF!</definedName>
    <definedName name="SL021Title" localSheetId="19">#REF!</definedName>
    <definedName name="SL021Title" localSheetId="20">#REF!</definedName>
    <definedName name="SL021Title" localSheetId="24">#REF!</definedName>
    <definedName name="SL021Title" localSheetId="17">#REF!</definedName>
    <definedName name="SL021Title" localSheetId="16">#REF!</definedName>
    <definedName name="SL021Title" localSheetId="15">#REF!</definedName>
    <definedName name="SL021Title" localSheetId="14">#REF!</definedName>
    <definedName name="SL021Title" localSheetId="25">#REF!</definedName>
    <definedName name="SL021Title" localSheetId="18">#REF!</definedName>
    <definedName name="SL021Title" localSheetId="13">#REF!</definedName>
    <definedName name="SL021Title" localSheetId="7">#REF!</definedName>
    <definedName name="SL021Title" localSheetId="1">#REF!</definedName>
    <definedName name="SL021Title" localSheetId="23">#REF!</definedName>
    <definedName name="SL021Title" localSheetId="28">#REF!</definedName>
    <definedName name="SL021Title" localSheetId="4">#REF!</definedName>
    <definedName name="SL021Title" localSheetId="9">#REF!</definedName>
    <definedName name="SL021Title" localSheetId="22">#REF!</definedName>
    <definedName name="SL021Title">#REF!</definedName>
    <definedName name="SL021YTD" localSheetId="27">#REF!</definedName>
    <definedName name="SL021YTD" localSheetId="3">#REF!</definedName>
    <definedName name="SL021YTD" localSheetId="26">#REF!</definedName>
    <definedName name="SL021YTD" localSheetId="19">#REF!</definedName>
    <definedName name="SL021YTD" localSheetId="20">#REF!</definedName>
    <definedName name="SL021YTD" localSheetId="24">#REF!</definedName>
    <definedName name="SL021YTD" localSheetId="17">#REF!</definedName>
    <definedName name="SL021YTD" localSheetId="16">#REF!</definedName>
    <definedName name="SL021YTD" localSheetId="15">#REF!</definedName>
    <definedName name="SL021YTD" localSheetId="14">#REF!</definedName>
    <definedName name="SL021YTD" localSheetId="25">#REF!</definedName>
    <definedName name="SL021YTD" localSheetId="18">#REF!</definedName>
    <definedName name="SL021YTD" localSheetId="13">#REF!</definedName>
    <definedName name="SL021YTD" localSheetId="7">#REF!</definedName>
    <definedName name="SL021YTD" localSheetId="1">#REF!</definedName>
    <definedName name="SL021YTD" localSheetId="23">#REF!</definedName>
    <definedName name="SL021YTD" localSheetId="28">#REF!</definedName>
    <definedName name="SL021YTD" localSheetId="4">#REF!</definedName>
    <definedName name="SL021YTD" localSheetId="9">#REF!</definedName>
    <definedName name="SL021YTD" localSheetId="22">#REF!</definedName>
    <definedName name="SL021YTD">#REF!</definedName>
    <definedName name="SL022Month" localSheetId="27">#REF!</definedName>
    <definedName name="SL022Month" localSheetId="3">#REF!</definedName>
    <definedName name="SL022Month" localSheetId="26">#REF!</definedName>
    <definedName name="SL022Month" localSheetId="19">#REF!</definedName>
    <definedName name="SL022Month" localSheetId="20">#REF!</definedName>
    <definedName name="SL022Month" localSheetId="24">#REF!</definedName>
    <definedName name="SL022Month" localSheetId="17">#REF!</definedName>
    <definedName name="SL022Month" localSheetId="16">#REF!</definedName>
    <definedName name="SL022Month" localSheetId="15">#REF!</definedName>
    <definedName name="SL022Month" localSheetId="14">#REF!</definedName>
    <definedName name="SL022Month" localSheetId="25">#REF!</definedName>
    <definedName name="SL022Month" localSheetId="18">#REF!</definedName>
    <definedName name="SL022Month" localSheetId="13">#REF!</definedName>
    <definedName name="SL022Month" localSheetId="7">#REF!</definedName>
    <definedName name="SL022Month" localSheetId="1">#REF!</definedName>
    <definedName name="SL022Month" localSheetId="23">#REF!</definedName>
    <definedName name="SL022Month" localSheetId="28">#REF!</definedName>
    <definedName name="SL022Month" localSheetId="4">#REF!</definedName>
    <definedName name="SL022Month" localSheetId="9">#REF!</definedName>
    <definedName name="SL022Month" localSheetId="22">#REF!</definedName>
    <definedName name="SL022Month">#REF!</definedName>
    <definedName name="SL022Text" localSheetId="27">#REF!</definedName>
    <definedName name="SL022Text" localSheetId="3">#REF!</definedName>
    <definedName name="SL022Text" localSheetId="26">#REF!</definedName>
    <definedName name="SL022Text" localSheetId="19">#REF!</definedName>
    <definedName name="SL022Text" localSheetId="20">#REF!</definedName>
    <definedName name="SL022Text" localSheetId="24">#REF!</definedName>
    <definedName name="SL022Text" localSheetId="17">#REF!</definedName>
    <definedName name="SL022Text" localSheetId="16">#REF!</definedName>
    <definedName name="SL022Text" localSheetId="15">#REF!</definedName>
    <definedName name="SL022Text" localSheetId="14">#REF!</definedName>
    <definedName name="SL022Text" localSheetId="25">#REF!</definedName>
    <definedName name="SL022Text" localSheetId="18">#REF!</definedName>
    <definedName name="SL022Text" localSheetId="13">#REF!</definedName>
    <definedName name="SL022Text" localSheetId="7">#REF!</definedName>
    <definedName name="SL022Text" localSheetId="1">#REF!</definedName>
    <definedName name="SL022Text" localSheetId="23">#REF!</definedName>
    <definedName name="SL022Text" localSheetId="28">#REF!</definedName>
    <definedName name="SL022Text" localSheetId="4">#REF!</definedName>
    <definedName name="SL022Text" localSheetId="9">#REF!</definedName>
    <definedName name="SL022Text" localSheetId="22">#REF!</definedName>
    <definedName name="SL022Text">#REF!</definedName>
    <definedName name="SL022Title" localSheetId="27">#REF!</definedName>
    <definedName name="SL022Title" localSheetId="3">#REF!</definedName>
    <definedName name="SL022Title" localSheetId="26">#REF!</definedName>
    <definedName name="SL022Title" localSheetId="19">#REF!</definedName>
    <definedName name="SL022Title" localSheetId="20">#REF!</definedName>
    <definedName name="SL022Title" localSheetId="24">#REF!</definedName>
    <definedName name="SL022Title" localSheetId="17">#REF!</definedName>
    <definedName name="SL022Title" localSheetId="16">#REF!</definedName>
    <definedName name="SL022Title" localSheetId="15">#REF!</definedName>
    <definedName name="SL022Title" localSheetId="14">#REF!</definedName>
    <definedName name="SL022Title" localSheetId="25">#REF!</definedName>
    <definedName name="SL022Title" localSheetId="18">#REF!</definedName>
    <definedName name="SL022Title" localSheetId="13">#REF!</definedName>
    <definedName name="SL022Title" localSheetId="7">#REF!</definedName>
    <definedName name="SL022Title" localSheetId="1">#REF!</definedName>
    <definedName name="SL022Title" localSheetId="23">#REF!</definedName>
    <definedName name="SL022Title" localSheetId="28">#REF!</definedName>
    <definedName name="SL022Title" localSheetId="4">#REF!</definedName>
    <definedName name="SL022Title" localSheetId="9">#REF!</definedName>
    <definedName name="SL022Title" localSheetId="22">#REF!</definedName>
    <definedName name="SL022Title">#REF!</definedName>
    <definedName name="SL022YTD" localSheetId="27">#REF!</definedName>
    <definedName name="SL022YTD" localSheetId="3">#REF!</definedName>
    <definedName name="SL022YTD" localSheetId="26">#REF!</definedName>
    <definedName name="SL022YTD" localSheetId="19">#REF!</definedName>
    <definedName name="SL022YTD" localSheetId="20">#REF!</definedName>
    <definedName name="SL022YTD" localSheetId="24">#REF!</definedName>
    <definedName name="SL022YTD" localSheetId="17">#REF!</definedName>
    <definedName name="SL022YTD" localSheetId="16">#REF!</definedName>
    <definedName name="SL022YTD" localSheetId="15">#REF!</definedName>
    <definedName name="SL022YTD" localSheetId="14">#REF!</definedName>
    <definedName name="SL022YTD" localSheetId="25">#REF!</definedName>
    <definedName name="SL022YTD" localSheetId="18">#REF!</definedName>
    <definedName name="SL022YTD" localSheetId="13">#REF!</definedName>
    <definedName name="SL022YTD" localSheetId="7">#REF!</definedName>
    <definedName name="SL022YTD" localSheetId="1">#REF!</definedName>
    <definedName name="SL022YTD" localSheetId="23">#REF!</definedName>
    <definedName name="SL022YTD" localSheetId="28">#REF!</definedName>
    <definedName name="SL022YTD" localSheetId="4">#REF!</definedName>
    <definedName name="SL022YTD" localSheetId="9">#REF!</definedName>
    <definedName name="SL022YTD" localSheetId="22">#REF!</definedName>
    <definedName name="SL022YTD">#REF!</definedName>
    <definedName name="SL023Month" localSheetId="27">#REF!</definedName>
    <definedName name="SL023Month" localSheetId="3">#REF!</definedName>
    <definedName name="SL023Month" localSheetId="26">#REF!</definedName>
    <definedName name="SL023Month" localSheetId="19">#REF!</definedName>
    <definedName name="SL023Month" localSheetId="20">#REF!</definedName>
    <definedName name="SL023Month" localSheetId="24">#REF!</definedName>
    <definedName name="SL023Month" localSheetId="17">#REF!</definedName>
    <definedName name="SL023Month" localSheetId="16">#REF!</definedName>
    <definedName name="SL023Month" localSheetId="15">#REF!</definedName>
    <definedName name="SL023Month" localSheetId="14">#REF!</definedName>
    <definedName name="SL023Month" localSheetId="25">#REF!</definedName>
    <definedName name="SL023Month" localSheetId="18">#REF!</definedName>
    <definedName name="SL023Month" localSheetId="13">#REF!</definedName>
    <definedName name="SL023Month" localSheetId="7">#REF!</definedName>
    <definedName name="SL023Month" localSheetId="1">#REF!</definedName>
    <definedName name="SL023Month" localSheetId="23">#REF!</definedName>
    <definedName name="SL023Month" localSheetId="28">#REF!</definedName>
    <definedName name="SL023Month" localSheetId="4">#REF!</definedName>
    <definedName name="SL023Month" localSheetId="9">#REF!</definedName>
    <definedName name="SL023Month" localSheetId="22">#REF!</definedName>
    <definedName name="SL023Month">#REF!</definedName>
    <definedName name="SL023Text" localSheetId="27">#REF!</definedName>
    <definedName name="SL023Text" localSheetId="3">#REF!</definedName>
    <definedName name="SL023Text" localSheetId="26">#REF!</definedName>
    <definedName name="SL023Text" localSheetId="19">#REF!</definedName>
    <definedName name="SL023Text" localSheetId="20">#REF!</definedName>
    <definedName name="SL023Text" localSheetId="24">#REF!</definedName>
    <definedName name="SL023Text" localSheetId="17">#REF!</definedName>
    <definedName name="SL023Text" localSheetId="16">#REF!</definedName>
    <definedName name="SL023Text" localSheetId="15">#REF!</definedName>
    <definedName name="SL023Text" localSheetId="14">#REF!</definedName>
    <definedName name="SL023Text" localSheetId="25">#REF!</definedName>
    <definedName name="SL023Text" localSheetId="18">#REF!</definedName>
    <definedName name="SL023Text" localSheetId="13">#REF!</definedName>
    <definedName name="SL023Text" localSheetId="7">#REF!</definedName>
    <definedName name="SL023Text" localSheetId="1">#REF!</definedName>
    <definedName name="SL023Text" localSheetId="23">#REF!</definedName>
    <definedName name="SL023Text" localSheetId="28">#REF!</definedName>
    <definedName name="SL023Text" localSheetId="4">#REF!</definedName>
    <definedName name="SL023Text" localSheetId="9">#REF!</definedName>
    <definedName name="SL023Text" localSheetId="22">#REF!</definedName>
    <definedName name="SL023Text">#REF!</definedName>
    <definedName name="SL023Title" localSheetId="27">#REF!</definedName>
    <definedName name="SL023Title" localSheetId="3">#REF!</definedName>
    <definedName name="SL023Title" localSheetId="26">#REF!</definedName>
    <definedName name="SL023Title" localSheetId="19">#REF!</definedName>
    <definedName name="SL023Title" localSheetId="20">#REF!</definedName>
    <definedName name="SL023Title" localSheetId="24">#REF!</definedName>
    <definedName name="SL023Title" localSheetId="17">#REF!</definedName>
    <definedName name="SL023Title" localSheetId="16">#REF!</definedName>
    <definedName name="SL023Title" localSheetId="15">#REF!</definedName>
    <definedName name="SL023Title" localSheetId="14">#REF!</definedName>
    <definedName name="SL023Title" localSheetId="25">#REF!</definedName>
    <definedName name="SL023Title" localSheetId="18">#REF!</definedName>
    <definedName name="SL023Title" localSheetId="13">#REF!</definedName>
    <definedName name="SL023Title" localSheetId="7">#REF!</definedName>
    <definedName name="SL023Title" localSheetId="1">#REF!</definedName>
    <definedName name="SL023Title" localSheetId="23">#REF!</definedName>
    <definedName name="SL023Title" localSheetId="28">#REF!</definedName>
    <definedName name="SL023Title" localSheetId="4">#REF!</definedName>
    <definedName name="SL023Title" localSheetId="9">#REF!</definedName>
    <definedName name="SL023Title" localSheetId="22">#REF!</definedName>
    <definedName name="SL023Title">#REF!</definedName>
    <definedName name="SL023YTD" localSheetId="27">#REF!</definedName>
    <definedName name="SL023YTD" localSheetId="3">#REF!</definedName>
    <definedName name="SL023YTD" localSheetId="26">#REF!</definedName>
    <definedName name="SL023YTD" localSheetId="19">#REF!</definedName>
    <definedName name="SL023YTD" localSheetId="20">#REF!</definedName>
    <definedName name="SL023YTD" localSheetId="24">#REF!</definedName>
    <definedName name="SL023YTD" localSheetId="17">#REF!</definedName>
    <definedName name="SL023YTD" localSheetId="16">#REF!</definedName>
    <definedName name="SL023YTD" localSheetId="15">#REF!</definedName>
    <definedName name="SL023YTD" localSheetId="14">#REF!</definedName>
    <definedName name="SL023YTD" localSheetId="25">#REF!</definedName>
    <definedName name="SL023YTD" localSheetId="18">#REF!</definedName>
    <definedName name="SL023YTD" localSheetId="13">#REF!</definedName>
    <definedName name="SL023YTD" localSheetId="7">#REF!</definedName>
    <definedName name="SL023YTD" localSheetId="1">#REF!</definedName>
    <definedName name="SL023YTD" localSheetId="23">#REF!</definedName>
    <definedName name="SL023YTD" localSheetId="28">#REF!</definedName>
    <definedName name="SL023YTD" localSheetId="4">#REF!</definedName>
    <definedName name="SL023YTD" localSheetId="9">#REF!</definedName>
    <definedName name="SL023YTD" localSheetId="22">#REF!</definedName>
    <definedName name="SL023YTD">#REF!</definedName>
    <definedName name="SL024Month" localSheetId="27">#REF!</definedName>
    <definedName name="SL024Month" localSheetId="3">#REF!</definedName>
    <definedName name="SL024Month" localSheetId="26">#REF!</definedName>
    <definedName name="SL024Month" localSheetId="19">#REF!</definedName>
    <definedName name="SL024Month" localSheetId="20">#REF!</definedName>
    <definedName name="SL024Month" localSheetId="24">#REF!</definedName>
    <definedName name="SL024Month" localSheetId="17">#REF!</definedName>
    <definedName name="SL024Month" localSheetId="16">#REF!</definedName>
    <definedName name="SL024Month" localSheetId="15">#REF!</definedName>
    <definedName name="SL024Month" localSheetId="14">#REF!</definedName>
    <definedName name="SL024Month" localSheetId="25">#REF!</definedName>
    <definedName name="SL024Month" localSheetId="18">#REF!</definedName>
    <definedName name="SL024Month" localSheetId="13">#REF!</definedName>
    <definedName name="SL024Month" localSheetId="7">#REF!</definedName>
    <definedName name="SL024Month" localSheetId="1">#REF!</definedName>
    <definedName name="SL024Month" localSheetId="23">#REF!</definedName>
    <definedName name="SL024Month" localSheetId="28">#REF!</definedName>
    <definedName name="SL024Month" localSheetId="4">#REF!</definedName>
    <definedName name="SL024Month" localSheetId="9">#REF!</definedName>
    <definedName name="SL024Month" localSheetId="22">#REF!</definedName>
    <definedName name="SL024Month">#REF!</definedName>
    <definedName name="SL024Text" localSheetId="27">#REF!</definedName>
    <definedName name="SL024Text" localSheetId="3">#REF!</definedName>
    <definedName name="SL024Text" localSheetId="26">#REF!</definedName>
    <definedName name="SL024Text" localSheetId="19">#REF!</definedName>
    <definedName name="SL024Text" localSheetId="20">#REF!</definedName>
    <definedName name="SL024Text" localSheetId="24">#REF!</definedName>
    <definedName name="SL024Text" localSheetId="17">#REF!</definedName>
    <definedName name="SL024Text" localSheetId="16">#REF!</definedName>
    <definedName name="SL024Text" localSheetId="15">#REF!</definedName>
    <definedName name="SL024Text" localSheetId="14">#REF!</definedName>
    <definedName name="SL024Text" localSheetId="25">#REF!</definedName>
    <definedName name="SL024Text" localSheetId="18">#REF!</definedName>
    <definedName name="SL024Text" localSheetId="13">#REF!</definedName>
    <definedName name="SL024Text" localSheetId="7">#REF!</definedName>
    <definedName name="SL024Text" localSheetId="1">#REF!</definedName>
    <definedName name="SL024Text" localSheetId="23">#REF!</definedName>
    <definedName name="SL024Text" localSheetId="28">#REF!</definedName>
    <definedName name="SL024Text" localSheetId="4">#REF!</definedName>
    <definedName name="SL024Text" localSheetId="9">#REF!</definedName>
    <definedName name="SL024Text" localSheetId="22">#REF!</definedName>
    <definedName name="SL024Text">#REF!</definedName>
    <definedName name="SL024Title" localSheetId="27">#REF!</definedName>
    <definedName name="SL024Title" localSheetId="3">#REF!</definedName>
    <definedName name="SL024Title" localSheetId="26">#REF!</definedName>
    <definedName name="SL024Title" localSheetId="19">#REF!</definedName>
    <definedName name="SL024Title" localSheetId="20">#REF!</definedName>
    <definedName name="SL024Title" localSheetId="24">#REF!</definedName>
    <definedName name="SL024Title" localSheetId="17">#REF!</definedName>
    <definedName name="SL024Title" localSheetId="16">#REF!</definedName>
    <definedName name="SL024Title" localSheetId="15">#REF!</definedName>
    <definedName name="SL024Title" localSheetId="14">#REF!</definedName>
    <definedName name="SL024Title" localSheetId="25">#REF!</definedName>
    <definedName name="SL024Title" localSheetId="18">#REF!</definedName>
    <definedName name="SL024Title" localSheetId="13">#REF!</definedName>
    <definedName name="SL024Title" localSheetId="7">#REF!</definedName>
    <definedName name="SL024Title" localSheetId="1">#REF!</definedName>
    <definedName name="SL024Title" localSheetId="23">#REF!</definedName>
    <definedName name="SL024Title" localSheetId="28">#REF!</definedName>
    <definedName name="SL024Title" localSheetId="4">#REF!</definedName>
    <definedName name="SL024Title" localSheetId="9">#REF!</definedName>
    <definedName name="SL024Title" localSheetId="22">#REF!</definedName>
    <definedName name="SL024Title">#REF!</definedName>
    <definedName name="SL024YTD" localSheetId="27">#REF!</definedName>
    <definedName name="SL024YTD" localSheetId="3">#REF!</definedName>
    <definedName name="SL024YTD" localSheetId="26">#REF!</definedName>
    <definedName name="SL024YTD" localSheetId="19">#REF!</definedName>
    <definedName name="SL024YTD" localSheetId="20">#REF!</definedName>
    <definedName name="SL024YTD" localSheetId="24">#REF!</definedName>
    <definedName name="SL024YTD" localSheetId="17">#REF!</definedName>
    <definedName name="SL024YTD" localSheetId="16">#REF!</definedName>
    <definedName name="SL024YTD" localSheetId="15">#REF!</definedName>
    <definedName name="SL024YTD" localSheetId="14">#REF!</definedName>
    <definedName name="SL024YTD" localSheetId="25">#REF!</definedName>
    <definedName name="SL024YTD" localSheetId="18">#REF!</definedName>
    <definedName name="SL024YTD" localSheetId="13">#REF!</definedName>
    <definedName name="SL024YTD" localSheetId="7">#REF!</definedName>
    <definedName name="SL024YTD" localSheetId="1">#REF!</definedName>
    <definedName name="SL024YTD" localSheetId="23">#REF!</definedName>
    <definedName name="SL024YTD" localSheetId="28">#REF!</definedName>
    <definedName name="SL024YTD" localSheetId="4">#REF!</definedName>
    <definedName name="SL024YTD" localSheetId="9">#REF!</definedName>
    <definedName name="SL024YTD" localSheetId="22">#REF!</definedName>
    <definedName name="SL024YTD">#REF!</definedName>
    <definedName name="SL025Month" localSheetId="27">#REF!</definedName>
    <definedName name="SL025Month" localSheetId="3">#REF!</definedName>
    <definedName name="SL025Month" localSheetId="26">#REF!</definedName>
    <definedName name="SL025Month" localSheetId="19">#REF!</definedName>
    <definedName name="SL025Month" localSheetId="20">#REF!</definedName>
    <definedName name="SL025Month" localSheetId="24">#REF!</definedName>
    <definedName name="SL025Month" localSheetId="17">#REF!</definedName>
    <definedName name="SL025Month" localSheetId="16">#REF!</definedName>
    <definedName name="SL025Month" localSheetId="15">#REF!</definedName>
    <definedName name="SL025Month" localSheetId="14">#REF!</definedName>
    <definedName name="SL025Month" localSheetId="25">#REF!</definedName>
    <definedName name="SL025Month" localSheetId="18">#REF!</definedName>
    <definedName name="SL025Month" localSheetId="13">#REF!</definedName>
    <definedName name="SL025Month" localSheetId="7">#REF!</definedName>
    <definedName name="SL025Month" localSheetId="1">#REF!</definedName>
    <definedName name="SL025Month" localSheetId="23">#REF!</definedName>
    <definedName name="SL025Month" localSheetId="28">#REF!</definedName>
    <definedName name="SL025Month" localSheetId="4">#REF!</definedName>
    <definedName name="SL025Month" localSheetId="9">#REF!</definedName>
    <definedName name="SL025Month" localSheetId="22">#REF!</definedName>
    <definedName name="SL025Month">#REF!</definedName>
    <definedName name="SL025Text" localSheetId="27">#REF!</definedName>
    <definedName name="SL025Text" localSheetId="3">#REF!</definedName>
    <definedName name="SL025Text" localSheetId="26">#REF!</definedName>
    <definedName name="SL025Text" localSheetId="19">#REF!</definedName>
    <definedName name="SL025Text" localSheetId="20">#REF!</definedName>
    <definedName name="SL025Text" localSheetId="24">#REF!</definedName>
    <definedName name="SL025Text" localSheetId="17">#REF!</definedName>
    <definedName name="SL025Text" localSheetId="16">#REF!</definedName>
    <definedName name="SL025Text" localSheetId="15">#REF!</definedName>
    <definedName name="SL025Text" localSheetId="14">#REF!</definedName>
    <definedName name="SL025Text" localSheetId="25">#REF!</definedName>
    <definedName name="SL025Text" localSheetId="18">#REF!</definedName>
    <definedName name="SL025Text" localSheetId="13">#REF!</definedName>
    <definedName name="SL025Text" localSheetId="7">#REF!</definedName>
    <definedName name="SL025Text" localSheetId="1">#REF!</definedName>
    <definedName name="SL025Text" localSheetId="23">#REF!</definedName>
    <definedName name="SL025Text" localSheetId="28">#REF!</definedName>
    <definedName name="SL025Text" localSheetId="4">#REF!</definedName>
    <definedName name="SL025Text" localSheetId="9">#REF!</definedName>
    <definedName name="SL025Text" localSheetId="22">#REF!</definedName>
    <definedName name="SL025Text">#REF!</definedName>
    <definedName name="SL025Title" localSheetId="27">#REF!</definedName>
    <definedName name="SL025Title" localSheetId="3">#REF!</definedName>
    <definedName name="SL025Title" localSheetId="26">#REF!</definedName>
    <definedName name="SL025Title" localSheetId="19">#REF!</definedName>
    <definedName name="SL025Title" localSheetId="20">#REF!</definedName>
    <definedName name="SL025Title" localSheetId="24">#REF!</definedName>
    <definedName name="SL025Title" localSheetId="17">#REF!</definedName>
    <definedName name="SL025Title" localSheetId="16">#REF!</definedName>
    <definedName name="SL025Title" localSheetId="15">#REF!</definedName>
    <definedName name="SL025Title" localSheetId="14">#REF!</definedName>
    <definedName name="SL025Title" localSheetId="25">#REF!</definedName>
    <definedName name="SL025Title" localSheetId="18">#REF!</definedName>
    <definedName name="SL025Title" localSheetId="13">#REF!</definedName>
    <definedName name="SL025Title" localSheetId="7">#REF!</definedName>
    <definedName name="SL025Title" localSheetId="1">#REF!</definedName>
    <definedName name="SL025Title" localSheetId="23">#REF!</definedName>
    <definedName name="SL025Title" localSheetId="28">#REF!</definedName>
    <definedName name="SL025Title" localSheetId="4">#REF!</definedName>
    <definedName name="SL025Title" localSheetId="9">#REF!</definedName>
    <definedName name="SL025Title" localSheetId="22">#REF!</definedName>
    <definedName name="SL025Title">#REF!</definedName>
    <definedName name="SL025YTD" localSheetId="27">#REF!</definedName>
    <definedName name="SL025YTD" localSheetId="3">#REF!</definedName>
    <definedName name="SL025YTD" localSheetId="26">#REF!</definedName>
    <definedName name="SL025YTD" localSheetId="19">#REF!</definedName>
    <definedName name="SL025YTD" localSheetId="20">#REF!</definedName>
    <definedName name="SL025YTD" localSheetId="24">#REF!</definedName>
    <definedName name="SL025YTD" localSheetId="17">#REF!</definedName>
    <definedName name="SL025YTD" localSheetId="16">#REF!</definedName>
    <definedName name="SL025YTD" localSheetId="15">#REF!</definedName>
    <definedName name="SL025YTD" localSheetId="14">#REF!</definedName>
    <definedName name="SL025YTD" localSheetId="25">#REF!</definedName>
    <definedName name="SL025YTD" localSheetId="18">#REF!</definedName>
    <definedName name="SL025YTD" localSheetId="13">#REF!</definedName>
    <definedName name="SL025YTD" localSheetId="7">#REF!</definedName>
    <definedName name="SL025YTD" localSheetId="1">#REF!</definedName>
    <definedName name="SL025YTD" localSheetId="23">#REF!</definedName>
    <definedName name="SL025YTD" localSheetId="28">#REF!</definedName>
    <definedName name="SL025YTD" localSheetId="4">#REF!</definedName>
    <definedName name="SL025YTD" localSheetId="9">#REF!</definedName>
    <definedName name="SL025YTD" localSheetId="22">#REF!</definedName>
    <definedName name="SL025YTD">#REF!</definedName>
    <definedName name="StartMonth" localSheetId="27">#REF!</definedName>
    <definedName name="StartMonth" localSheetId="3">#REF!</definedName>
    <definedName name="StartMonth" localSheetId="26">#REF!</definedName>
    <definedName name="StartMonth" localSheetId="19">#REF!</definedName>
    <definedName name="StartMonth" localSheetId="20">#REF!</definedName>
    <definedName name="StartMonth" localSheetId="24">#REF!</definedName>
    <definedName name="StartMonth" localSheetId="17">#REF!</definedName>
    <definedName name="StartMonth" localSheetId="16">#REF!</definedName>
    <definedName name="StartMonth" localSheetId="15">#REF!</definedName>
    <definedName name="StartMonth" localSheetId="14">#REF!</definedName>
    <definedName name="StartMonth" localSheetId="25">#REF!</definedName>
    <definedName name="StartMonth" localSheetId="18">#REF!</definedName>
    <definedName name="StartMonth" localSheetId="13">#REF!</definedName>
    <definedName name="StartMonth" localSheetId="7">#REF!</definedName>
    <definedName name="StartMonth" localSheetId="1">#REF!</definedName>
    <definedName name="StartMonth" localSheetId="23">#REF!</definedName>
    <definedName name="StartMonth" localSheetId="28">#REF!</definedName>
    <definedName name="StartMonth" localSheetId="4">#REF!</definedName>
    <definedName name="StartMonth" localSheetId="9">#REF!</definedName>
    <definedName name="StartMonth" localSheetId="22">#REF!</definedName>
    <definedName name="StartMonth">#REF!</definedName>
    <definedName name="SWSC">'national caseload'!$B$43</definedName>
    <definedName name="Target1516M" localSheetId="27">#REF!</definedName>
    <definedName name="Target1516M" localSheetId="3">#REF!</definedName>
    <definedName name="Target1516M" localSheetId="26">#REF!</definedName>
    <definedName name="Target1516M" localSheetId="19">#REF!</definedName>
    <definedName name="Target1516M" localSheetId="20">#REF!</definedName>
    <definedName name="Target1516M" localSheetId="24">#REF!</definedName>
    <definedName name="Target1516M" localSheetId="17">#REF!</definedName>
    <definedName name="Target1516M" localSheetId="16">#REF!</definedName>
    <definedName name="Target1516M" localSheetId="15">#REF!</definedName>
    <definedName name="Target1516M" localSheetId="14">#REF!</definedName>
    <definedName name="Target1516M" localSheetId="25">#REF!</definedName>
    <definedName name="Target1516M" localSheetId="18">#REF!</definedName>
    <definedName name="Target1516M" localSheetId="13">#REF!</definedName>
    <definedName name="Target1516M" localSheetId="7">#REF!</definedName>
    <definedName name="Target1516M" localSheetId="1">#REF!</definedName>
    <definedName name="Target1516M" localSheetId="23">#REF!</definedName>
    <definedName name="Target1516M" localSheetId="28">#REF!</definedName>
    <definedName name="Target1516M" localSheetId="4">#REF!</definedName>
    <definedName name="Target1516M" localSheetId="9">#REF!</definedName>
    <definedName name="Target1516M" localSheetId="22">#REF!</definedName>
    <definedName name="Target1516M">#REF!</definedName>
    <definedName name="Target1516Ref" localSheetId="27">#REF!</definedName>
    <definedName name="Target1516Ref" localSheetId="3">#REF!</definedName>
    <definedName name="Target1516Ref" localSheetId="26">#REF!</definedName>
    <definedName name="Target1516Ref" localSheetId="19">#REF!</definedName>
    <definedName name="Target1516Ref" localSheetId="20">#REF!</definedName>
    <definedName name="Target1516Ref" localSheetId="24">#REF!</definedName>
    <definedName name="Target1516Ref" localSheetId="17">#REF!</definedName>
    <definedName name="Target1516Ref" localSheetId="16">#REF!</definedName>
    <definedName name="Target1516Ref" localSheetId="15">#REF!</definedName>
    <definedName name="Target1516Ref" localSheetId="14">#REF!</definedName>
    <definedName name="Target1516Ref" localSheetId="25">#REF!</definedName>
    <definedName name="Target1516Ref" localSheetId="18">#REF!</definedName>
    <definedName name="Target1516Ref" localSheetId="13">#REF!</definedName>
    <definedName name="Target1516Ref" localSheetId="7">#REF!</definedName>
    <definedName name="Target1516Ref" localSheetId="1">#REF!</definedName>
    <definedName name="Target1516Ref" localSheetId="23">#REF!</definedName>
    <definedName name="Target1516Ref" localSheetId="28">#REF!</definedName>
    <definedName name="Target1516Ref" localSheetId="4">#REF!</definedName>
    <definedName name="Target1516Ref" localSheetId="9">#REF!</definedName>
    <definedName name="Target1516Ref" localSheetId="22">#REF!</definedName>
    <definedName name="Target1516Ref">#REF!</definedName>
    <definedName name="Target1516YTD" localSheetId="27">#REF!</definedName>
    <definedName name="Target1516YTD" localSheetId="3">#REF!</definedName>
    <definedName name="Target1516YTD" localSheetId="26">#REF!</definedName>
    <definedName name="Target1516YTD" localSheetId="19">#REF!</definedName>
    <definedName name="Target1516YTD" localSheetId="20">#REF!</definedName>
    <definedName name="Target1516YTD" localSheetId="24">#REF!</definedName>
    <definedName name="Target1516YTD" localSheetId="17">#REF!</definedName>
    <definedName name="Target1516YTD" localSheetId="16">#REF!</definedName>
    <definedName name="Target1516YTD" localSheetId="15">#REF!</definedName>
    <definedName name="Target1516YTD" localSheetId="14">#REF!</definedName>
    <definedName name="Target1516YTD" localSheetId="25">#REF!</definedName>
    <definedName name="Target1516YTD" localSheetId="18">#REF!</definedName>
    <definedName name="Target1516YTD" localSheetId="13">#REF!</definedName>
    <definedName name="Target1516YTD" localSheetId="7">#REF!</definedName>
    <definedName name="Target1516YTD" localSheetId="1">#REF!</definedName>
    <definedName name="Target1516YTD" localSheetId="23">#REF!</definedName>
    <definedName name="Target1516YTD" localSheetId="28">#REF!</definedName>
    <definedName name="Target1516YTD" localSheetId="4">#REF!</definedName>
    <definedName name="Target1516YTD" localSheetId="9">#REF!</definedName>
    <definedName name="Target1516YTD" localSheetId="22">#REF!</definedName>
    <definedName name="Target1516YTD">#REF!</definedName>
    <definedName name="Targets" localSheetId="27">#REF!</definedName>
    <definedName name="Targets" localSheetId="3">#REF!</definedName>
    <definedName name="Targets" localSheetId="26">#REF!</definedName>
    <definedName name="Targets" localSheetId="19">#REF!</definedName>
    <definedName name="Targets" localSheetId="20">#REF!</definedName>
    <definedName name="Targets" localSheetId="24">#REF!</definedName>
    <definedName name="Targets" localSheetId="17">#REF!</definedName>
    <definedName name="Targets" localSheetId="16">#REF!</definedName>
    <definedName name="Targets" localSheetId="15">#REF!</definedName>
    <definedName name="Targets" localSheetId="14">#REF!</definedName>
    <definedName name="Targets" localSheetId="25">#REF!</definedName>
    <definedName name="Targets" localSheetId="18">#REF!</definedName>
    <definedName name="Targets" localSheetId="13">#REF!</definedName>
    <definedName name="Targets" localSheetId="7">#REF!</definedName>
    <definedName name="Targets" localSheetId="1">#REF!</definedName>
    <definedName name="Targets" localSheetId="23">#REF!</definedName>
    <definedName name="Targets" localSheetId="28">#REF!</definedName>
    <definedName name="Targets" localSheetId="4">#REF!</definedName>
    <definedName name="Targets" localSheetId="9">#REF!</definedName>
    <definedName name="Targets" localSheetId="22">#REF!</definedName>
    <definedName name="Targets">#REF!</definedName>
    <definedName name="Targets2" localSheetId="27">#REF!</definedName>
    <definedName name="Targets2" localSheetId="3">#REF!</definedName>
    <definedName name="Targets2" localSheetId="26">#REF!</definedName>
    <definedName name="Targets2" localSheetId="19">#REF!</definedName>
    <definedName name="Targets2" localSheetId="20">#REF!</definedName>
    <definedName name="Targets2" localSheetId="24">#REF!</definedName>
    <definedName name="Targets2" localSheetId="17">#REF!</definedName>
    <definedName name="Targets2" localSheetId="16">#REF!</definedName>
    <definedName name="Targets2" localSheetId="15">#REF!</definedName>
    <definedName name="Targets2" localSheetId="14">#REF!</definedName>
    <definedName name="Targets2" localSheetId="25">#REF!</definedName>
    <definedName name="Targets2" localSheetId="18">#REF!</definedName>
    <definedName name="Targets2" localSheetId="13">#REF!</definedName>
    <definedName name="Targets2" localSheetId="7">#REF!</definedName>
    <definedName name="Targets2" localSheetId="1">#REF!</definedName>
    <definedName name="Targets2" localSheetId="23">#REF!</definedName>
    <definedName name="Targets2" localSheetId="28">#REF!</definedName>
    <definedName name="Targets2" localSheetId="4">#REF!</definedName>
    <definedName name="Targets2" localSheetId="9">#REF!</definedName>
    <definedName name="Targets2" localSheetId="22">#REF!</definedName>
    <definedName name="Targets2">#REF!</definedName>
    <definedName name="Team_Regions">PDUs!$Q$1:$AE$1</definedName>
    <definedName name="W">'national caseload'!$B$47</definedName>
    <definedName name="Wales" localSheetId="17">#REF!</definedName>
    <definedName name="Wales" localSheetId="16">#REF!</definedName>
    <definedName name="Wales" localSheetId="15">#REF!</definedName>
    <definedName name="Wales" localSheetId="14">#REF!</definedName>
    <definedName name="Wales" localSheetId="13">#REF!</definedName>
    <definedName name="Wales" localSheetId="9">#REF!</definedName>
    <definedName name="Wales">#REF!</definedName>
    <definedName name="Weighting" localSheetId="27">#REF!</definedName>
    <definedName name="Weighting" localSheetId="3">#REF!</definedName>
    <definedName name="Weighting" localSheetId="26">#REF!</definedName>
    <definedName name="Weighting" localSheetId="19">#REF!</definedName>
    <definedName name="Weighting" localSheetId="20">#REF!</definedName>
    <definedName name="Weighting" localSheetId="24">#REF!</definedName>
    <definedName name="Weighting" localSheetId="17">#REF!</definedName>
    <definedName name="Weighting" localSheetId="16">#REF!</definedName>
    <definedName name="Weighting" localSheetId="15">#REF!</definedName>
    <definedName name="Weighting" localSheetId="14">#REF!</definedName>
    <definedName name="Weighting" localSheetId="25">#REF!</definedName>
    <definedName name="Weighting" localSheetId="18">#REF!</definedName>
    <definedName name="Weighting" localSheetId="13">#REF!</definedName>
    <definedName name="Weighting" localSheetId="7">#REF!</definedName>
    <definedName name="Weighting" localSheetId="1">#REF!</definedName>
    <definedName name="Weighting" localSheetId="23">#REF!</definedName>
    <definedName name="Weighting" localSheetId="28">#REF!</definedName>
    <definedName name="Weighting" localSheetId="4">#REF!</definedName>
    <definedName name="Weighting" localSheetId="9">#REF!</definedName>
    <definedName name="Weighting" localSheetId="22">#REF!</definedName>
    <definedName name="Weighting">#REF!</definedName>
    <definedName name="WMR">'national caseload'!$B$51</definedName>
    <definedName name="WorkPackages" localSheetId="3">'[3]List Data'!$A$2:$A$77</definedName>
    <definedName name="WorkPackages" localSheetId="19">'[3]List Data'!$A$2:$A$77</definedName>
    <definedName name="WorkPackages" localSheetId="20">'[3]List Data'!$A$2:$A$77</definedName>
    <definedName name="WorkPackages" localSheetId="24">'[3]List Data'!$A$2:$A$77</definedName>
    <definedName name="WorkPackages" localSheetId="25">'[3]List Data'!$A$2:$A$77</definedName>
    <definedName name="WorkPackages" localSheetId="18">'[3]List Data'!$A$2:$A$77</definedName>
    <definedName name="WorkPackages" localSheetId="1">'[3]List Data'!$A$2:$A$77</definedName>
    <definedName name="WorkPackages" localSheetId="23">'[3]List Data'!$A$2:$A$77</definedName>
    <definedName name="WorkPackages" localSheetId="4">'[3]List Data'!$A$2:$A$77</definedName>
    <definedName name="WorkPackages" localSheetId="22">'[3]List Data'!$A$2:$A$77</definedName>
    <definedName name="WorkPackages">'[2]List Data'!$A$2:$A$77</definedName>
    <definedName name="YATH">'national caseload'!$B$55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16" i="87" l="1"/>
  <c r="R112" i="87"/>
  <c r="R115" i="87"/>
  <c r="S17" i="111"/>
  <c r="R17" i="111"/>
  <c r="Q17" i="111"/>
  <c r="P17" i="111"/>
  <c r="AI17" i="111" s="1"/>
  <c r="O17" i="111"/>
  <c r="AH17" i="111" s="1"/>
  <c r="N17" i="111"/>
  <c r="M17" i="111"/>
  <c r="L17" i="111"/>
  <c r="K17" i="111"/>
  <c r="J17" i="111"/>
  <c r="I17" i="111"/>
  <c r="H17" i="111"/>
  <c r="AA17" i="111" s="1"/>
  <c r="G17" i="111"/>
  <c r="Z17" i="111" s="1"/>
  <c r="F17" i="111"/>
  <c r="E17" i="111"/>
  <c r="D17" i="111"/>
  <c r="C17" i="111"/>
  <c r="T196" i="100"/>
  <c r="S196" i="100"/>
  <c r="R196" i="100"/>
  <c r="Q196" i="100"/>
  <c r="P196" i="100"/>
  <c r="O196" i="100"/>
  <c r="N196" i="100"/>
  <c r="M196" i="100"/>
  <c r="L196" i="100"/>
  <c r="K196" i="100"/>
  <c r="J196" i="100"/>
  <c r="I196" i="100"/>
  <c r="H196" i="100"/>
  <c r="G196" i="100"/>
  <c r="F196" i="100"/>
  <c r="E196" i="100"/>
  <c r="D196" i="100"/>
  <c r="T127" i="100" a="1"/>
  <c r="T127" i="100" s="1"/>
  <c r="S127" i="100" a="1"/>
  <c r="S127" i="100" s="1"/>
  <c r="R127" i="100" a="1"/>
  <c r="R127" i="100" s="1"/>
  <c r="Q127" i="100" a="1"/>
  <c r="Q127" i="100" s="1"/>
  <c r="P127" i="100" a="1"/>
  <c r="P127" i="100" s="1"/>
  <c r="O127" i="100" a="1"/>
  <c r="O127" i="100" s="1"/>
  <c r="N127" i="100" a="1"/>
  <c r="N127" i="100" s="1"/>
  <c r="M127" i="100" a="1"/>
  <c r="M127" i="100" s="1"/>
  <c r="L127" i="100" a="1"/>
  <c r="L127" i="100" s="1"/>
  <c r="K127" i="100" a="1"/>
  <c r="K127" i="100" s="1"/>
  <c r="J127" i="100" a="1"/>
  <c r="J127" i="100" s="1"/>
  <c r="I127" i="100" a="1"/>
  <c r="I127" i="100" s="1"/>
  <c r="H127" i="100" a="1"/>
  <c r="H127" i="100" s="1"/>
  <c r="G127" i="100" a="1"/>
  <c r="G127" i="100" s="1"/>
  <c r="F127" i="100" a="1"/>
  <c r="F127" i="100" s="1"/>
  <c r="E127" i="100" a="1"/>
  <c r="E127" i="100" s="1"/>
  <c r="D127" i="100" a="1"/>
  <c r="D127" i="100" s="1"/>
  <c r="T126" i="100" a="1"/>
  <c r="T126" i="100" s="1"/>
  <c r="S126" i="100" a="1"/>
  <c r="S126" i="100" s="1"/>
  <c r="R126" i="100" a="1"/>
  <c r="R126" i="100" s="1"/>
  <c r="Q126" i="100" a="1"/>
  <c r="Q126" i="100" s="1"/>
  <c r="P126" i="100" a="1"/>
  <c r="P126" i="100" s="1"/>
  <c r="O126" i="100" a="1"/>
  <c r="O126" i="100" s="1"/>
  <c r="N126" i="100" a="1"/>
  <c r="N126" i="100" s="1"/>
  <c r="M126" i="100" a="1"/>
  <c r="M126" i="100" s="1"/>
  <c r="L126" i="100" a="1"/>
  <c r="L126" i="100" s="1"/>
  <c r="K126" i="100" a="1"/>
  <c r="K126" i="100" s="1"/>
  <c r="J126" i="100" a="1"/>
  <c r="J126" i="100" s="1"/>
  <c r="I126" i="100" a="1"/>
  <c r="I126" i="100" s="1"/>
  <c r="H126" i="100" a="1"/>
  <c r="H126" i="100" s="1"/>
  <c r="G126" i="100" a="1"/>
  <c r="G126" i="100" s="1"/>
  <c r="F126" i="100" a="1"/>
  <c r="F126" i="100" s="1"/>
  <c r="E126" i="100" a="1"/>
  <c r="E126" i="100" s="1"/>
  <c r="D126" i="100" a="1"/>
  <c r="D126" i="100" s="1"/>
  <c r="T125" i="100" a="1"/>
  <c r="T125" i="100" s="1"/>
  <c r="S125" i="100" a="1"/>
  <c r="S125" i="100" s="1"/>
  <c r="R125" i="100" a="1"/>
  <c r="R125" i="100" s="1"/>
  <c r="Q125" i="100" a="1"/>
  <c r="Q125" i="100" s="1"/>
  <c r="P125" i="100" a="1"/>
  <c r="P125" i="100" s="1"/>
  <c r="O125" i="100" a="1"/>
  <c r="O125" i="100" s="1"/>
  <c r="N125" i="100" a="1"/>
  <c r="N125" i="100" s="1"/>
  <c r="M125" i="100" a="1"/>
  <c r="M125" i="100" s="1"/>
  <c r="L125" i="100" a="1"/>
  <c r="L125" i="100" s="1"/>
  <c r="K125" i="100" a="1"/>
  <c r="K125" i="100" s="1"/>
  <c r="J125" i="100" a="1"/>
  <c r="J125" i="100" s="1"/>
  <c r="I125" i="100" a="1"/>
  <c r="I125" i="100" s="1"/>
  <c r="H125" i="100" a="1"/>
  <c r="H125" i="100" s="1"/>
  <c r="G125" i="100" a="1"/>
  <c r="G125" i="100" s="1"/>
  <c r="F125" i="100" a="1"/>
  <c r="F125" i="100" s="1"/>
  <c r="E125" i="100" a="1"/>
  <c r="E125" i="100" s="1"/>
  <c r="D125" i="100" a="1"/>
  <c r="D125" i="100" s="1"/>
  <c r="T58" i="100"/>
  <c r="S58" i="100"/>
  <c r="R58" i="100"/>
  <c r="Q58" i="100"/>
  <c r="P58" i="100"/>
  <c r="O58" i="100"/>
  <c r="N58" i="100"/>
  <c r="M58" i="100"/>
  <c r="L58" i="100"/>
  <c r="K58" i="100"/>
  <c r="J58" i="100"/>
  <c r="I58" i="100"/>
  <c r="H58" i="100"/>
  <c r="G58" i="100"/>
  <c r="F58" i="100"/>
  <c r="E58" i="100"/>
  <c r="D58" i="100"/>
  <c r="T57" i="100"/>
  <c r="S57" i="100"/>
  <c r="R57" i="100"/>
  <c r="Q57" i="100"/>
  <c r="P57" i="100"/>
  <c r="O57" i="100"/>
  <c r="N57" i="100"/>
  <c r="M57" i="100"/>
  <c r="L57" i="100"/>
  <c r="K57" i="100"/>
  <c r="J57" i="100"/>
  <c r="I57" i="100"/>
  <c r="H57" i="100"/>
  <c r="G57" i="100"/>
  <c r="F57" i="100"/>
  <c r="E57" i="100"/>
  <c r="D57" i="100"/>
  <c r="T56" i="100"/>
  <c r="S56" i="100"/>
  <c r="R56" i="100"/>
  <c r="Q56" i="100"/>
  <c r="P56" i="100"/>
  <c r="O56" i="100"/>
  <c r="N56" i="100"/>
  <c r="M56" i="100"/>
  <c r="L56" i="100"/>
  <c r="K56" i="100"/>
  <c r="J56" i="100"/>
  <c r="I56" i="100"/>
  <c r="H56" i="100"/>
  <c r="G56" i="100"/>
  <c r="F56" i="100"/>
  <c r="E56" i="100"/>
  <c r="D56" i="100"/>
  <c r="C2" i="92"/>
  <c r="C2" i="91"/>
  <c r="C2" i="93"/>
  <c r="M21" i="88"/>
  <c r="N21" i="88" s="1"/>
  <c r="L21" i="88"/>
  <c r="J21" i="88"/>
  <c r="I21" i="88"/>
  <c r="G21" i="88"/>
  <c r="F21" i="88"/>
  <c r="D21" i="88"/>
  <c r="C21" i="88"/>
  <c r="M20" i="88"/>
  <c r="N20" i="88" s="1"/>
  <c r="L20" i="88"/>
  <c r="J20" i="88"/>
  <c r="I20" i="88"/>
  <c r="G20" i="88"/>
  <c r="F20" i="88"/>
  <c r="D20" i="88"/>
  <c r="E20" i="88" s="1"/>
  <c r="C20" i="88"/>
  <c r="M19" i="88"/>
  <c r="L19" i="88"/>
  <c r="J19" i="88"/>
  <c r="I19" i="88"/>
  <c r="G19" i="88"/>
  <c r="F19" i="88"/>
  <c r="D19" i="88"/>
  <c r="E19" i="88" s="1"/>
  <c r="C19" i="88"/>
  <c r="M18" i="88"/>
  <c r="L18" i="88"/>
  <c r="N18" i="88" s="1"/>
  <c r="J18" i="88"/>
  <c r="I18" i="88"/>
  <c r="K18" i="88" s="1"/>
  <c r="G18" i="88"/>
  <c r="H18" i="88" s="1"/>
  <c r="F18" i="88"/>
  <c r="D18" i="88"/>
  <c r="C18" i="88"/>
  <c r="E18" i="88" s="1"/>
  <c r="M17" i="88"/>
  <c r="L17" i="88"/>
  <c r="J17" i="88"/>
  <c r="I17" i="88"/>
  <c r="G17" i="88"/>
  <c r="F17" i="88"/>
  <c r="D17" i="88"/>
  <c r="C17" i="88"/>
  <c r="M16" i="88"/>
  <c r="L16" i="88"/>
  <c r="J16" i="88"/>
  <c r="I16" i="88"/>
  <c r="K16" i="88" s="1"/>
  <c r="G16" i="88"/>
  <c r="H16" i="88" s="1"/>
  <c r="F16" i="88"/>
  <c r="D16" i="88"/>
  <c r="C16" i="88"/>
  <c r="M15" i="88"/>
  <c r="L15" i="88"/>
  <c r="J15" i="88"/>
  <c r="I15" i="88"/>
  <c r="G15" i="88"/>
  <c r="H15" i="88" s="1"/>
  <c r="F15" i="88"/>
  <c r="D15" i="88"/>
  <c r="C15" i="88"/>
  <c r="E15" i="88" s="1"/>
  <c r="M14" i="88"/>
  <c r="L14" i="88"/>
  <c r="J14" i="88"/>
  <c r="I14" i="88"/>
  <c r="G14" i="88"/>
  <c r="F14" i="88"/>
  <c r="D14" i="88"/>
  <c r="C14" i="88"/>
  <c r="M13" i="88"/>
  <c r="L13" i="88"/>
  <c r="J13" i="88"/>
  <c r="I13" i="88"/>
  <c r="G13" i="88"/>
  <c r="H13" i="88" s="1"/>
  <c r="F13" i="88"/>
  <c r="D13" i="88"/>
  <c r="C13" i="88"/>
  <c r="M12" i="88"/>
  <c r="L12" i="88"/>
  <c r="J12" i="88"/>
  <c r="I12" i="88"/>
  <c r="K12" i="88" s="1"/>
  <c r="G12" i="88"/>
  <c r="F12" i="88"/>
  <c r="D12" i="88"/>
  <c r="C12" i="88"/>
  <c r="M11" i="88"/>
  <c r="L11" i="88"/>
  <c r="J11" i="88"/>
  <c r="I11" i="88"/>
  <c r="G11" i="88"/>
  <c r="F11" i="88"/>
  <c r="D11" i="88"/>
  <c r="E11" i="88" s="1"/>
  <c r="C11" i="88"/>
  <c r="M10" i="88"/>
  <c r="L10" i="88"/>
  <c r="J10" i="88"/>
  <c r="K10" i="88" s="1"/>
  <c r="I10" i="88"/>
  <c r="G10" i="88"/>
  <c r="H10" i="88" s="1"/>
  <c r="F10" i="88"/>
  <c r="D10" i="88"/>
  <c r="C10" i="88"/>
  <c r="M9" i="88"/>
  <c r="L9" i="88"/>
  <c r="J9" i="88"/>
  <c r="I9" i="88"/>
  <c r="G9" i="88"/>
  <c r="H9" i="88" s="1"/>
  <c r="F9" i="88"/>
  <c r="D9" i="88"/>
  <c r="C9" i="88"/>
  <c r="M8" i="88"/>
  <c r="L8" i="88"/>
  <c r="J8" i="88"/>
  <c r="K8" i="88" s="1"/>
  <c r="I8" i="88"/>
  <c r="G8" i="88"/>
  <c r="F8" i="88"/>
  <c r="D8" i="88"/>
  <c r="C8" i="88"/>
  <c r="E8" i="88" s="1"/>
  <c r="M7" i="88"/>
  <c r="L7" i="88"/>
  <c r="J7" i="88"/>
  <c r="K7" i="88" s="1"/>
  <c r="I7" i="88"/>
  <c r="G7" i="88"/>
  <c r="F7" i="88"/>
  <c r="D7" i="88"/>
  <c r="C7" i="88"/>
  <c r="M6" i="88"/>
  <c r="L6" i="88"/>
  <c r="J6" i="88"/>
  <c r="I6" i="88"/>
  <c r="G6" i="88"/>
  <c r="F6" i="88"/>
  <c r="D6" i="88"/>
  <c r="C6" i="88"/>
  <c r="E6" i="88" s="1"/>
  <c r="C51" i="89"/>
  <c r="B51" i="89"/>
  <c r="C50" i="89"/>
  <c r="B50" i="89"/>
  <c r="C49" i="89"/>
  <c r="B49" i="89"/>
  <c r="C48" i="89"/>
  <c r="B48" i="89"/>
  <c r="C47" i="89"/>
  <c r="B47" i="89"/>
  <c r="C46" i="89"/>
  <c r="B46" i="89"/>
  <c r="C45" i="89"/>
  <c r="B45" i="89"/>
  <c r="C44" i="89"/>
  <c r="B44" i="89"/>
  <c r="C43" i="89"/>
  <c r="B43" i="89"/>
  <c r="C42" i="89"/>
  <c r="B42" i="89"/>
  <c r="C41" i="89"/>
  <c r="B41" i="89"/>
  <c r="C40" i="89"/>
  <c r="B40" i="89"/>
  <c r="C39" i="89"/>
  <c r="B39" i="89"/>
  <c r="C38" i="89"/>
  <c r="B38" i="89"/>
  <c r="C37" i="89"/>
  <c r="B37" i="89"/>
  <c r="C36" i="89"/>
  <c r="B36" i="89"/>
  <c r="C35" i="89"/>
  <c r="B35" i="89"/>
  <c r="C34" i="89"/>
  <c r="B34" i="89"/>
  <c r="C33" i="89"/>
  <c r="B33" i="89"/>
  <c r="C32" i="89"/>
  <c r="B32" i="89"/>
  <c r="C31" i="89"/>
  <c r="B31" i="89"/>
  <c r="C30" i="89"/>
  <c r="B30" i="89"/>
  <c r="C29" i="89"/>
  <c r="B29" i="89"/>
  <c r="C28" i="89"/>
  <c r="B28" i="89"/>
  <c r="C27" i="89"/>
  <c r="B27" i="89"/>
  <c r="C26" i="89"/>
  <c r="B26" i="89"/>
  <c r="C25" i="89"/>
  <c r="B25" i="89"/>
  <c r="C24" i="89"/>
  <c r="B24" i="89"/>
  <c r="C23" i="89"/>
  <c r="B23" i="89"/>
  <c r="C22" i="89"/>
  <c r="B22" i="89"/>
  <c r="C21" i="89"/>
  <c r="B21" i="89"/>
  <c r="C20" i="89"/>
  <c r="B20" i="89"/>
  <c r="C19" i="89"/>
  <c r="B19" i="89"/>
  <c r="C18" i="89"/>
  <c r="B18" i="89"/>
  <c r="C17" i="89"/>
  <c r="B17" i="89"/>
  <c r="C16" i="89"/>
  <c r="B16" i="89"/>
  <c r="C15" i="89"/>
  <c r="B15" i="89"/>
  <c r="C14" i="89"/>
  <c r="B14" i="89"/>
  <c r="C13" i="89"/>
  <c r="B13" i="89"/>
  <c r="F12" i="89"/>
  <c r="C12" i="89"/>
  <c r="B12" i="89"/>
  <c r="F11" i="89"/>
  <c r="F13" i="89" s="1"/>
  <c r="F14" i="89" s="1"/>
  <c r="C11" i="89"/>
  <c r="B11" i="89"/>
  <c r="F10" i="89"/>
  <c r="C10" i="89"/>
  <c r="B10" i="89"/>
  <c r="Q116" i="87"/>
  <c r="P116" i="87"/>
  <c r="O116" i="87"/>
  <c r="N116" i="87"/>
  <c r="M116" i="87"/>
  <c r="L116" i="87"/>
  <c r="K116" i="87"/>
  <c r="J116" i="87"/>
  <c r="I116" i="87"/>
  <c r="H116" i="87"/>
  <c r="G116" i="87"/>
  <c r="F116" i="87"/>
  <c r="E116" i="87"/>
  <c r="D116" i="87"/>
  <c r="C116" i="87"/>
  <c r="Q115" i="87"/>
  <c r="Q117" i="87" s="1"/>
  <c r="P115" i="87"/>
  <c r="O115" i="87"/>
  <c r="N115" i="87"/>
  <c r="M115" i="87"/>
  <c r="M117" i="87" s="1"/>
  <c r="L115" i="87"/>
  <c r="K115" i="87"/>
  <c r="K117" i="87" s="1"/>
  <c r="J115" i="87"/>
  <c r="J117" i="87" s="1"/>
  <c r="I115" i="87"/>
  <c r="H115" i="87"/>
  <c r="G115" i="87"/>
  <c r="G117" i="87" s="1"/>
  <c r="F115" i="87"/>
  <c r="E115" i="87"/>
  <c r="E117" i="87" s="1"/>
  <c r="D115" i="87"/>
  <c r="C115" i="87"/>
  <c r="C117" i="87" s="1"/>
  <c r="R114" i="87"/>
  <c r="Q114" i="87"/>
  <c r="P114" i="87"/>
  <c r="O114" i="87"/>
  <c r="N114" i="87"/>
  <c r="M114" i="87"/>
  <c r="L114" i="87"/>
  <c r="K114" i="87"/>
  <c r="J114" i="87"/>
  <c r="I114" i="87"/>
  <c r="H114" i="87"/>
  <c r="G114" i="87"/>
  <c r="F114" i="87"/>
  <c r="E114" i="87"/>
  <c r="D114" i="87"/>
  <c r="C114" i="87"/>
  <c r="R113" i="87"/>
  <c r="Q113" i="87"/>
  <c r="P113" i="87"/>
  <c r="O113" i="87"/>
  <c r="N113" i="87"/>
  <c r="M113" i="87"/>
  <c r="L113" i="87"/>
  <c r="K113" i="87"/>
  <c r="J113" i="87"/>
  <c r="I113" i="87"/>
  <c r="H113" i="87"/>
  <c r="G113" i="87"/>
  <c r="F113" i="87"/>
  <c r="E113" i="87"/>
  <c r="D113" i="87"/>
  <c r="C113" i="87"/>
  <c r="Q112" i="87"/>
  <c r="P112" i="87"/>
  <c r="O112" i="87"/>
  <c r="N112" i="87"/>
  <c r="M112" i="87"/>
  <c r="L112" i="87"/>
  <c r="K112" i="87"/>
  <c r="J112" i="87"/>
  <c r="I112" i="87"/>
  <c r="H112" i="87"/>
  <c r="G112" i="87"/>
  <c r="F112" i="87"/>
  <c r="E112" i="87"/>
  <c r="D112" i="87"/>
  <c r="C112" i="87"/>
  <c r="R111" i="87"/>
  <c r="Q111" i="87"/>
  <c r="P111" i="87"/>
  <c r="O111" i="87"/>
  <c r="N111" i="87"/>
  <c r="M111" i="87"/>
  <c r="L111" i="87"/>
  <c r="K111" i="87"/>
  <c r="J111" i="87"/>
  <c r="I111" i="87"/>
  <c r="H111" i="87"/>
  <c r="G111" i="87"/>
  <c r="F111" i="87"/>
  <c r="E111" i="87"/>
  <c r="D111" i="87"/>
  <c r="C111" i="87"/>
  <c r="R110" i="87"/>
  <c r="Q110" i="87"/>
  <c r="P110" i="87"/>
  <c r="O110" i="87"/>
  <c r="N110" i="87"/>
  <c r="M110" i="87"/>
  <c r="L110" i="87"/>
  <c r="K110" i="87"/>
  <c r="J110" i="87"/>
  <c r="I110" i="87"/>
  <c r="H110" i="87"/>
  <c r="G110" i="87"/>
  <c r="F110" i="87"/>
  <c r="E110" i="87"/>
  <c r="D110" i="87"/>
  <c r="C110" i="87"/>
  <c r="R109" i="87"/>
  <c r="Q109" i="87"/>
  <c r="P109" i="87"/>
  <c r="O109" i="87"/>
  <c r="N109" i="87"/>
  <c r="M109" i="87"/>
  <c r="L109" i="87"/>
  <c r="K109" i="87"/>
  <c r="J109" i="87"/>
  <c r="I109" i="87"/>
  <c r="H109" i="87"/>
  <c r="G109" i="87"/>
  <c r="F109" i="87"/>
  <c r="E109" i="87"/>
  <c r="D109" i="87"/>
  <c r="C109" i="87"/>
  <c r="R108" i="87"/>
  <c r="Q108" i="87"/>
  <c r="P108" i="87"/>
  <c r="O108" i="87"/>
  <c r="N108" i="87"/>
  <c r="M108" i="87"/>
  <c r="L108" i="87"/>
  <c r="K108" i="87"/>
  <c r="J108" i="87"/>
  <c r="I108" i="87"/>
  <c r="H108" i="87"/>
  <c r="G108" i="87"/>
  <c r="F108" i="87"/>
  <c r="E108" i="87"/>
  <c r="D108" i="87"/>
  <c r="C108" i="87"/>
  <c r="R107" i="87"/>
  <c r="Q107" i="87"/>
  <c r="P107" i="87"/>
  <c r="O107" i="87"/>
  <c r="N107" i="87"/>
  <c r="M107" i="87"/>
  <c r="L107" i="87"/>
  <c r="K107" i="87"/>
  <c r="J107" i="87"/>
  <c r="I107" i="87"/>
  <c r="H107" i="87"/>
  <c r="G107" i="87"/>
  <c r="F107" i="87"/>
  <c r="E107" i="87"/>
  <c r="D107" i="87"/>
  <c r="C107" i="87"/>
  <c r="R106" i="87"/>
  <c r="Q106" i="87"/>
  <c r="P106" i="87"/>
  <c r="O106" i="87"/>
  <c r="N106" i="87"/>
  <c r="M106" i="87"/>
  <c r="L106" i="87"/>
  <c r="K106" i="87"/>
  <c r="J106" i="87"/>
  <c r="I106" i="87"/>
  <c r="H106" i="87"/>
  <c r="G106" i="87"/>
  <c r="F106" i="87"/>
  <c r="E106" i="87"/>
  <c r="D106" i="87"/>
  <c r="C106" i="87"/>
  <c r="R105" i="87"/>
  <c r="Q105" i="87"/>
  <c r="P105" i="87"/>
  <c r="O105" i="87"/>
  <c r="N105" i="87"/>
  <c r="M105" i="87"/>
  <c r="L105" i="87"/>
  <c r="K105" i="87"/>
  <c r="J105" i="87"/>
  <c r="I105" i="87"/>
  <c r="H105" i="87"/>
  <c r="G105" i="87"/>
  <c r="F105" i="87"/>
  <c r="E105" i="87"/>
  <c r="D105" i="87"/>
  <c r="C105" i="87"/>
  <c r="R104" i="87"/>
  <c r="Q104" i="87"/>
  <c r="P104" i="87"/>
  <c r="O104" i="87"/>
  <c r="N104" i="87"/>
  <c r="M104" i="87"/>
  <c r="L104" i="87"/>
  <c r="K104" i="87"/>
  <c r="J104" i="87"/>
  <c r="I104" i="87"/>
  <c r="H104" i="87"/>
  <c r="G104" i="87"/>
  <c r="F104" i="87"/>
  <c r="E104" i="87"/>
  <c r="D104" i="87"/>
  <c r="C104" i="87"/>
  <c r="R103" i="87"/>
  <c r="Q103" i="87"/>
  <c r="P103" i="87"/>
  <c r="O103" i="87"/>
  <c r="N103" i="87"/>
  <c r="M103" i="87"/>
  <c r="L103" i="87"/>
  <c r="K103" i="87"/>
  <c r="J103" i="87"/>
  <c r="I103" i="87"/>
  <c r="H103" i="87"/>
  <c r="G103" i="87"/>
  <c r="F103" i="87"/>
  <c r="E103" i="87"/>
  <c r="D103" i="87"/>
  <c r="C103" i="87"/>
  <c r="R102" i="87"/>
  <c r="Q102" i="87"/>
  <c r="P102" i="87"/>
  <c r="O102" i="87"/>
  <c r="N102" i="87"/>
  <c r="M102" i="87"/>
  <c r="L102" i="87"/>
  <c r="K102" i="87"/>
  <c r="J102" i="87"/>
  <c r="I102" i="87"/>
  <c r="H102" i="87"/>
  <c r="G102" i="87"/>
  <c r="F102" i="87"/>
  <c r="E102" i="87"/>
  <c r="D102" i="87"/>
  <c r="C102" i="87"/>
  <c r="R101" i="87"/>
  <c r="Q101" i="87"/>
  <c r="P101" i="87"/>
  <c r="O101" i="87"/>
  <c r="N101" i="87"/>
  <c r="M101" i="87"/>
  <c r="L101" i="87"/>
  <c r="K101" i="87"/>
  <c r="J101" i="87"/>
  <c r="I101" i="87"/>
  <c r="H101" i="87"/>
  <c r="G101" i="87"/>
  <c r="F101" i="87"/>
  <c r="E101" i="87"/>
  <c r="D101" i="87"/>
  <c r="C101" i="87"/>
  <c r="R100" i="87"/>
  <c r="Q100" i="87"/>
  <c r="P100" i="87"/>
  <c r="O100" i="87"/>
  <c r="N100" i="87"/>
  <c r="M100" i="87"/>
  <c r="L100" i="87"/>
  <c r="K100" i="87"/>
  <c r="J100" i="87"/>
  <c r="I100" i="87"/>
  <c r="H100" i="87"/>
  <c r="G100" i="87"/>
  <c r="F100" i="87"/>
  <c r="E100" i="87"/>
  <c r="D100" i="87"/>
  <c r="C100" i="87"/>
  <c r="R99" i="87"/>
  <c r="Q99" i="87"/>
  <c r="P99" i="87"/>
  <c r="O99" i="87"/>
  <c r="N99" i="87"/>
  <c r="M99" i="87"/>
  <c r="L99" i="87"/>
  <c r="K99" i="87"/>
  <c r="J99" i="87"/>
  <c r="I99" i="87"/>
  <c r="H99" i="87"/>
  <c r="G99" i="87"/>
  <c r="F99" i="87"/>
  <c r="E99" i="87"/>
  <c r="D99" i="87"/>
  <c r="C99" i="87"/>
  <c r="R98" i="87"/>
  <c r="Q98" i="87"/>
  <c r="P98" i="87"/>
  <c r="O98" i="87"/>
  <c r="N98" i="87"/>
  <c r="M98" i="87"/>
  <c r="L98" i="87"/>
  <c r="K98" i="87"/>
  <c r="J98" i="87"/>
  <c r="I98" i="87"/>
  <c r="H98" i="87"/>
  <c r="G98" i="87"/>
  <c r="F98" i="87"/>
  <c r="E98" i="87"/>
  <c r="D98" i="87"/>
  <c r="C98" i="87"/>
  <c r="R97" i="87"/>
  <c r="Q97" i="87"/>
  <c r="P97" i="87"/>
  <c r="O97" i="87"/>
  <c r="N97" i="87"/>
  <c r="M97" i="87"/>
  <c r="L97" i="87"/>
  <c r="K97" i="87"/>
  <c r="J97" i="87"/>
  <c r="I97" i="87"/>
  <c r="H97" i="87"/>
  <c r="G97" i="87"/>
  <c r="F97" i="87"/>
  <c r="E97" i="87"/>
  <c r="D97" i="87"/>
  <c r="C97" i="87"/>
  <c r="R96" i="87"/>
  <c r="Q96" i="87"/>
  <c r="P96" i="87"/>
  <c r="O96" i="87"/>
  <c r="N96" i="87"/>
  <c r="M96" i="87"/>
  <c r="L96" i="87"/>
  <c r="K96" i="87"/>
  <c r="J96" i="87"/>
  <c r="I96" i="87"/>
  <c r="H96" i="87"/>
  <c r="G96" i="87"/>
  <c r="F96" i="87"/>
  <c r="E96" i="87"/>
  <c r="D96" i="87"/>
  <c r="C96" i="87"/>
  <c r="R95" i="87"/>
  <c r="Q95" i="87"/>
  <c r="P95" i="87"/>
  <c r="O95" i="87"/>
  <c r="N95" i="87"/>
  <c r="M95" i="87"/>
  <c r="L95" i="87"/>
  <c r="K95" i="87"/>
  <c r="J95" i="87"/>
  <c r="I95" i="87"/>
  <c r="H95" i="87"/>
  <c r="G95" i="87"/>
  <c r="F95" i="87"/>
  <c r="E95" i="87"/>
  <c r="D95" i="87"/>
  <c r="C95" i="87"/>
  <c r="R94" i="87"/>
  <c r="Q94" i="87"/>
  <c r="P94" i="87"/>
  <c r="O94" i="87"/>
  <c r="N94" i="87"/>
  <c r="M94" i="87"/>
  <c r="L94" i="87"/>
  <c r="K94" i="87"/>
  <c r="J94" i="87"/>
  <c r="I94" i="87"/>
  <c r="H94" i="87"/>
  <c r="G94" i="87"/>
  <c r="F94" i="87"/>
  <c r="E94" i="87"/>
  <c r="D94" i="87"/>
  <c r="C94" i="87"/>
  <c r="R93" i="87"/>
  <c r="Q93" i="87"/>
  <c r="P93" i="87"/>
  <c r="O93" i="87"/>
  <c r="N93" i="87"/>
  <c r="M93" i="87"/>
  <c r="L93" i="87"/>
  <c r="K93" i="87"/>
  <c r="J93" i="87"/>
  <c r="I93" i="87"/>
  <c r="H93" i="87"/>
  <c r="G93" i="87"/>
  <c r="F93" i="87"/>
  <c r="E93" i="87"/>
  <c r="D93" i="87"/>
  <c r="C93" i="87"/>
  <c r="R92" i="87"/>
  <c r="Q92" i="87"/>
  <c r="P92" i="87"/>
  <c r="O92" i="87"/>
  <c r="N92" i="87"/>
  <c r="M92" i="87"/>
  <c r="L92" i="87"/>
  <c r="K92" i="87"/>
  <c r="J92" i="87"/>
  <c r="I92" i="87"/>
  <c r="H92" i="87"/>
  <c r="G92" i="87"/>
  <c r="F92" i="87"/>
  <c r="E92" i="87"/>
  <c r="D92" i="87"/>
  <c r="C92" i="87"/>
  <c r="R91" i="87"/>
  <c r="Q91" i="87"/>
  <c r="P91" i="87"/>
  <c r="O91" i="87"/>
  <c r="N91" i="87"/>
  <c r="M91" i="87"/>
  <c r="L91" i="87"/>
  <c r="K91" i="87"/>
  <c r="J91" i="87"/>
  <c r="I91" i="87"/>
  <c r="H91" i="87"/>
  <c r="G91" i="87"/>
  <c r="F91" i="87"/>
  <c r="E91" i="87"/>
  <c r="D91" i="87"/>
  <c r="C91" i="87"/>
  <c r="R90" i="87"/>
  <c r="Q90" i="87"/>
  <c r="P90" i="87"/>
  <c r="O90" i="87"/>
  <c r="N90" i="87"/>
  <c r="M90" i="87"/>
  <c r="L90" i="87"/>
  <c r="K90" i="87"/>
  <c r="J90" i="87"/>
  <c r="I90" i="87"/>
  <c r="H90" i="87"/>
  <c r="G90" i="87"/>
  <c r="F90" i="87"/>
  <c r="E90" i="87"/>
  <c r="D90" i="87"/>
  <c r="C90" i="87"/>
  <c r="R89" i="87"/>
  <c r="Q89" i="87"/>
  <c r="P89" i="87"/>
  <c r="O89" i="87"/>
  <c r="N89" i="87"/>
  <c r="M89" i="87"/>
  <c r="L89" i="87"/>
  <c r="K89" i="87"/>
  <c r="J89" i="87"/>
  <c r="I89" i="87"/>
  <c r="H89" i="87"/>
  <c r="G89" i="87"/>
  <c r="F89" i="87"/>
  <c r="E89" i="87"/>
  <c r="D89" i="87"/>
  <c r="C89" i="87"/>
  <c r="R88" i="87"/>
  <c r="Q88" i="87"/>
  <c r="P88" i="87"/>
  <c r="O88" i="87"/>
  <c r="N88" i="87"/>
  <c r="M88" i="87"/>
  <c r="L88" i="87"/>
  <c r="K88" i="87"/>
  <c r="J88" i="87"/>
  <c r="I88" i="87"/>
  <c r="H88" i="87"/>
  <c r="G88" i="87"/>
  <c r="F88" i="87"/>
  <c r="E88" i="87"/>
  <c r="D88" i="87"/>
  <c r="C88" i="87"/>
  <c r="R87" i="87"/>
  <c r="Q87" i="87"/>
  <c r="P87" i="87"/>
  <c r="O87" i="87"/>
  <c r="N87" i="87"/>
  <c r="M87" i="87"/>
  <c r="L87" i="87"/>
  <c r="K87" i="87"/>
  <c r="J87" i="87"/>
  <c r="I87" i="87"/>
  <c r="H87" i="87"/>
  <c r="G87" i="87"/>
  <c r="F87" i="87"/>
  <c r="E87" i="87"/>
  <c r="D87" i="87"/>
  <c r="C87" i="87"/>
  <c r="R86" i="87"/>
  <c r="Q86" i="87"/>
  <c r="P86" i="87"/>
  <c r="O86" i="87"/>
  <c r="N86" i="87"/>
  <c r="M86" i="87"/>
  <c r="L86" i="87"/>
  <c r="K86" i="87"/>
  <c r="J86" i="87"/>
  <c r="I86" i="87"/>
  <c r="H86" i="87"/>
  <c r="G86" i="87"/>
  <c r="F86" i="87"/>
  <c r="E86" i="87"/>
  <c r="D86" i="87"/>
  <c r="C86" i="87"/>
  <c r="R85" i="87"/>
  <c r="Q85" i="87"/>
  <c r="P85" i="87"/>
  <c r="O85" i="87"/>
  <c r="N85" i="87"/>
  <c r="M85" i="87"/>
  <c r="L85" i="87"/>
  <c r="K85" i="87"/>
  <c r="J85" i="87"/>
  <c r="I85" i="87"/>
  <c r="H85" i="87"/>
  <c r="G85" i="87"/>
  <c r="F85" i="87"/>
  <c r="E85" i="87"/>
  <c r="D85" i="87"/>
  <c r="C85" i="87"/>
  <c r="R84" i="87"/>
  <c r="Q84" i="87"/>
  <c r="P84" i="87"/>
  <c r="O84" i="87"/>
  <c r="N84" i="87"/>
  <c r="M84" i="87"/>
  <c r="L84" i="87"/>
  <c r="K84" i="87"/>
  <c r="J84" i="87"/>
  <c r="I84" i="87"/>
  <c r="H84" i="87"/>
  <c r="G84" i="87"/>
  <c r="F84" i="87"/>
  <c r="E84" i="87"/>
  <c r="D84" i="87"/>
  <c r="C84" i="87"/>
  <c r="R83" i="87"/>
  <c r="Q83" i="87"/>
  <c r="P83" i="87"/>
  <c r="O83" i="87"/>
  <c r="N83" i="87"/>
  <c r="M83" i="87"/>
  <c r="L83" i="87"/>
  <c r="K83" i="87"/>
  <c r="J83" i="87"/>
  <c r="I83" i="87"/>
  <c r="H83" i="87"/>
  <c r="G83" i="87"/>
  <c r="F83" i="87"/>
  <c r="E83" i="87"/>
  <c r="D83" i="87"/>
  <c r="C83" i="87"/>
  <c r="R82" i="87"/>
  <c r="Q82" i="87"/>
  <c r="P82" i="87"/>
  <c r="O82" i="87"/>
  <c r="N82" i="87"/>
  <c r="M82" i="87"/>
  <c r="L82" i="87"/>
  <c r="K82" i="87"/>
  <c r="J82" i="87"/>
  <c r="I82" i="87"/>
  <c r="H82" i="87"/>
  <c r="G82" i="87"/>
  <c r="F82" i="87"/>
  <c r="E82" i="87"/>
  <c r="D82" i="87"/>
  <c r="C82" i="87"/>
  <c r="R81" i="87"/>
  <c r="Q81" i="87"/>
  <c r="P81" i="87"/>
  <c r="O81" i="87"/>
  <c r="N81" i="87"/>
  <c r="M81" i="87"/>
  <c r="L81" i="87"/>
  <c r="K81" i="87"/>
  <c r="J81" i="87"/>
  <c r="I81" i="87"/>
  <c r="H81" i="87"/>
  <c r="G81" i="87"/>
  <c r="F81" i="87"/>
  <c r="E81" i="87"/>
  <c r="D81" i="87"/>
  <c r="C81" i="87"/>
  <c r="R80" i="87"/>
  <c r="Q80" i="87"/>
  <c r="P80" i="87"/>
  <c r="O80" i="87"/>
  <c r="N80" i="87"/>
  <c r="M80" i="87"/>
  <c r="L80" i="87"/>
  <c r="K80" i="87"/>
  <c r="J80" i="87"/>
  <c r="I80" i="87"/>
  <c r="H80" i="87"/>
  <c r="G80" i="87"/>
  <c r="F80" i="87"/>
  <c r="E80" i="87"/>
  <c r="D80" i="87"/>
  <c r="C80" i="87"/>
  <c r="R79" i="87"/>
  <c r="Q79" i="87"/>
  <c r="P79" i="87"/>
  <c r="O79" i="87"/>
  <c r="N79" i="87"/>
  <c r="M79" i="87"/>
  <c r="L79" i="87"/>
  <c r="K79" i="87"/>
  <c r="J79" i="87"/>
  <c r="I79" i="87"/>
  <c r="H79" i="87"/>
  <c r="G79" i="87"/>
  <c r="F79" i="87"/>
  <c r="E79" i="87"/>
  <c r="D79" i="87"/>
  <c r="C79" i="87"/>
  <c r="R78" i="87"/>
  <c r="Q78" i="87"/>
  <c r="P78" i="87"/>
  <c r="O78" i="87"/>
  <c r="N78" i="87"/>
  <c r="M78" i="87"/>
  <c r="L78" i="87"/>
  <c r="K78" i="87"/>
  <c r="J78" i="87"/>
  <c r="I78" i="87"/>
  <c r="H78" i="87"/>
  <c r="G78" i="87"/>
  <c r="F78" i="87"/>
  <c r="E78" i="87"/>
  <c r="D78" i="87"/>
  <c r="C78" i="87"/>
  <c r="R77" i="87"/>
  <c r="Q77" i="87"/>
  <c r="P77" i="87"/>
  <c r="O77" i="87"/>
  <c r="N77" i="87"/>
  <c r="M77" i="87"/>
  <c r="L77" i="87"/>
  <c r="K77" i="87"/>
  <c r="J77" i="87"/>
  <c r="I77" i="87"/>
  <c r="H77" i="87"/>
  <c r="G77" i="87"/>
  <c r="F77" i="87"/>
  <c r="E77" i="87"/>
  <c r="D77" i="87"/>
  <c r="C77" i="87"/>
  <c r="R76" i="87"/>
  <c r="Q76" i="87"/>
  <c r="P76" i="87"/>
  <c r="O76" i="87"/>
  <c r="N76" i="87"/>
  <c r="M76" i="87"/>
  <c r="L76" i="87"/>
  <c r="K76" i="87"/>
  <c r="J76" i="87"/>
  <c r="I76" i="87"/>
  <c r="H76" i="87"/>
  <c r="G76" i="87"/>
  <c r="F76" i="87"/>
  <c r="E76" i="87"/>
  <c r="D76" i="87"/>
  <c r="C76" i="87"/>
  <c r="R75" i="87"/>
  <c r="Q75" i="87"/>
  <c r="P75" i="87"/>
  <c r="O75" i="87"/>
  <c r="N75" i="87"/>
  <c r="M75" i="87"/>
  <c r="L75" i="87"/>
  <c r="K75" i="87"/>
  <c r="J75" i="87"/>
  <c r="I75" i="87"/>
  <c r="H75" i="87"/>
  <c r="G75" i="87"/>
  <c r="F75" i="87"/>
  <c r="E75" i="87"/>
  <c r="D75" i="87"/>
  <c r="C75" i="87"/>
  <c r="R74" i="87"/>
  <c r="Q74" i="87"/>
  <c r="P74" i="87"/>
  <c r="O74" i="87"/>
  <c r="N74" i="87"/>
  <c r="M74" i="87"/>
  <c r="L74" i="87"/>
  <c r="K74" i="87"/>
  <c r="J74" i="87"/>
  <c r="I74" i="87"/>
  <c r="H74" i="87"/>
  <c r="G74" i="87"/>
  <c r="F74" i="87"/>
  <c r="E74" i="87"/>
  <c r="D74" i="87"/>
  <c r="C74" i="87"/>
  <c r="R73" i="87"/>
  <c r="Q73" i="87"/>
  <c r="P73" i="87"/>
  <c r="O73" i="87"/>
  <c r="N73" i="87"/>
  <c r="M73" i="87"/>
  <c r="L73" i="87"/>
  <c r="K73" i="87"/>
  <c r="J73" i="87"/>
  <c r="I73" i="87"/>
  <c r="H73" i="87"/>
  <c r="G73" i="87"/>
  <c r="F73" i="87"/>
  <c r="E73" i="87"/>
  <c r="D73" i="87"/>
  <c r="C73" i="87"/>
  <c r="R68" i="87"/>
  <c r="Q68" i="87"/>
  <c r="P68" i="87"/>
  <c r="O68" i="87"/>
  <c r="N68" i="87"/>
  <c r="M68" i="87"/>
  <c r="L68" i="87"/>
  <c r="K68" i="87"/>
  <c r="J68" i="87"/>
  <c r="I68" i="87"/>
  <c r="H68" i="87"/>
  <c r="G68" i="87"/>
  <c r="F68" i="87"/>
  <c r="E68" i="87"/>
  <c r="D68" i="87"/>
  <c r="C68" i="87"/>
  <c r="R67" i="87"/>
  <c r="Q67" i="87"/>
  <c r="P67" i="87"/>
  <c r="O67" i="87"/>
  <c r="N67" i="87"/>
  <c r="M67" i="87"/>
  <c r="L67" i="87"/>
  <c r="K67" i="87"/>
  <c r="J67" i="87"/>
  <c r="I67" i="87"/>
  <c r="H67" i="87"/>
  <c r="G67" i="87"/>
  <c r="F67" i="87"/>
  <c r="E67" i="87"/>
  <c r="D67" i="87"/>
  <c r="C67" i="87"/>
  <c r="R66" i="87"/>
  <c r="Q66" i="87"/>
  <c r="P66" i="87"/>
  <c r="O66" i="87"/>
  <c r="N66" i="87"/>
  <c r="M66" i="87"/>
  <c r="L66" i="87"/>
  <c r="K66" i="87"/>
  <c r="J66" i="87"/>
  <c r="I66" i="87"/>
  <c r="H66" i="87"/>
  <c r="G66" i="87"/>
  <c r="F66" i="87"/>
  <c r="E66" i="87"/>
  <c r="D66" i="87"/>
  <c r="C66" i="87"/>
  <c r="R65" i="87"/>
  <c r="Q65" i="87"/>
  <c r="P65" i="87"/>
  <c r="O65" i="87"/>
  <c r="N65" i="87"/>
  <c r="M65" i="87"/>
  <c r="L65" i="87"/>
  <c r="K65" i="87"/>
  <c r="J65" i="87"/>
  <c r="I65" i="87"/>
  <c r="H65" i="87"/>
  <c r="G65" i="87"/>
  <c r="F65" i="87"/>
  <c r="E65" i="87"/>
  <c r="D65" i="87"/>
  <c r="C65" i="87"/>
  <c r="R64" i="87"/>
  <c r="Q64" i="87"/>
  <c r="P64" i="87"/>
  <c r="O64" i="87"/>
  <c r="N64" i="87"/>
  <c r="M64" i="87"/>
  <c r="L64" i="87"/>
  <c r="K64" i="87"/>
  <c r="J64" i="87"/>
  <c r="I64" i="87"/>
  <c r="H64" i="87"/>
  <c r="G64" i="87"/>
  <c r="F64" i="87"/>
  <c r="E64" i="87"/>
  <c r="D64" i="87"/>
  <c r="C64" i="87"/>
  <c r="R63" i="87"/>
  <c r="Q63" i="87"/>
  <c r="P63" i="87"/>
  <c r="O63" i="87"/>
  <c r="N63" i="87"/>
  <c r="M63" i="87"/>
  <c r="L63" i="87"/>
  <c r="K63" i="87"/>
  <c r="J63" i="87"/>
  <c r="I63" i="87"/>
  <c r="H63" i="87"/>
  <c r="G63" i="87"/>
  <c r="F63" i="87"/>
  <c r="E63" i="87"/>
  <c r="D63" i="87"/>
  <c r="C63" i="87"/>
  <c r="R62" i="87"/>
  <c r="Q62" i="87"/>
  <c r="P62" i="87"/>
  <c r="O62" i="87"/>
  <c r="N62" i="87"/>
  <c r="M62" i="87"/>
  <c r="L62" i="87"/>
  <c r="K62" i="87"/>
  <c r="J62" i="87"/>
  <c r="I62" i="87"/>
  <c r="H62" i="87"/>
  <c r="G62" i="87"/>
  <c r="F62" i="87"/>
  <c r="E62" i="87"/>
  <c r="D62" i="87"/>
  <c r="C62" i="87"/>
  <c r="R61" i="87"/>
  <c r="Q61" i="87"/>
  <c r="P61" i="87"/>
  <c r="O61" i="87"/>
  <c r="N61" i="87"/>
  <c r="M61" i="87"/>
  <c r="L61" i="87"/>
  <c r="K61" i="87"/>
  <c r="J61" i="87"/>
  <c r="I61" i="87"/>
  <c r="H61" i="87"/>
  <c r="G61" i="87"/>
  <c r="F61" i="87"/>
  <c r="E61" i="87"/>
  <c r="D61" i="87"/>
  <c r="C61" i="87"/>
  <c r="R60" i="87"/>
  <c r="Q60" i="87"/>
  <c r="P60" i="87"/>
  <c r="O60" i="87"/>
  <c r="N60" i="87"/>
  <c r="M60" i="87"/>
  <c r="L60" i="87"/>
  <c r="K60" i="87"/>
  <c r="J60" i="87"/>
  <c r="I60" i="87"/>
  <c r="H60" i="87"/>
  <c r="G60" i="87"/>
  <c r="F60" i="87"/>
  <c r="E60" i="87"/>
  <c r="D60" i="87"/>
  <c r="C60" i="87"/>
  <c r="R59" i="87"/>
  <c r="Q59" i="87"/>
  <c r="P59" i="87"/>
  <c r="O59" i="87"/>
  <c r="N59" i="87"/>
  <c r="M59" i="87"/>
  <c r="L59" i="87"/>
  <c r="K59" i="87"/>
  <c r="J59" i="87"/>
  <c r="I59" i="87"/>
  <c r="H59" i="87"/>
  <c r="G59" i="87"/>
  <c r="F59" i="87"/>
  <c r="E59" i="87"/>
  <c r="D59" i="87"/>
  <c r="C59" i="87"/>
  <c r="R58" i="87"/>
  <c r="Q58" i="87"/>
  <c r="P58" i="87"/>
  <c r="O58" i="87"/>
  <c r="N58" i="87"/>
  <c r="M58" i="87"/>
  <c r="L58" i="87"/>
  <c r="K58" i="87"/>
  <c r="J58" i="87"/>
  <c r="I58" i="87"/>
  <c r="H58" i="87"/>
  <c r="G58" i="87"/>
  <c r="F58" i="87"/>
  <c r="E58" i="87"/>
  <c r="D58" i="87"/>
  <c r="C58" i="87"/>
  <c r="R57" i="87"/>
  <c r="Q57" i="87"/>
  <c r="P57" i="87"/>
  <c r="O57" i="87"/>
  <c r="N57" i="87"/>
  <c r="M57" i="87"/>
  <c r="L57" i="87"/>
  <c r="K57" i="87"/>
  <c r="J57" i="87"/>
  <c r="I57" i="87"/>
  <c r="H57" i="87"/>
  <c r="G57" i="87"/>
  <c r="F57" i="87"/>
  <c r="E57" i="87"/>
  <c r="D57" i="87"/>
  <c r="C57" i="87"/>
  <c r="R56" i="87"/>
  <c r="Q56" i="87"/>
  <c r="P56" i="87"/>
  <c r="O56" i="87"/>
  <c r="N56" i="87"/>
  <c r="M56" i="87"/>
  <c r="L56" i="87"/>
  <c r="K56" i="87"/>
  <c r="J56" i="87"/>
  <c r="I56" i="87"/>
  <c r="H56" i="87"/>
  <c r="G56" i="87"/>
  <c r="F56" i="87"/>
  <c r="E56" i="87"/>
  <c r="D56" i="87"/>
  <c r="C56" i="87"/>
  <c r="R55" i="87"/>
  <c r="Q55" i="87"/>
  <c r="P55" i="87"/>
  <c r="O55" i="87"/>
  <c r="N55" i="87"/>
  <c r="M55" i="87"/>
  <c r="L55" i="87"/>
  <c r="K55" i="87"/>
  <c r="J55" i="87"/>
  <c r="I55" i="87"/>
  <c r="H55" i="87"/>
  <c r="G55" i="87"/>
  <c r="F55" i="87"/>
  <c r="E55" i="87"/>
  <c r="D55" i="87"/>
  <c r="C55" i="87"/>
  <c r="R54" i="87"/>
  <c r="Q54" i="87"/>
  <c r="P54" i="87"/>
  <c r="O54" i="87"/>
  <c r="N54" i="87"/>
  <c r="M54" i="87"/>
  <c r="L54" i="87"/>
  <c r="K54" i="87"/>
  <c r="J54" i="87"/>
  <c r="I54" i="87"/>
  <c r="H54" i="87"/>
  <c r="G54" i="87"/>
  <c r="F54" i="87"/>
  <c r="E54" i="87"/>
  <c r="D54" i="87"/>
  <c r="C54" i="87"/>
  <c r="R53" i="87"/>
  <c r="Q53" i="87"/>
  <c r="P53" i="87"/>
  <c r="O53" i="87"/>
  <c r="N53" i="87"/>
  <c r="M53" i="87"/>
  <c r="L53" i="87"/>
  <c r="K53" i="87"/>
  <c r="J53" i="87"/>
  <c r="I53" i="87"/>
  <c r="H53" i="87"/>
  <c r="G53" i="87"/>
  <c r="F53" i="87"/>
  <c r="E53" i="87"/>
  <c r="D53" i="87"/>
  <c r="C53" i="87"/>
  <c r="R52" i="87"/>
  <c r="Q52" i="87"/>
  <c r="P52" i="87"/>
  <c r="O52" i="87"/>
  <c r="N52" i="87"/>
  <c r="M52" i="87"/>
  <c r="L52" i="87"/>
  <c r="K52" i="87"/>
  <c r="J52" i="87"/>
  <c r="I52" i="87"/>
  <c r="H52" i="87"/>
  <c r="G52" i="87"/>
  <c r="F52" i="87"/>
  <c r="E52" i="87"/>
  <c r="D52" i="87"/>
  <c r="C52" i="87"/>
  <c r="R51" i="87"/>
  <c r="Q51" i="87"/>
  <c r="P51" i="87"/>
  <c r="O51" i="87"/>
  <c r="N51" i="87"/>
  <c r="M51" i="87"/>
  <c r="L51" i="87"/>
  <c r="K51" i="87"/>
  <c r="J51" i="87"/>
  <c r="I51" i="87"/>
  <c r="H51" i="87"/>
  <c r="G51" i="87"/>
  <c r="F51" i="87"/>
  <c r="E51" i="87"/>
  <c r="D51" i="87"/>
  <c r="C51" i="87"/>
  <c r="R50" i="87"/>
  <c r="Q50" i="87"/>
  <c r="P50" i="87"/>
  <c r="O50" i="87"/>
  <c r="N50" i="87"/>
  <c r="M50" i="87"/>
  <c r="L50" i="87"/>
  <c r="K50" i="87"/>
  <c r="J50" i="87"/>
  <c r="I50" i="87"/>
  <c r="H50" i="87"/>
  <c r="G50" i="87"/>
  <c r="F50" i="87"/>
  <c r="E50" i="87"/>
  <c r="D50" i="87"/>
  <c r="C50" i="87"/>
  <c r="R49" i="87"/>
  <c r="Q49" i="87"/>
  <c r="P49" i="87"/>
  <c r="O49" i="87"/>
  <c r="N49" i="87"/>
  <c r="M49" i="87"/>
  <c r="L49" i="87"/>
  <c r="K49" i="87"/>
  <c r="J49" i="87"/>
  <c r="I49" i="87"/>
  <c r="H49" i="87"/>
  <c r="G49" i="87"/>
  <c r="F49" i="87"/>
  <c r="E49" i="87"/>
  <c r="D49" i="87"/>
  <c r="C49" i="87"/>
  <c r="R48" i="87"/>
  <c r="Q48" i="87"/>
  <c r="P48" i="87"/>
  <c r="O48" i="87"/>
  <c r="N48" i="87"/>
  <c r="M48" i="87"/>
  <c r="L48" i="87"/>
  <c r="K48" i="87"/>
  <c r="J48" i="87"/>
  <c r="I48" i="87"/>
  <c r="H48" i="87"/>
  <c r="G48" i="87"/>
  <c r="F48" i="87"/>
  <c r="E48" i="87"/>
  <c r="D48" i="87"/>
  <c r="C48" i="87"/>
  <c r="R47" i="87"/>
  <c r="Q47" i="87"/>
  <c r="P47" i="87"/>
  <c r="O47" i="87"/>
  <c r="N47" i="87"/>
  <c r="M47" i="87"/>
  <c r="L47" i="87"/>
  <c r="K47" i="87"/>
  <c r="J47" i="87"/>
  <c r="I47" i="87"/>
  <c r="H47" i="87"/>
  <c r="G47" i="87"/>
  <c r="F47" i="87"/>
  <c r="E47" i="87"/>
  <c r="D47" i="87"/>
  <c r="C47" i="87"/>
  <c r="R46" i="87"/>
  <c r="Q46" i="87"/>
  <c r="P46" i="87"/>
  <c r="O46" i="87"/>
  <c r="N46" i="87"/>
  <c r="M46" i="87"/>
  <c r="L46" i="87"/>
  <c r="K46" i="87"/>
  <c r="J46" i="87"/>
  <c r="I46" i="87"/>
  <c r="H46" i="87"/>
  <c r="G46" i="87"/>
  <c r="F46" i="87"/>
  <c r="E46" i="87"/>
  <c r="D46" i="87"/>
  <c r="C46" i="87"/>
  <c r="R45" i="87"/>
  <c r="Q45" i="87"/>
  <c r="P45" i="87"/>
  <c r="O45" i="87"/>
  <c r="N45" i="87"/>
  <c r="M45" i="87"/>
  <c r="L45" i="87"/>
  <c r="K45" i="87"/>
  <c r="J45" i="87"/>
  <c r="I45" i="87"/>
  <c r="H45" i="87"/>
  <c r="G45" i="87"/>
  <c r="F45" i="87"/>
  <c r="E45" i="87"/>
  <c r="D45" i="87"/>
  <c r="C45" i="87"/>
  <c r="R44" i="87"/>
  <c r="Q44" i="87"/>
  <c r="P44" i="87"/>
  <c r="O44" i="87"/>
  <c r="N44" i="87"/>
  <c r="M44" i="87"/>
  <c r="L44" i="87"/>
  <c r="K44" i="87"/>
  <c r="J44" i="87"/>
  <c r="I44" i="87"/>
  <c r="H44" i="87"/>
  <c r="G44" i="87"/>
  <c r="F44" i="87"/>
  <c r="E44" i="87"/>
  <c r="D44" i="87"/>
  <c r="C44" i="87"/>
  <c r="R43" i="87"/>
  <c r="Q43" i="87"/>
  <c r="P43" i="87"/>
  <c r="O43" i="87"/>
  <c r="N43" i="87"/>
  <c r="M43" i="87"/>
  <c r="L43" i="87"/>
  <c r="K43" i="87"/>
  <c r="J43" i="87"/>
  <c r="I43" i="87"/>
  <c r="H43" i="87"/>
  <c r="G43" i="87"/>
  <c r="F43" i="87"/>
  <c r="E43" i="87"/>
  <c r="D43" i="87"/>
  <c r="C43" i="87"/>
  <c r="R42" i="87"/>
  <c r="Q42" i="87"/>
  <c r="P42" i="87"/>
  <c r="O42" i="87"/>
  <c r="N42" i="87"/>
  <c r="M42" i="87"/>
  <c r="L42" i="87"/>
  <c r="K42" i="87"/>
  <c r="J42" i="87"/>
  <c r="I42" i="87"/>
  <c r="H42" i="87"/>
  <c r="G42" i="87"/>
  <c r="F42" i="87"/>
  <c r="E42" i="87"/>
  <c r="D42" i="87"/>
  <c r="C42" i="87"/>
  <c r="R41" i="87"/>
  <c r="Q41" i="87"/>
  <c r="P41" i="87"/>
  <c r="O41" i="87"/>
  <c r="N41" i="87"/>
  <c r="M41" i="87"/>
  <c r="L41" i="87"/>
  <c r="K41" i="87"/>
  <c r="J41" i="87"/>
  <c r="I41" i="87"/>
  <c r="H41" i="87"/>
  <c r="G41" i="87"/>
  <c r="F41" i="87"/>
  <c r="E41" i="87"/>
  <c r="D41" i="87"/>
  <c r="C41" i="87"/>
  <c r="R40" i="87"/>
  <c r="Q40" i="87"/>
  <c r="P40" i="87"/>
  <c r="O40" i="87"/>
  <c r="N40" i="87"/>
  <c r="M40" i="87"/>
  <c r="L40" i="87"/>
  <c r="K40" i="87"/>
  <c r="J40" i="87"/>
  <c r="I40" i="87"/>
  <c r="H40" i="87"/>
  <c r="G40" i="87"/>
  <c r="F40" i="87"/>
  <c r="E40" i="87"/>
  <c r="D40" i="87"/>
  <c r="C40" i="87"/>
  <c r="R39" i="87"/>
  <c r="Q39" i="87"/>
  <c r="P39" i="87"/>
  <c r="O39" i="87"/>
  <c r="N39" i="87"/>
  <c r="M39" i="87"/>
  <c r="L39" i="87"/>
  <c r="K39" i="87"/>
  <c r="J39" i="87"/>
  <c r="I39" i="87"/>
  <c r="H39" i="87"/>
  <c r="G39" i="87"/>
  <c r="F39" i="87"/>
  <c r="E39" i="87"/>
  <c r="D39" i="87"/>
  <c r="C39" i="87"/>
  <c r="R38" i="87"/>
  <c r="Q38" i="87"/>
  <c r="P38" i="87"/>
  <c r="O38" i="87"/>
  <c r="N38" i="87"/>
  <c r="M38" i="87"/>
  <c r="L38" i="87"/>
  <c r="K38" i="87"/>
  <c r="J38" i="87"/>
  <c r="I38" i="87"/>
  <c r="H38" i="87"/>
  <c r="G38" i="87"/>
  <c r="F38" i="87"/>
  <c r="E38" i="87"/>
  <c r="D38" i="87"/>
  <c r="C38" i="87"/>
  <c r="R37" i="87"/>
  <c r="Q37" i="87"/>
  <c r="P37" i="87"/>
  <c r="O37" i="87"/>
  <c r="N37" i="87"/>
  <c r="M37" i="87"/>
  <c r="L37" i="87"/>
  <c r="K37" i="87"/>
  <c r="J37" i="87"/>
  <c r="I37" i="87"/>
  <c r="H37" i="87"/>
  <c r="G37" i="87"/>
  <c r="F37" i="87"/>
  <c r="E37" i="87"/>
  <c r="D37" i="87"/>
  <c r="C37" i="87"/>
  <c r="R36" i="87"/>
  <c r="Q36" i="87"/>
  <c r="P36" i="87"/>
  <c r="O36" i="87"/>
  <c r="N36" i="87"/>
  <c r="M36" i="87"/>
  <c r="L36" i="87"/>
  <c r="K36" i="87"/>
  <c r="J36" i="87"/>
  <c r="I36" i="87"/>
  <c r="H36" i="87"/>
  <c r="G36" i="87"/>
  <c r="F36" i="87"/>
  <c r="E36" i="87"/>
  <c r="D36" i="87"/>
  <c r="C36" i="87"/>
  <c r="R35" i="87"/>
  <c r="Q35" i="87"/>
  <c r="P35" i="87"/>
  <c r="O35" i="87"/>
  <c r="N35" i="87"/>
  <c r="M35" i="87"/>
  <c r="L35" i="87"/>
  <c r="K35" i="87"/>
  <c r="J35" i="87"/>
  <c r="I35" i="87"/>
  <c r="H35" i="87"/>
  <c r="G35" i="87"/>
  <c r="F35" i="87"/>
  <c r="E35" i="87"/>
  <c r="D35" i="87"/>
  <c r="C35" i="87"/>
  <c r="R34" i="87"/>
  <c r="Q34" i="87"/>
  <c r="P34" i="87"/>
  <c r="O34" i="87"/>
  <c r="N34" i="87"/>
  <c r="M34" i="87"/>
  <c r="L34" i="87"/>
  <c r="K34" i="87"/>
  <c r="J34" i="87"/>
  <c r="I34" i="87"/>
  <c r="H34" i="87"/>
  <c r="G34" i="87"/>
  <c r="F34" i="87"/>
  <c r="E34" i="87"/>
  <c r="D34" i="87"/>
  <c r="C34" i="87"/>
  <c r="R33" i="87"/>
  <c r="Q33" i="87"/>
  <c r="P33" i="87"/>
  <c r="O33" i="87"/>
  <c r="N33" i="87"/>
  <c r="M33" i="87"/>
  <c r="L33" i="87"/>
  <c r="K33" i="87"/>
  <c r="J33" i="87"/>
  <c r="I33" i="87"/>
  <c r="H33" i="87"/>
  <c r="G33" i="87"/>
  <c r="F33" i="87"/>
  <c r="E33" i="87"/>
  <c r="D33" i="87"/>
  <c r="C33" i="87"/>
  <c r="R32" i="87"/>
  <c r="Q32" i="87"/>
  <c r="P32" i="87"/>
  <c r="O32" i="87"/>
  <c r="N32" i="87"/>
  <c r="M32" i="87"/>
  <c r="L32" i="87"/>
  <c r="K32" i="87"/>
  <c r="J32" i="87"/>
  <c r="I32" i="87"/>
  <c r="H32" i="87"/>
  <c r="G32" i="87"/>
  <c r="F32" i="87"/>
  <c r="E32" i="87"/>
  <c r="D32" i="87"/>
  <c r="C32" i="87"/>
  <c r="R31" i="87"/>
  <c r="Q31" i="87"/>
  <c r="P31" i="87"/>
  <c r="O31" i="87"/>
  <c r="N31" i="87"/>
  <c r="M31" i="87"/>
  <c r="L31" i="87"/>
  <c r="K31" i="87"/>
  <c r="J31" i="87"/>
  <c r="I31" i="87"/>
  <c r="H31" i="87"/>
  <c r="G31" i="87"/>
  <c r="F31" i="87"/>
  <c r="E31" i="87"/>
  <c r="D31" i="87"/>
  <c r="C31" i="87"/>
  <c r="R30" i="87"/>
  <c r="Q30" i="87"/>
  <c r="P30" i="87"/>
  <c r="O30" i="87"/>
  <c r="N30" i="87"/>
  <c r="M30" i="87"/>
  <c r="L30" i="87"/>
  <c r="K30" i="87"/>
  <c r="J30" i="87"/>
  <c r="I30" i="87"/>
  <c r="H30" i="87"/>
  <c r="G30" i="87"/>
  <c r="F30" i="87"/>
  <c r="E30" i="87"/>
  <c r="D30" i="87"/>
  <c r="C30" i="87"/>
  <c r="R29" i="87"/>
  <c r="Q29" i="87"/>
  <c r="P29" i="87"/>
  <c r="O29" i="87"/>
  <c r="N29" i="87"/>
  <c r="M29" i="87"/>
  <c r="L29" i="87"/>
  <c r="K29" i="87"/>
  <c r="J29" i="87"/>
  <c r="I29" i="87"/>
  <c r="H29" i="87"/>
  <c r="G29" i="87"/>
  <c r="F29" i="87"/>
  <c r="E29" i="87"/>
  <c r="D29" i="87"/>
  <c r="C29" i="87"/>
  <c r="R28" i="87"/>
  <c r="Q28" i="87"/>
  <c r="P28" i="87"/>
  <c r="O28" i="87"/>
  <c r="N28" i="87"/>
  <c r="M28" i="87"/>
  <c r="L28" i="87"/>
  <c r="K28" i="87"/>
  <c r="J28" i="87"/>
  <c r="I28" i="87"/>
  <c r="H28" i="87"/>
  <c r="G28" i="87"/>
  <c r="F28" i="87"/>
  <c r="E28" i="87"/>
  <c r="D28" i="87"/>
  <c r="C28" i="87"/>
  <c r="R27" i="87"/>
  <c r="Q27" i="87"/>
  <c r="P27" i="87"/>
  <c r="O27" i="87"/>
  <c r="N27" i="87"/>
  <c r="M27" i="87"/>
  <c r="L27" i="87"/>
  <c r="K27" i="87"/>
  <c r="J27" i="87"/>
  <c r="I27" i="87"/>
  <c r="H27" i="87"/>
  <c r="G27" i="87"/>
  <c r="F27" i="87"/>
  <c r="E27" i="87"/>
  <c r="D27" i="87"/>
  <c r="C27" i="87"/>
  <c r="R26" i="87"/>
  <c r="Q26" i="87"/>
  <c r="P26" i="87"/>
  <c r="O26" i="87"/>
  <c r="N26" i="87"/>
  <c r="M26" i="87"/>
  <c r="L26" i="87"/>
  <c r="K26" i="87"/>
  <c r="J26" i="87"/>
  <c r="I26" i="87"/>
  <c r="H26" i="87"/>
  <c r="G26" i="87"/>
  <c r="F26" i="87"/>
  <c r="E26" i="87"/>
  <c r="D26" i="87"/>
  <c r="C26" i="87"/>
  <c r="C22" i="87"/>
  <c r="G21" i="84"/>
  <c r="D21" i="84"/>
  <c r="C21" i="84"/>
  <c r="G20" i="84"/>
  <c r="D20" i="84"/>
  <c r="C20" i="84"/>
  <c r="E20" i="84" s="1"/>
  <c r="F20" i="84" s="1"/>
  <c r="G19" i="84"/>
  <c r="D19" i="84"/>
  <c r="C19" i="84"/>
  <c r="G18" i="84"/>
  <c r="D18" i="84"/>
  <c r="C18" i="84"/>
  <c r="G17" i="84"/>
  <c r="D17" i="84"/>
  <c r="C17" i="84"/>
  <c r="G16" i="84"/>
  <c r="D16" i="84"/>
  <c r="C16" i="84"/>
  <c r="G15" i="84"/>
  <c r="D15" i="84"/>
  <c r="C15" i="84"/>
  <c r="G14" i="84"/>
  <c r="D14" i="84"/>
  <c r="C14" i="84"/>
  <c r="G13" i="84"/>
  <c r="D13" i="84"/>
  <c r="C13" i="84"/>
  <c r="E13" i="84" s="1"/>
  <c r="G12" i="84"/>
  <c r="D12" i="84"/>
  <c r="C12" i="84"/>
  <c r="G11" i="84"/>
  <c r="D11" i="84"/>
  <c r="C11" i="84"/>
  <c r="E11" i="84" s="1"/>
  <c r="F11" i="84" s="1"/>
  <c r="G10" i="84"/>
  <c r="D10" i="84"/>
  <c r="C10" i="84"/>
  <c r="E10" i="84" s="1"/>
  <c r="F10" i="84" s="1"/>
  <c r="G9" i="84"/>
  <c r="D9" i="84"/>
  <c r="C9" i="84"/>
  <c r="E9" i="84" s="1"/>
  <c r="F9" i="84" s="1"/>
  <c r="G8" i="84"/>
  <c r="D8" i="84"/>
  <c r="C8" i="84"/>
  <c r="G7" i="84"/>
  <c r="D7" i="84"/>
  <c r="C7" i="84"/>
  <c r="E7" i="84" s="1"/>
  <c r="F7" i="84" s="1"/>
  <c r="G6" i="84"/>
  <c r="D6" i="84"/>
  <c r="C6" i="84"/>
  <c r="E6" i="84" s="1"/>
  <c r="F6" i="84" s="1"/>
  <c r="J41" i="95"/>
  <c r="I41" i="95"/>
  <c r="D41" i="95"/>
  <c r="E41" i="95" s="1"/>
  <c r="C41" i="95"/>
  <c r="J40" i="95"/>
  <c r="I40" i="95"/>
  <c r="F40" i="95" a="1"/>
  <c r="F40" i="95" s="1"/>
  <c r="D40" i="95"/>
  <c r="C40" i="95"/>
  <c r="J39" i="95"/>
  <c r="I39" i="95"/>
  <c r="F39" i="95" a="1"/>
  <c r="F39" i="95" s="1"/>
  <c r="D39" i="95"/>
  <c r="C39" i="95"/>
  <c r="J38" i="95"/>
  <c r="I38" i="95"/>
  <c r="F38" i="95" a="1"/>
  <c r="F38" i="95" s="1"/>
  <c r="D38" i="95"/>
  <c r="C38" i="95"/>
  <c r="J37" i="95"/>
  <c r="I37" i="95"/>
  <c r="F37" i="95" a="1"/>
  <c r="F37" i="95" s="1"/>
  <c r="D37" i="95"/>
  <c r="E37" i="95" s="1"/>
  <c r="C37" i="95"/>
  <c r="J36" i="95"/>
  <c r="I36" i="95"/>
  <c r="F36" i="95" a="1"/>
  <c r="F36" i="95" s="1"/>
  <c r="D36" i="95"/>
  <c r="C36" i="95"/>
  <c r="J35" i="95"/>
  <c r="I35" i="95"/>
  <c r="F35" i="95" a="1"/>
  <c r="F35" i="95" s="1"/>
  <c r="D35" i="95"/>
  <c r="C35" i="95"/>
  <c r="J34" i="95"/>
  <c r="I34" i="95"/>
  <c r="F34" i="95" a="1"/>
  <c r="F34" i="95" s="1"/>
  <c r="D34" i="95"/>
  <c r="C34" i="95"/>
  <c r="J33" i="95"/>
  <c r="I33" i="95"/>
  <c r="F33" i="95" a="1"/>
  <c r="F33" i="95" s="1"/>
  <c r="D33" i="95"/>
  <c r="C33" i="95"/>
  <c r="J32" i="95"/>
  <c r="I32" i="95"/>
  <c r="F32" i="95" a="1"/>
  <c r="F32" i="95" s="1"/>
  <c r="D32" i="95"/>
  <c r="C32" i="95"/>
  <c r="J31" i="95"/>
  <c r="I31" i="95"/>
  <c r="F31" i="95" a="1"/>
  <c r="F31" i="95" s="1"/>
  <c r="D31" i="95"/>
  <c r="C31" i="95"/>
  <c r="J30" i="95"/>
  <c r="K30" i="95" s="1"/>
  <c r="I30" i="95"/>
  <c r="F30" i="95" a="1"/>
  <c r="F30" i="95" s="1"/>
  <c r="D30" i="95"/>
  <c r="C30" i="95"/>
  <c r="J29" i="95"/>
  <c r="I29" i="95"/>
  <c r="F29" i="95" a="1"/>
  <c r="F29" i="95" s="1"/>
  <c r="D29" i="95"/>
  <c r="E29" i="95" s="1"/>
  <c r="C29" i="95"/>
  <c r="J28" i="95"/>
  <c r="I28" i="95"/>
  <c r="F28" i="95" a="1"/>
  <c r="F28" i="95" s="1"/>
  <c r="D28" i="95"/>
  <c r="C28" i="95"/>
  <c r="J27" i="95"/>
  <c r="I27" i="95"/>
  <c r="F27" i="95" a="1"/>
  <c r="F27" i="95" s="1"/>
  <c r="D27" i="95"/>
  <c r="C27" i="95"/>
  <c r="J26" i="95"/>
  <c r="I26" i="95"/>
  <c r="F26" i="95" a="1"/>
  <c r="F26" i="95" s="1"/>
  <c r="D26" i="95"/>
  <c r="C26" i="95"/>
  <c r="J21" i="95"/>
  <c r="I21" i="95"/>
  <c r="D21" i="95"/>
  <c r="C21" i="95"/>
  <c r="L20" i="95" a="1"/>
  <c r="L20" i="95" s="1"/>
  <c r="J20" i="95"/>
  <c r="I20" i="95"/>
  <c r="F20" i="95" a="1"/>
  <c r="F20" i="95" s="1"/>
  <c r="D20" i="95"/>
  <c r="C20" i="95"/>
  <c r="L19" i="95" a="1"/>
  <c r="L19" i="95" s="1"/>
  <c r="J19" i="95"/>
  <c r="I19" i="95"/>
  <c r="F19" i="95" a="1"/>
  <c r="F19" i="95" s="1"/>
  <c r="D19" i="95"/>
  <c r="C19" i="95"/>
  <c r="L18" i="95" a="1"/>
  <c r="L18" i="95" s="1"/>
  <c r="J18" i="95"/>
  <c r="I18" i="95"/>
  <c r="F18" i="95" a="1"/>
  <c r="F18" i="95" s="1"/>
  <c r="D18" i="95"/>
  <c r="C18" i="95"/>
  <c r="E18" i="95" s="1"/>
  <c r="L17" i="95" a="1"/>
  <c r="L17" i="95" s="1"/>
  <c r="J17" i="95"/>
  <c r="I17" i="95"/>
  <c r="F17" i="95" a="1"/>
  <c r="F17" i="95" s="1"/>
  <c r="D17" i="95"/>
  <c r="C17" i="95"/>
  <c r="L16" i="95" a="1"/>
  <c r="L16" i="95" s="1"/>
  <c r="J16" i="95"/>
  <c r="I16" i="95"/>
  <c r="F16" i="95" a="1"/>
  <c r="F16" i="95" s="1"/>
  <c r="D16" i="95"/>
  <c r="C16" i="95"/>
  <c r="L15" i="95" a="1"/>
  <c r="L15" i="95" s="1"/>
  <c r="J15" i="95"/>
  <c r="I15" i="95"/>
  <c r="F15" i="95" a="1"/>
  <c r="F15" i="95" s="1"/>
  <c r="D15" i="95"/>
  <c r="C15" i="95"/>
  <c r="L14" i="95" a="1"/>
  <c r="L14" i="95" s="1"/>
  <c r="J14" i="95"/>
  <c r="I14" i="95"/>
  <c r="F14" i="95" a="1"/>
  <c r="F14" i="95" s="1"/>
  <c r="D14" i="95"/>
  <c r="C14" i="95"/>
  <c r="L13" i="95" a="1"/>
  <c r="L13" i="95" s="1"/>
  <c r="J13" i="95"/>
  <c r="I13" i="95"/>
  <c r="F13" i="95" a="1"/>
  <c r="F13" i="95" s="1"/>
  <c r="D13" i="95"/>
  <c r="C13" i="95"/>
  <c r="L12" i="95" a="1"/>
  <c r="L12" i="95" s="1"/>
  <c r="J12" i="95"/>
  <c r="I12" i="95"/>
  <c r="F12" i="95" a="1"/>
  <c r="F12" i="95" s="1"/>
  <c r="D12" i="95"/>
  <c r="C12" i="95"/>
  <c r="L11" i="95" a="1"/>
  <c r="L11" i="95" s="1"/>
  <c r="J11" i="95"/>
  <c r="I11" i="95"/>
  <c r="F11" i="95" a="1"/>
  <c r="F11" i="95" s="1"/>
  <c r="D11" i="95"/>
  <c r="C11" i="95"/>
  <c r="L10" i="95" a="1"/>
  <c r="L10" i="95" s="1"/>
  <c r="J10" i="95"/>
  <c r="I10" i="95"/>
  <c r="F10" i="95" a="1"/>
  <c r="F10" i="95" s="1"/>
  <c r="D10" i="95"/>
  <c r="C10" i="95"/>
  <c r="L9" i="95" a="1"/>
  <c r="L9" i="95" s="1"/>
  <c r="J9" i="95"/>
  <c r="I9" i="95"/>
  <c r="F9" i="95" a="1"/>
  <c r="F9" i="95" s="1"/>
  <c r="D9" i="95"/>
  <c r="C9" i="95"/>
  <c r="L8" i="95" a="1"/>
  <c r="L8" i="95" s="1"/>
  <c r="J8" i="95"/>
  <c r="I8" i="95"/>
  <c r="F8" i="95" a="1"/>
  <c r="F8" i="95" s="1"/>
  <c r="D8" i="95"/>
  <c r="C8" i="95"/>
  <c r="L7" i="95" a="1"/>
  <c r="L7" i="95" s="1"/>
  <c r="J7" i="95"/>
  <c r="I7" i="95"/>
  <c r="F7" i="95" a="1"/>
  <c r="F7" i="95" s="1"/>
  <c r="D7" i="95"/>
  <c r="C7" i="95"/>
  <c r="L6" i="95" a="1"/>
  <c r="L6" i="95" s="1"/>
  <c r="J6" i="95"/>
  <c r="I6" i="95"/>
  <c r="F6" i="95" a="1"/>
  <c r="F6" i="95" s="1"/>
  <c r="D6" i="95"/>
  <c r="C6" i="95"/>
  <c r="B124" i="81"/>
  <c r="B123" i="81"/>
  <c r="E123" i="81" s="1"/>
  <c r="B122" i="81"/>
  <c r="C122" i="81" s="1"/>
  <c r="B121" i="81"/>
  <c r="B120" i="81"/>
  <c r="B119" i="81"/>
  <c r="D119" i="81" s="1"/>
  <c r="B118" i="81"/>
  <c r="B117" i="81"/>
  <c r="B116" i="81"/>
  <c r="B115" i="81"/>
  <c r="B114" i="81"/>
  <c r="G114" i="81" s="1"/>
  <c r="B113" i="81"/>
  <c r="D113" i="81" s="1"/>
  <c r="B112" i="81"/>
  <c r="G112" i="81" s="1"/>
  <c r="G111" i="81"/>
  <c r="B111" i="81"/>
  <c r="D111" i="81" s="1"/>
  <c r="B110" i="81"/>
  <c r="B109" i="81"/>
  <c r="D109" i="81" s="1"/>
  <c r="B108" i="81"/>
  <c r="C108" i="81" s="1"/>
  <c r="B107" i="81"/>
  <c r="C106" i="81"/>
  <c r="B106" i="81"/>
  <c r="B105" i="81"/>
  <c r="B104" i="81"/>
  <c r="G104" i="81" s="1"/>
  <c r="B103" i="81"/>
  <c r="B102" i="81"/>
  <c r="B101" i="81"/>
  <c r="G101" i="81" s="1"/>
  <c r="B100" i="81"/>
  <c r="E100" i="81" s="1"/>
  <c r="B99" i="81"/>
  <c r="E99" i="81" s="1"/>
  <c r="B98" i="81"/>
  <c r="G97" i="81"/>
  <c r="E97" i="81"/>
  <c r="D97" i="81"/>
  <c r="C97" i="81"/>
  <c r="B94" i="81"/>
  <c r="I94" i="81" s="1"/>
  <c r="B93" i="81"/>
  <c r="J93" i="81" s="1"/>
  <c r="B92" i="81"/>
  <c r="B91" i="81"/>
  <c r="I91" i="81" s="1"/>
  <c r="B90" i="81"/>
  <c r="J90" i="81" s="1"/>
  <c r="B89" i="81"/>
  <c r="I89" i="81" s="1"/>
  <c r="B88" i="81"/>
  <c r="J88" i="81" s="1"/>
  <c r="B87" i="81"/>
  <c r="J87" i="81" s="1"/>
  <c r="B86" i="81"/>
  <c r="J86" i="81" s="1"/>
  <c r="B85" i="81"/>
  <c r="J85" i="81" s="1"/>
  <c r="B84" i="81"/>
  <c r="J84" i="81" s="1"/>
  <c r="B83" i="81"/>
  <c r="F83" i="81" s="1"/>
  <c r="B82" i="81"/>
  <c r="J82" i="81" s="1"/>
  <c r="B81" i="81"/>
  <c r="C81" i="81" s="1"/>
  <c r="B80" i="81"/>
  <c r="J80" i="81" s="1"/>
  <c r="B79" i="81"/>
  <c r="B78" i="81"/>
  <c r="D78" i="81" s="1"/>
  <c r="B77" i="81"/>
  <c r="G77" i="81" s="1"/>
  <c r="B76" i="81"/>
  <c r="B75" i="81"/>
  <c r="B74" i="81"/>
  <c r="I74" i="81" s="1"/>
  <c r="B73" i="81"/>
  <c r="B72" i="81"/>
  <c r="B71" i="81"/>
  <c r="G71" i="81" s="1"/>
  <c r="B70" i="81"/>
  <c r="I70" i="81" s="1"/>
  <c r="B69" i="81"/>
  <c r="G69" i="81" s="1"/>
  <c r="B68" i="81"/>
  <c r="J67" i="81"/>
  <c r="I67" i="81"/>
  <c r="G67" i="81"/>
  <c r="F67" i="81"/>
  <c r="D67" i="81"/>
  <c r="C67" i="81"/>
  <c r="B64" i="81"/>
  <c r="L64" i="81" s="1"/>
  <c r="B63" i="81"/>
  <c r="B62" i="81"/>
  <c r="B61" i="81"/>
  <c r="D61" i="81" s="1"/>
  <c r="B60" i="81"/>
  <c r="L60" i="81" s="1"/>
  <c r="B59" i="81"/>
  <c r="C59" i="81" s="1"/>
  <c r="B58" i="81"/>
  <c r="I58" i="81" s="1"/>
  <c r="B57" i="81"/>
  <c r="G57" i="81" s="1"/>
  <c r="B56" i="81"/>
  <c r="K56" i="81" s="1"/>
  <c r="B55" i="81"/>
  <c r="D55" i="81" s="1"/>
  <c r="B54" i="81"/>
  <c r="B53" i="81"/>
  <c r="B52" i="81"/>
  <c r="G52" i="81" s="1"/>
  <c r="B51" i="81"/>
  <c r="L51" i="81" s="1"/>
  <c r="B50" i="81"/>
  <c r="B49" i="81"/>
  <c r="B48" i="81"/>
  <c r="B47" i="81"/>
  <c r="G47" i="81" s="1"/>
  <c r="B46" i="81"/>
  <c r="B45" i="81"/>
  <c r="F45" i="81" s="1"/>
  <c r="B44" i="81"/>
  <c r="B43" i="81"/>
  <c r="B42" i="81"/>
  <c r="B41" i="81"/>
  <c r="L41" i="81" s="1"/>
  <c r="B40" i="81"/>
  <c r="B39" i="81"/>
  <c r="L39" i="81" s="1"/>
  <c r="B38" i="81"/>
  <c r="K38" i="81" s="1"/>
  <c r="L37" i="81"/>
  <c r="K37" i="81"/>
  <c r="M37" i="81" s="1"/>
  <c r="I37" i="81"/>
  <c r="J37" i="81" s="1"/>
  <c r="G37" i="81"/>
  <c r="H37" i="81" s="1"/>
  <c r="F37" i="81"/>
  <c r="D37" i="81"/>
  <c r="E37" i="81" s="1"/>
  <c r="C37" i="81"/>
  <c r="B34" i="81"/>
  <c r="B33" i="81"/>
  <c r="J33" i="81" s="1"/>
  <c r="B32" i="81"/>
  <c r="E32" i="81" s="1"/>
  <c r="B31" i="81"/>
  <c r="H31" i="81" s="1"/>
  <c r="B30" i="81"/>
  <c r="B29" i="81"/>
  <c r="B28" i="81"/>
  <c r="D28" i="81" s="1"/>
  <c r="B27" i="81"/>
  <c r="B26" i="81"/>
  <c r="K26" i="81" s="1"/>
  <c r="B25" i="81"/>
  <c r="C25" i="81" s="1"/>
  <c r="B24" i="81"/>
  <c r="C24" i="81" s="1"/>
  <c r="B23" i="81"/>
  <c r="C23" i="81" s="1"/>
  <c r="B22" i="81"/>
  <c r="B21" i="81"/>
  <c r="C21" i="81" s="1"/>
  <c r="B20" i="81"/>
  <c r="B19" i="81"/>
  <c r="K19" i="81" s="1"/>
  <c r="B18" i="81"/>
  <c r="J18" i="81" s="1"/>
  <c r="B17" i="81"/>
  <c r="C17" i="81" s="1"/>
  <c r="B16" i="81"/>
  <c r="B15" i="81"/>
  <c r="E15" i="81" s="1"/>
  <c r="B14" i="81"/>
  <c r="H14" i="81" s="1"/>
  <c r="B13" i="81"/>
  <c r="B12" i="81"/>
  <c r="H12" i="81" s="1"/>
  <c r="B11" i="81"/>
  <c r="B10" i="81"/>
  <c r="B9" i="81"/>
  <c r="B8" i="81"/>
  <c r="C8" i="81" s="1"/>
  <c r="K7" i="81"/>
  <c r="J7" i="81"/>
  <c r="H7" i="81"/>
  <c r="G7" i="81"/>
  <c r="E7" i="81"/>
  <c r="D7" i="81"/>
  <c r="C7" i="81"/>
  <c r="L20" i="80"/>
  <c r="K20" i="80"/>
  <c r="I20" i="80"/>
  <c r="H20" i="80"/>
  <c r="F20" i="80"/>
  <c r="E20" i="80"/>
  <c r="D20" i="80"/>
  <c r="C20" i="80"/>
  <c r="L19" i="80"/>
  <c r="K19" i="80"/>
  <c r="I19" i="80"/>
  <c r="H19" i="80"/>
  <c r="F19" i="80"/>
  <c r="E19" i="80"/>
  <c r="D19" i="80"/>
  <c r="C19" i="80"/>
  <c r="L18" i="80"/>
  <c r="K18" i="80"/>
  <c r="I18" i="80"/>
  <c r="H18" i="80"/>
  <c r="F18" i="80"/>
  <c r="E18" i="80"/>
  <c r="D18" i="80"/>
  <c r="C18" i="80"/>
  <c r="L17" i="80"/>
  <c r="K17" i="80"/>
  <c r="I17" i="80"/>
  <c r="H17" i="80"/>
  <c r="F17" i="80"/>
  <c r="E17" i="80"/>
  <c r="D17" i="80"/>
  <c r="C17" i="80"/>
  <c r="L16" i="80"/>
  <c r="K16" i="80"/>
  <c r="I16" i="80"/>
  <c r="H16" i="80"/>
  <c r="F16" i="80"/>
  <c r="E16" i="80"/>
  <c r="D16" i="80"/>
  <c r="C16" i="80"/>
  <c r="L15" i="80"/>
  <c r="K15" i="80"/>
  <c r="I15" i="80"/>
  <c r="H15" i="80"/>
  <c r="F15" i="80"/>
  <c r="E15" i="80"/>
  <c r="D15" i="80"/>
  <c r="C15" i="80"/>
  <c r="L14" i="80"/>
  <c r="K14" i="80"/>
  <c r="I14" i="80"/>
  <c r="H14" i="80"/>
  <c r="F14" i="80"/>
  <c r="E14" i="80"/>
  <c r="D14" i="80"/>
  <c r="C14" i="80"/>
  <c r="L13" i="80"/>
  <c r="K13" i="80"/>
  <c r="I13" i="80"/>
  <c r="H13" i="80"/>
  <c r="F13" i="80"/>
  <c r="E13" i="80"/>
  <c r="D13" i="80"/>
  <c r="C13" i="80"/>
  <c r="L12" i="80"/>
  <c r="K12" i="80"/>
  <c r="I12" i="80"/>
  <c r="H12" i="80"/>
  <c r="F12" i="80"/>
  <c r="E12" i="80"/>
  <c r="D12" i="80"/>
  <c r="C12" i="80"/>
  <c r="L11" i="80"/>
  <c r="K11" i="80"/>
  <c r="I11" i="80"/>
  <c r="H11" i="80"/>
  <c r="F11" i="80"/>
  <c r="E11" i="80"/>
  <c r="D11" i="80"/>
  <c r="C11" i="80"/>
  <c r="L10" i="80"/>
  <c r="K10" i="80"/>
  <c r="I10" i="80"/>
  <c r="H10" i="80"/>
  <c r="F10" i="80"/>
  <c r="E10" i="80"/>
  <c r="D10" i="80"/>
  <c r="C10" i="80"/>
  <c r="L9" i="80"/>
  <c r="K9" i="80"/>
  <c r="I9" i="80"/>
  <c r="H9" i="80"/>
  <c r="F9" i="80"/>
  <c r="E9" i="80"/>
  <c r="D9" i="80"/>
  <c r="C9" i="80"/>
  <c r="L8" i="80"/>
  <c r="K8" i="80"/>
  <c r="I8" i="80"/>
  <c r="H8" i="80"/>
  <c r="F8" i="80"/>
  <c r="E8" i="80"/>
  <c r="D8" i="80"/>
  <c r="C8" i="80"/>
  <c r="L7" i="80"/>
  <c r="K7" i="80"/>
  <c r="I7" i="80"/>
  <c r="H7" i="80"/>
  <c r="F7" i="80"/>
  <c r="E7" i="80"/>
  <c r="D7" i="80"/>
  <c r="C7" i="80"/>
  <c r="L6" i="80"/>
  <c r="K6" i="80"/>
  <c r="I6" i="80"/>
  <c r="H6" i="80"/>
  <c r="F6" i="80"/>
  <c r="E6" i="80"/>
  <c r="D6" i="80"/>
  <c r="C6" i="80"/>
  <c r="L5" i="80"/>
  <c r="K5" i="80"/>
  <c r="I5" i="80"/>
  <c r="H5" i="80"/>
  <c r="F5" i="80"/>
  <c r="E5" i="80"/>
  <c r="D5" i="80"/>
  <c r="C5" i="80"/>
  <c r="B71" i="110"/>
  <c r="L73" i="110" s="1"/>
  <c r="T64" i="110"/>
  <c r="W69" i="110" s="1"/>
  <c r="B64" i="110"/>
  <c r="E67" i="110" s="1"/>
  <c r="T57" i="110"/>
  <c r="Z61" i="110" s="1"/>
  <c r="B57" i="110"/>
  <c r="Q59" i="110" s="1"/>
  <c r="T50" i="110"/>
  <c r="U53" i="110" s="1"/>
  <c r="B50" i="110"/>
  <c r="C55" i="110" s="1"/>
  <c r="T43" i="110"/>
  <c r="AA45" i="110" s="1"/>
  <c r="B43" i="110"/>
  <c r="F48" i="110" s="1"/>
  <c r="T36" i="110"/>
  <c r="Y39" i="110" s="1"/>
  <c r="B36" i="110"/>
  <c r="F41" i="110" s="1"/>
  <c r="T29" i="110"/>
  <c r="Y31" i="110" s="1"/>
  <c r="B29" i="110"/>
  <c r="H34" i="110" s="1"/>
  <c r="N26" i="110"/>
  <c r="T22" i="110"/>
  <c r="AI27" i="110" s="1"/>
  <c r="B22" i="110"/>
  <c r="G24" i="110" s="1"/>
  <c r="T15" i="110"/>
  <c r="U18" i="110" s="1"/>
  <c r="B15" i="110"/>
  <c r="D17" i="110" s="1"/>
  <c r="T8" i="110"/>
  <c r="Y12" i="110" s="1"/>
  <c r="B8" i="110"/>
  <c r="O11" i="110" s="1"/>
  <c r="B71" i="108"/>
  <c r="O73" i="108" s="1"/>
  <c r="T64" i="108"/>
  <c r="U69" i="108" s="1"/>
  <c r="B64" i="108"/>
  <c r="D69" i="108" s="1"/>
  <c r="T57" i="108"/>
  <c r="AH57" i="108" s="1" a="1"/>
  <c r="B57" i="108"/>
  <c r="O62" i="108" s="1"/>
  <c r="T50" i="108"/>
  <c r="AF53" i="108" s="1"/>
  <c r="B50" i="108"/>
  <c r="C54" i="108" s="1"/>
  <c r="T43" i="108"/>
  <c r="AH48" i="108" s="1"/>
  <c r="B43" i="108"/>
  <c r="K46" i="108" s="1"/>
  <c r="T36" i="108"/>
  <c r="AH36" i="108" s="1" a="1"/>
  <c r="B36" i="108"/>
  <c r="E40" i="108" s="1"/>
  <c r="T29" i="108"/>
  <c r="AI34" i="108" s="1"/>
  <c r="B29" i="108"/>
  <c r="K32" i="108" s="1"/>
  <c r="T22" i="108"/>
  <c r="Z27" i="108" s="1"/>
  <c r="B22" i="108"/>
  <c r="P27" i="108" s="1"/>
  <c r="T15" i="108"/>
  <c r="B15" i="108"/>
  <c r="G18" i="108" s="1"/>
  <c r="T8" i="108"/>
  <c r="U12" i="108" s="1"/>
  <c r="B8" i="108"/>
  <c r="O10" i="108" s="1"/>
  <c r="B71" i="109"/>
  <c r="P71" i="109" s="1"/>
  <c r="T64" i="109"/>
  <c r="AG67" i="109" s="1"/>
  <c r="B64" i="109"/>
  <c r="I74" i="109" s="1"/>
  <c r="T57" i="109"/>
  <c r="AG61" i="109" s="1"/>
  <c r="B57" i="109"/>
  <c r="M59" i="109" s="1"/>
  <c r="T50" i="109"/>
  <c r="AG52" i="109" s="1"/>
  <c r="B50" i="109"/>
  <c r="R55" i="109" s="1"/>
  <c r="T43" i="109"/>
  <c r="U45" i="109" s="1"/>
  <c r="B43" i="109"/>
  <c r="G46" i="109" s="1"/>
  <c r="T36" i="109"/>
  <c r="AG39" i="109" s="1"/>
  <c r="B36" i="109"/>
  <c r="T29" i="109"/>
  <c r="AF33" i="109" s="1"/>
  <c r="B29" i="109"/>
  <c r="T22" i="109"/>
  <c r="W24" i="109" s="1"/>
  <c r="B22" i="109"/>
  <c r="G25" i="109" s="1"/>
  <c r="T15" i="109"/>
  <c r="AA19" i="109" s="1"/>
  <c r="B15" i="109"/>
  <c r="O20" i="109" s="1"/>
  <c r="T8" i="109"/>
  <c r="B8" i="109"/>
  <c r="B71" i="107"/>
  <c r="P71" i="107" s="1"/>
  <c r="T64" i="107"/>
  <c r="X68" i="107" s="1"/>
  <c r="B64" i="107"/>
  <c r="R66" i="107" s="1"/>
  <c r="T57" i="107"/>
  <c r="B57" i="107"/>
  <c r="I62" i="107" s="1"/>
  <c r="T50" i="107"/>
  <c r="AF54" i="107" s="1"/>
  <c r="B50" i="107"/>
  <c r="O52" i="107" s="1"/>
  <c r="T43" i="107"/>
  <c r="AJ46" i="107" s="1"/>
  <c r="B43" i="107"/>
  <c r="G45" i="107" s="1"/>
  <c r="T36" i="107"/>
  <c r="U41" i="107" s="1"/>
  <c r="B36" i="107"/>
  <c r="C41" i="107" s="1"/>
  <c r="T29" i="107"/>
  <c r="AG31" i="107" s="1"/>
  <c r="B29" i="107"/>
  <c r="L33" i="107" s="1"/>
  <c r="T22" i="107"/>
  <c r="Z26" i="107" s="1"/>
  <c r="B22" i="107"/>
  <c r="E25" i="107" s="1"/>
  <c r="T15" i="107"/>
  <c r="B15" i="107"/>
  <c r="P20" i="107" s="1"/>
  <c r="T8" i="107"/>
  <c r="AB11" i="107" s="1"/>
  <c r="B8" i="107"/>
  <c r="E11" i="107" s="1"/>
  <c r="B71" i="105"/>
  <c r="D75" i="105" s="1"/>
  <c r="T64" i="105"/>
  <c r="AH64" i="105" s="1"/>
  <c r="B64" i="105"/>
  <c r="R68" i="105" s="1"/>
  <c r="T57" i="105"/>
  <c r="AF61" i="105" s="1"/>
  <c r="B57" i="105"/>
  <c r="J59" i="105" s="1"/>
  <c r="T50" i="105"/>
  <c r="AF52" i="105" s="1"/>
  <c r="B50" i="105"/>
  <c r="R52" i="105" s="1"/>
  <c r="T43" i="105"/>
  <c r="Y45" i="105" s="1"/>
  <c r="B43" i="105"/>
  <c r="D48" i="105" s="1"/>
  <c r="T36" i="105"/>
  <c r="B36" i="105"/>
  <c r="E41" i="105" s="1"/>
  <c r="T29" i="105"/>
  <c r="AG31" i="105" s="1"/>
  <c r="B29" i="105"/>
  <c r="G31" i="105" s="1"/>
  <c r="T22" i="105"/>
  <c r="AE27" i="105" s="1"/>
  <c r="B22" i="105"/>
  <c r="P27" i="105" s="1"/>
  <c r="T15" i="105"/>
  <c r="AI18" i="105" s="1"/>
  <c r="B15" i="105"/>
  <c r="Q17" i="105" s="1"/>
  <c r="T8" i="105"/>
  <c r="W12" i="105" s="1"/>
  <c r="B8" i="105"/>
  <c r="T99" i="102"/>
  <c r="X104" i="102" s="1"/>
  <c r="B99" i="102"/>
  <c r="P99" i="102" s="1"/>
  <c r="T92" i="102"/>
  <c r="Y92" i="102" s="1"/>
  <c r="B92" i="102"/>
  <c r="P97" i="102" s="1"/>
  <c r="T85" i="102"/>
  <c r="Y85" i="102" s="1"/>
  <c r="B85" i="102"/>
  <c r="F89" i="102" s="1"/>
  <c r="T78" i="102"/>
  <c r="Y78" i="102" s="1"/>
  <c r="B78" i="102"/>
  <c r="E83" i="102" s="1"/>
  <c r="T71" i="102"/>
  <c r="AC74" i="102" s="1"/>
  <c r="B71" i="102"/>
  <c r="E103" i="102" s="1"/>
  <c r="T64" i="102"/>
  <c r="AI97" i="102" s="1"/>
  <c r="B64" i="102"/>
  <c r="T57" i="102"/>
  <c r="AB59" i="102" s="1"/>
  <c r="B57" i="102"/>
  <c r="R61" i="102" s="1"/>
  <c r="T50" i="102"/>
  <c r="W53" i="102" s="1"/>
  <c r="B50" i="102"/>
  <c r="G55" i="102" s="1"/>
  <c r="R46" i="102"/>
  <c r="M45" i="102"/>
  <c r="T43" i="102"/>
  <c r="AC48" i="102" s="1"/>
  <c r="B43" i="102"/>
  <c r="J48" i="102" s="1"/>
  <c r="T36" i="102"/>
  <c r="AF40" i="102" s="1"/>
  <c r="B36" i="102"/>
  <c r="O41" i="102" s="1"/>
  <c r="T29" i="102"/>
  <c r="AC33" i="102" s="1"/>
  <c r="B29" i="102"/>
  <c r="O31" i="102" s="1"/>
  <c r="T22" i="102"/>
  <c r="Z27" i="102" s="1"/>
  <c r="B22" i="102"/>
  <c r="H26" i="102" s="1"/>
  <c r="T15" i="102"/>
  <c r="AJ20" i="102" s="1"/>
  <c r="B15" i="102"/>
  <c r="T8" i="102"/>
  <c r="AJ13" i="102" s="1"/>
  <c r="B8" i="102"/>
  <c r="S80" i="111"/>
  <c r="R80" i="111"/>
  <c r="Q80" i="111"/>
  <c r="P80" i="111"/>
  <c r="O80" i="111"/>
  <c r="N80" i="111"/>
  <c r="M80" i="111"/>
  <c r="L80" i="111"/>
  <c r="K80" i="111"/>
  <c r="AD80" i="111" s="1"/>
  <c r="J80" i="111"/>
  <c r="I80" i="111"/>
  <c r="H80" i="111"/>
  <c r="G80" i="111"/>
  <c r="F80" i="111"/>
  <c r="E80" i="111"/>
  <c r="D80" i="111"/>
  <c r="C80" i="111"/>
  <c r="V80" i="111" s="1"/>
  <c r="S79" i="111"/>
  <c r="R79" i="111"/>
  <c r="Q79" i="111"/>
  <c r="P79" i="111"/>
  <c r="O79" i="111"/>
  <c r="N79" i="111"/>
  <c r="M79" i="111"/>
  <c r="L79" i="111"/>
  <c r="K79" i="111"/>
  <c r="AD79" i="111" s="1"/>
  <c r="J79" i="111"/>
  <c r="I79" i="111"/>
  <c r="H79" i="111"/>
  <c r="G79" i="111"/>
  <c r="F79" i="111"/>
  <c r="E79" i="111"/>
  <c r="D79" i="111"/>
  <c r="C79" i="111"/>
  <c r="V79" i="111" s="1"/>
  <c r="S78" i="111"/>
  <c r="R78" i="111"/>
  <c r="Q78" i="111"/>
  <c r="P78" i="111"/>
  <c r="O78" i="111"/>
  <c r="N78" i="111"/>
  <c r="M78" i="111"/>
  <c r="L78" i="111"/>
  <c r="K78" i="111"/>
  <c r="AD78" i="111" s="1"/>
  <c r="J78" i="111"/>
  <c r="I78" i="111"/>
  <c r="H78" i="111"/>
  <c r="G78" i="111"/>
  <c r="F78" i="111"/>
  <c r="E78" i="111"/>
  <c r="D78" i="111"/>
  <c r="C78" i="111"/>
  <c r="V78" i="111" s="1"/>
  <c r="S77" i="111"/>
  <c r="R77" i="111"/>
  <c r="Q77" i="111"/>
  <c r="P77" i="111"/>
  <c r="O77" i="111"/>
  <c r="N77" i="111"/>
  <c r="M77" i="111"/>
  <c r="L77" i="111"/>
  <c r="K77" i="111"/>
  <c r="AD77" i="111" s="1"/>
  <c r="J77" i="111"/>
  <c r="I77" i="111"/>
  <c r="H77" i="111"/>
  <c r="G77" i="111"/>
  <c r="F77" i="111"/>
  <c r="E77" i="111"/>
  <c r="D77" i="111"/>
  <c r="C77" i="111"/>
  <c r="V77" i="111" s="1"/>
  <c r="S76" i="111"/>
  <c r="R76" i="111"/>
  <c r="Q76" i="111"/>
  <c r="P76" i="111"/>
  <c r="O76" i="111"/>
  <c r="N76" i="111"/>
  <c r="M76" i="111"/>
  <c r="L76" i="111"/>
  <c r="K76" i="111"/>
  <c r="AD76" i="111" s="1"/>
  <c r="J76" i="111"/>
  <c r="I76" i="111"/>
  <c r="H76" i="111"/>
  <c r="G76" i="111"/>
  <c r="F76" i="111"/>
  <c r="E76" i="111"/>
  <c r="D76" i="111"/>
  <c r="C76" i="111"/>
  <c r="V76" i="111" s="1"/>
  <c r="S75" i="111"/>
  <c r="R75" i="111"/>
  <c r="Q75" i="111"/>
  <c r="P75" i="111"/>
  <c r="O75" i="111"/>
  <c r="N75" i="111"/>
  <c r="M75" i="111"/>
  <c r="L75" i="111"/>
  <c r="K75" i="111"/>
  <c r="AD75" i="111" s="1"/>
  <c r="J75" i="111"/>
  <c r="I75" i="111"/>
  <c r="H75" i="111"/>
  <c r="G75" i="111"/>
  <c r="F75" i="111"/>
  <c r="E75" i="111"/>
  <c r="D75" i="111"/>
  <c r="C75" i="111"/>
  <c r="V75" i="111" s="1"/>
  <c r="S74" i="111"/>
  <c r="R74" i="111"/>
  <c r="Q74" i="111"/>
  <c r="P74" i="111"/>
  <c r="O74" i="111"/>
  <c r="N74" i="111"/>
  <c r="M74" i="111"/>
  <c r="L74" i="111"/>
  <c r="K74" i="111"/>
  <c r="AD74" i="111" s="1"/>
  <c r="J74" i="111"/>
  <c r="I74" i="111"/>
  <c r="H74" i="111"/>
  <c r="G74" i="111"/>
  <c r="F74" i="111"/>
  <c r="E74" i="111"/>
  <c r="D74" i="111"/>
  <c r="C74" i="111"/>
  <c r="V74" i="111" s="1"/>
  <c r="S73" i="111"/>
  <c r="R73" i="111"/>
  <c r="Q73" i="111"/>
  <c r="P73" i="111"/>
  <c r="O73" i="111"/>
  <c r="N73" i="111"/>
  <c r="M73" i="111"/>
  <c r="L73" i="111"/>
  <c r="K73" i="111"/>
  <c r="AD73" i="111" s="1"/>
  <c r="J73" i="111"/>
  <c r="I73" i="111"/>
  <c r="H73" i="111"/>
  <c r="G73" i="111"/>
  <c r="F73" i="111"/>
  <c r="E73" i="111"/>
  <c r="D73" i="111"/>
  <c r="C73" i="111"/>
  <c r="V73" i="111" s="1"/>
  <c r="S72" i="111"/>
  <c r="R72" i="111"/>
  <c r="Q72" i="111"/>
  <c r="P72" i="111"/>
  <c r="O72" i="111"/>
  <c r="N72" i="111"/>
  <c r="M72" i="111"/>
  <c r="L72" i="111"/>
  <c r="K72" i="111"/>
  <c r="AD72" i="111" s="1"/>
  <c r="J72" i="111"/>
  <c r="I72" i="111"/>
  <c r="H72" i="111"/>
  <c r="G72" i="111"/>
  <c r="F72" i="111"/>
  <c r="E72" i="111"/>
  <c r="D72" i="111"/>
  <c r="C72" i="111"/>
  <c r="V72" i="111" s="1"/>
  <c r="S71" i="111"/>
  <c r="R71" i="111"/>
  <c r="Q71" i="111"/>
  <c r="P71" i="111"/>
  <c r="O71" i="111"/>
  <c r="N71" i="111"/>
  <c r="M71" i="111"/>
  <c r="L71" i="111"/>
  <c r="K71" i="111"/>
  <c r="J71" i="111"/>
  <c r="I71" i="111"/>
  <c r="H71" i="111"/>
  <c r="G71" i="111"/>
  <c r="F71" i="111"/>
  <c r="E71" i="111"/>
  <c r="D71" i="111"/>
  <c r="C71" i="111"/>
  <c r="V71" i="111" s="1"/>
  <c r="S70" i="111"/>
  <c r="R70" i="111"/>
  <c r="Q70" i="111"/>
  <c r="P70" i="111"/>
  <c r="O70" i="111"/>
  <c r="N70" i="111"/>
  <c r="M70" i="111"/>
  <c r="L70" i="111"/>
  <c r="K70" i="111"/>
  <c r="AD70" i="111" s="1"/>
  <c r="J70" i="111"/>
  <c r="I70" i="111"/>
  <c r="H70" i="111"/>
  <c r="G70" i="111"/>
  <c r="F70" i="111"/>
  <c r="E70" i="111"/>
  <c r="D70" i="111"/>
  <c r="C70" i="111"/>
  <c r="V70" i="111" s="1"/>
  <c r="S69" i="111"/>
  <c r="R69" i="111"/>
  <c r="Q69" i="111"/>
  <c r="P69" i="111"/>
  <c r="O69" i="111"/>
  <c r="N69" i="111"/>
  <c r="M69" i="111"/>
  <c r="L69" i="111"/>
  <c r="K69" i="111"/>
  <c r="AD69" i="111" s="1"/>
  <c r="J69" i="111"/>
  <c r="I69" i="111"/>
  <c r="H69" i="111"/>
  <c r="G69" i="111"/>
  <c r="F69" i="111"/>
  <c r="E69" i="111"/>
  <c r="D69" i="111"/>
  <c r="C69" i="111"/>
  <c r="V69" i="111" s="1"/>
  <c r="S68" i="111"/>
  <c r="R68" i="111"/>
  <c r="Q68" i="111"/>
  <c r="P68" i="111"/>
  <c r="O68" i="111"/>
  <c r="N68" i="111"/>
  <c r="M68" i="111"/>
  <c r="L68" i="111"/>
  <c r="K68" i="111"/>
  <c r="AD68" i="111" s="1"/>
  <c r="J68" i="111"/>
  <c r="I68" i="111"/>
  <c r="H68" i="111"/>
  <c r="G68" i="111"/>
  <c r="F68" i="111"/>
  <c r="E68" i="111"/>
  <c r="D68" i="111"/>
  <c r="C68" i="111"/>
  <c r="V68" i="111" s="1"/>
  <c r="S67" i="111"/>
  <c r="R67" i="111"/>
  <c r="Q67" i="111"/>
  <c r="P67" i="111"/>
  <c r="O67" i="111"/>
  <c r="N67" i="111"/>
  <c r="M67" i="111"/>
  <c r="L67" i="111"/>
  <c r="K67" i="111"/>
  <c r="AD67" i="111" s="1"/>
  <c r="J67" i="111"/>
  <c r="I67" i="111"/>
  <c r="H67" i="111"/>
  <c r="G67" i="111"/>
  <c r="F67" i="111"/>
  <c r="E67" i="111"/>
  <c r="D67" i="111"/>
  <c r="C67" i="111"/>
  <c r="V67" i="111" s="1"/>
  <c r="S66" i="111"/>
  <c r="R66" i="111"/>
  <c r="Q66" i="111"/>
  <c r="P66" i="111"/>
  <c r="O66" i="111"/>
  <c r="N66" i="111"/>
  <c r="M66" i="111"/>
  <c r="L66" i="111"/>
  <c r="K66" i="111"/>
  <c r="AD66" i="111" s="1"/>
  <c r="J66" i="111"/>
  <c r="I66" i="111"/>
  <c r="H66" i="111"/>
  <c r="G66" i="111"/>
  <c r="F66" i="111"/>
  <c r="E66" i="111"/>
  <c r="D66" i="111"/>
  <c r="C66" i="111"/>
  <c r="V66" i="111" s="1"/>
  <c r="S65" i="111"/>
  <c r="R65" i="111"/>
  <c r="Q65" i="111"/>
  <c r="P65" i="111"/>
  <c r="O65" i="111"/>
  <c r="N65" i="111"/>
  <c r="M65" i="111"/>
  <c r="L65" i="111"/>
  <c r="K65" i="111"/>
  <c r="AD65" i="111" s="1"/>
  <c r="J65" i="111"/>
  <c r="I65" i="111"/>
  <c r="H65" i="111"/>
  <c r="G65" i="111"/>
  <c r="F65" i="111"/>
  <c r="E65" i="111"/>
  <c r="D65" i="111"/>
  <c r="C65" i="111"/>
  <c r="V65" i="111" s="1"/>
  <c r="S61" i="111"/>
  <c r="R61" i="111"/>
  <c r="Q61" i="111"/>
  <c r="P61" i="111"/>
  <c r="O61" i="111"/>
  <c r="N61" i="111"/>
  <c r="M61" i="111"/>
  <c r="L61" i="111"/>
  <c r="K61" i="111"/>
  <c r="AD61" i="111" s="1"/>
  <c r="J61" i="111"/>
  <c r="I61" i="111"/>
  <c r="H61" i="111"/>
  <c r="G61" i="111"/>
  <c r="F61" i="111"/>
  <c r="E61" i="111"/>
  <c r="D61" i="111"/>
  <c r="C61" i="111"/>
  <c r="V61" i="111" s="1"/>
  <c r="S60" i="111"/>
  <c r="R60" i="111"/>
  <c r="Q60" i="111"/>
  <c r="P60" i="111"/>
  <c r="O60" i="111"/>
  <c r="N60" i="111"/>
  <c r="M60" i="111"/>
  <c r="L60" i="111"/>
  <c r="K60" i="111"/>
  <c r="AD60" i="111" s="1"/>
  <c r="J60" i="111"/>
  <c r="I60" i="111"/>
  <c r="H60" i="111"/>
  <c r="G60" i="111"/>
  <c r="F60" i="111"/>
  <c r="E60" i="111"/>
  <c r="D60" i="111"/>
  <c r="C60" i="111"/>
  <c r="V60" i="111" s="1"/>
  <c r="S59" i="111"/>
  <c r="R59" i="111"/>
  <c r="Q59" i="111"/>
  <c r="P59" i="111"/>
  <c r="O59" i="111"/>
  <c r="N59" i="111"/>
  <c r="M59" i="111"/>
  <c r="L59" i="111"/>
  <c r="K59" i="111"/>
  <c r="J59" i="111"/>
  <c r="I59" i="111"/>
  <c r="H59" i="111"/>
  <c r="G59" i="111"/>
  <c r="F59" i="111"/>
  <c r="E59" i="111"/>
  <c r="D59" i="111"/>
  <c r="C59" i="111"/>
  <c r="S58" i="111"/>
  <c r="R58" i="111"/>
  <c r="Q58" i="111"/>
  <c r="P58" i="111"/>
  <c r="O58" i="111"/>
  <c r="N58" i="111"/>
  <c r="M58" i="111"/>
  <c r="L58" i="111"/>
  <c r="K58" i="111"/>
  <c r="J58" i="111"/>
  <c r="I58" i="111"/>
  <c r="H58" i="111"/>
  <c r="G58" i="111"/>
  <c r="F58" i="111"/>
  <c r="E58" i="111"/>
  <c r="D58" i="111"/>
  <c r="C58" i="111"/>
  <c r="S57" i="111"/>
  <c r="R57" i="111"/>
  <c r="Q57" i="111"/>
  <c r="P57" i="111"/>
  <c r="O57" i="111"/>
  <c r="N57" i="111"/>
  <c r="M57" i="111"/>
  <c r="L57" i="111"/>
  <c r="K57" i="111"/>
  <c r="AD57" i="111" s="1"/>
  <c r="J57" i="111"/>
  <c r="I57" i="111"/>
  <c r="H57" i="111"/>
  <c r="G57" i="111"/>
  <c r="F57" i="111"/>
  <c r="E57" i="111"/>
  <c r="D57" i="111"/>
  <c r="C57" i="111"/>
  <c r="V57" i="111" s="1"/>
  <c r="S56" i="111"/>
  <c r="R56" i="111"/>
  <c r="Q56" i="111"/>
  <c r="P56" i="111"/>
  <c r="O56" i="111"/>
  <c r="N56" i="111"/>
  <c r="M56" i="111"/>
  <c r="L56" i="111"/>
  <c r="K56" i="111"/>
  <c r="AD56" i="111" s="1"/>
  <c r="J56" i="111"/>
  <c r="I56" i="111"/>
  <c r="H56" i="111"/>
  <c r="G56" i="111"/>
  <c r="F56" i="111"/>
  <c r="E56" i="111"/>
  <c r="D56" i="111"/>
  <c r="C56" i="111"/>
  <c r="V56" i="111" s="1"/>
  <c r="S55" i="111"/>
  <c r="R55" i="111"/>
  <c r="Q55" i="111"/>
  <c r="P55" i="111"/>
  <c r="O55" i="111"/>
  <c r="N55" i="111"/>
  <c r="M55" i="111"/>
  <c r="L55" i="111"/>
  <c r="K55" i="111"/>
  <c r="AD55" i="111" s="1"/>
  <c r="J55" i="111"/>
  <c r="I55" i="111"/>
  <c r="H55" i="111"/>
  <c r="G55" i="111"/>
  <c r="F55" i="111"/>
  <c r="E55" i="111"/>
  <c r="D55" i="111"/>
  <c r="C55" i="111"/>
  <c r="V55" i="111" s="1"/>
  <c r="S54" i="111"/>
  <c r="R54" i="111"/>
  <c r="Q54" i="111"/>
  <c r="P54" i="111"/>
  <c r="O54" i="111"/>
  <c r="N54" i="111"/>
  <c r="M54" i="111"/>
  <c r="L54" i="111"/>
  <c r="K54" i="111"/>
  <c r="AD54" i="111" s="1"/>
  <c r="J54" i="111"/>
  <c r="I54" i="111"/>
  <c r="H54" i="111"/>
  <c r="G54" i="111"/>
  <c r="F54" i="111"/>
  <c r="E54" i="111"/>
  <c r="D54" i="111"/>
  <c r="C54" i="111"/>
  <c r="V54" i="111" s="1"/>
  <c r="S53" i="111"/>
  <c r="R53" i="111"/>
  <c r="Q53" i="111"/>
  <c r="P53" i="111"/>
  <c r="O53" i="111"/>
  <c r="N53" i="111"/>
  <c r="M53" i="111"/>
  <c r="L53" i="111"/>
  <c r="K53" i="111"/>
  <c r="AD53" i="111" s="1"/>
  <c r="J53" i="111"/>
  <c r="I53" i="111"/>
  <c r="H53" i="111"/>
  <c r="G53" i="111"/>
  <c r="F53" i="111"/>
  <c r="E53" i="111"/>
  <c r="D53" i="111"/>
  <c r="C53" i="111"/>
  <c r="V53" i="111" s="1"/>
  <c r="S52" i="111"/>
  <c r="R52" i="111"/>
  <c r="Q52" i="111"/>
  <c r="P52" i="111"/>
  <c r="O52" i="111"/>
  <c r="N52" i="111"/>
  <c r="M52" i="111"/>
  <c r="L52" i="111"/>
  <c r="K52" i="111"/>
  <c r="AD52" i="111" s="1"/>
  <c r="J52" i="111"/>
  <c r="I52" i="111"/>
  <c r="H52" i="111"/>
  <c r="G52" i="111"/>
  <c r="F52" i="111"/>
  <c r="E52" i="111"/>
  <c r="D52" i="111"/>
  <c r="C52" i="111"/>
  <c r="V52" i="111" s="1"/>
  <c r="S51" i="111"/>
  <c r="R51" i="111"/>
  <c r="Q51" i="111"/>
  <c r="P51" i="111"/>
  <c r="O51" i="111"/>
  <c r="N51" i="111"/>
  <c r="M51" i="111"/>
  <c r="L51" i="111"/>
  <c r="K51" i="111"/>
  <c r="J51" i="111"/>
  <c r="I51" i="111"/>
  <c r="H51" i="111"/>
  <c r="G51" i="111"/>
  <c r="F51" i="111"/>
  <c r="E51" i="111"/>
  <c r="D51" i="111"/>
  <c r="C51" i="111"/>
  <c r="V51" i="111" s="1"/>
  <c r="S50" i="111"/>
  <c r="R50" i="111"/>
  <c r="Q50" i="111"/>
  <c r="P50" i="111"/>
  <c r="O50" i="111"/>
  <c r="N50" i="111"/>
  <c r="M50" i="111"/>
  <c r="L50" i="111"/>
  <c r="K50" i="111"/>
  <c r="AD50" i="111" s="1"/>
  <c r="J50" i="111"/>
  <c r="I50" i="111"/>
  <c r="H50" i="111"/>
  <c r="G50" i="111"/>
  <c r="F50" i="111"/>
  <c r="E50" i="111"/>
  <c r="D50" i="111"/>
  <c r="C50" i="111"/>
  <c r="V50" i="111" s="1"/>
  <c r="S49" i="111"/>
  <c r="R49" i="111"/>
  <c r="Q49" i="111"/>
  <c r="P49" i="111"/>
  <c r="O49" i="111"/>
  <c r="N49" i="111"/>
  <c r="M49" i="111"/>
  <c r="L49" i="111"/>
  <c r="K49" i="111"/>
  <c r="AD49" i="111" s="1"/>
  <c r="J49" i="111"/>
  <c r="I49" i="111"/>
  <c r="H49" i="111"/>
  <c r="G49" i="111"/>
  <c r="F49" i="111"/>
  <c r="E49" i="111"/>
  <c r="D49" i="111"/>
  <c r="C49" i="111"/>
  <c r="V49" i="111" s="1"/>
  <c r="S48" i="111"/>
  <c r="R48" i="111"/>
  <c r="Q48" i="111"/>
  <c r="P48" i="111"/>
  <c r="O48" i="111"/>
  <c r="N48" i="111"/>
  <c r="M48" i="111"/>
  <c r="L48" i="111"/>
  <c r="K48" i="111"/>
  <c r="AD48" i="111" s="1"/>
  <c r="J48" i="111"/>
  <c r="I48" i="111"/>
  <c r="H48" i="111"/>
  <c r="G48" i="111"/>
  <c r="F48" i="111"/>
  <c r="E48" i="111"/>
  <c r="D48" i="111"/>
  <c r="C48" i="111"/>
  <c r="V48" i="111" s="1"/>
  <c r="S47" i="111"/>
  <c r="R47" i="111"/>
  <c r="Q47" i="111"/>
  <c r="P47" i="111"/>
  <c r="O47" i="111"/>
  <c r="N47" i="111"/>
  <c r="M47" i="111"/>
  <c r="L47" i="111"/>
  <c r="K47" i="111"/>
  <c r="AD47" i="111" s="1"/>
  <c r="J47" i="111"/>
  <c r="I47" i="111"/>
  <c r="H47" i="111"/>
  <c r="G47" i="111"/>
  <c r="F47" i="111"/>
  <c r="E47" i="111"/>
  <c r="D47" i="111"/>
  <c r="C47" i="111"/>
  <c r="V47" i="111" s="1"/>
  <c r="S46" i="111"/>
  <c r="R46" i="111"/>
  <c r="Q46" i="111"/>
  <c r="P46" i="111"/>
  <c r="O46" i="111"/>
  <c r="N46" i="111"/>
  <c r="M46" i="111"/>
  <c r="L46" i="111"/>
  <c r="K46" i="111"/>
  <c r="AD46" i="111" s="1"/>
  <c r="J46" i="111"/>
  <c r="I46" i="111"/>
  <c r="H46" i="111"/>
  <c r="G46" i="111"/>
  <c r="F46" i="111"/>
  <c r="E46" i="111"/>
  <c r="D46" i="111"/>
  <c r="C46" i="111"/>
  <c r="V46" i="111" s="1"/>
  <c r="S41" i="111"/>
  <c r="R41" i="111"/>
  <c r="Q41" i="111"/>
  <c r="P41" i="111"/>
  <c r="O41" i="111"/>
  <c r="N41" i="111"/>
  <c r="M41" i="111"/>
  <c r="L41" i="111"/>
  <c r="K41" i="111"/>
  <c r="AD41" i="111" s="1"/>
  <c r="J41" i="111"/>
  <c r="I41" i="111"/>
  <c r="H41" i="111"/>
  <c r="G41" i="111"/>
  <c r="F41" i="111"/>
  <c r="E41" i="111"/>
  <c r="D41" i="111"/>
  <c r="C41" i="111"/>
  <c r="V41" i="111" s="1"/>
  <c r="S40" i="111"/>
  <c r="R40" i="111"/>
  <c r="Q40" i="111"/>
  <c r="P40" i="111"/>
  <c r="O40" i="111"/>
  <c r="N40" i="111"/>
  <c r="M40" i="111"/>
  <c r="L40" i="111"/>
  <c r="K40" i="111"/>
  <c r="AD40" i="111" s="1"/>
  <c r="J40" i="111"/>
  <c r="I40" i="111"/>
  <c r="H40" i="111"/>
  <c r="G40" i="111"/>
  <c r="F40" i="111"/>
  <c r="E40" i="111"/>
  <c r="D40" i="111"/>
  <c r="C40" i="111"/>
  <c r="V40" i="111" s="1"/>
  <c r="S39" i="111"/>
  <c r="R39" i="111"/>
  <c r="Q39" i="111"/>
  <c r="P39" i="111"/>
  <c r="O39" i="111"/>
  <c r="N39" i="111"/>
  <c r="M39" i="111"/>
  <c r="L39" i="111"/>
  <c r="K39" i="111"/>
  <c r="J39" i="111"/>
  <c r="I39" i="111"/>
  <c r="H39" i="111"/>
  <c r="G39" i="111"/>
  <c r="F39" i="111"/>
  <c r="E39" i="111"/>
  <c r="D39" i="111"/>
  <c r="C39" i="111"/>
  <c r="S38" i="111"/>
  <c r="R38" i="111"/>
  <c r="Q38" i="111"/>
  <c r="P38" i="111"/>
  <c r="O38" i="111"/>
  <c r="N38" i="111"/>
  <c r="M38" i="111"/>
  <c r="L38" i="111"/>
  <c r="K38" i="111"/>
  <c r="J38" i="111"/>
  <c r="I38" i="111"/>
  <c r="H38" i="111"/>
  <c r="G38" i="111"/>
  <c r="F38" i="111"/>
  <c r="E38" i="111"/>
  <c r="D38" i="111"/>
  <c r="C38" i="111"/>
  <c r="V38" i="111" s="1"/>
  <c r="S37" i="111"/>
  <c r="R37" i="111"/>
  <c r="Q37" i="111"/>
  <c r="P37" i="111"/>
  <c r="O37" i="111"/>
  <c r="N37" i="111"/>
  <c r="M37" i="111"/>
  <c r="L37" i="111"/>
  <c r="K37" i="111"/>
  <c r="AD37" i="111" s="1"/>
  <c r="J37" i="111"/>
  <c r="I37" i="111"/>
  <c r="H37" i="111"/>
  <c r="G37" i="111"/>
  <c r="F37" i="111"/>
  <c r="E37" i="111"/>
  <c r="D37" i="111"/>
  <c r="C37" i="111"/>
  <c r="V37" i="111" s="1"/>
  <c r="S36" i="111"/>
  <c r="R36" i="111"/>
  <c r="Q36" i="111"/>
  <c r="P36" i="111"/>
  <c r="O36" i="111"/>
  <c r="N36" i="111"/>
  <c r="M36" i="111"/>
  <c r="L36" i="111"/>
  <c r="K36" i="111"/>
  <c r="AD36" i="111" s="1"/>
  <c r="J36" i="111"/>
  <c r="I36" i="111"/>
  <c r="H36" i="111"/>
  <c r="G36" i="111"/>
  <c r="F36" i="111"/>
  <c r="E36" i="111"/>
  <c r="D36" i="111"/>
  <c r="C36" i="111"/>
  <c r="V36" i="111" s="1"/>
  <c r="S35" i="111"/>
  <c r="R35" i="111"/>
  <c r="Q35" i="111"/>
  <c r="P35" i="111"/>
  <c r="O35" i="111"/>
  <c r="N35" i="111"/>
  <c r="M35" i="111"/>
  <c r="L35" i="111"/>
  <c r="K35" i="111"/>
  <c r="J35" i="111"/>
  <c r="I35" i="111"/>
  <c r="H35" i="111"/>
  <c r="G35" i="111"/>
  <c r="F35" i="111"/>
  <c r="E35" i="111"/>
  <c r="D35" i="111"/>
  <c r="C35" i="111"/>
  <c r="V35" i="111" s="1"/>
  <c r="S34" i="111"/>
  <c r="R34" i="111"/>
  <c r="Q34" i="111"/>
  <c r="P34" i="111"/>
  <c r="O34" i="111"/>
  <c r="N34" i="111"/>
  <c r="M34" i="111"/>
  <c r="L34" i="111"/>
  <c r="K34" i="111"/>
  <c r="J34" i="111"/>
  <c r="I34" i="111"/>
  <c r="H34" i="111"/>
  <c r="G34" i="111"/>
  <c r="F34" i="111"/>
  <c r="E34" i="111"/>
  <c r="D34" i="111"/>
  <c r="C34" i="111"/>
  <c r="V34" i="111" s="1"/>
  <c r="S33" i="111"/>
  <c r="R33" i="111"/>
  <c r="Q33" i="111"/>
  <c r="P33" i="111"/>
  <c r="O33" i="111"/>
  <c r="N33" i="111"/>
  <c r="M33" i="111"/>
  <c r="L33" i="111"/>
  <c r="K33" i="111"/>
  <c r="AD33" i="111" s="1"/>
  <c r="J33" i="111"/>
  <c r="I33" i="111"/>
  <c r="H33" i="111"/>
  <c r="G33" i="111"/>
  <c r="F33" i="111"/>
  <c r="E33" i="111"/>
  <c r="D33" i="111"/>
  <c r="C33" i="111"/>
  <c r="V33" i="111" s="1"/>
  <c r="S32" i="111"/>
  <c r="R32" i="111"/>
  <c r="Q32" i="111"/>
  <c r="P32" i="111"/>
  <c r="O32" i="111"/>
  <c r="N32" i="111"/>
  <c r="M32" i="111"/>
  <c r="L32" i="111"/>
  <c r="K32" i="111"/>
  <c r="J32" i="111"/>
  <c r="I32" i="111"/>
  <c r="H32" i="111"/>
  <c r="G32" i="111"/>
  <c r="F32" i="111"/>
  <c r="E32" i="111"/>
  <c r="D32" i="111"/>
  <c r="C32" i="111"/>
  <c r="S31" i="111"/>
  <c r="R31" i="111"/>
  <c r="Q31" i="111"/>
  <c r="P31" i="111"/>
  <c r="O31" i="111"/>
  <c r="N31" i="111"/>
  <c r="M31" i="111"/>
  <c r="L31" i="111"/>
  <c r="K31" i="111"/>
  <c r="J31" i="111"/>
  <c r="I31" i="111"/>
  <c r="H31" i="111"/>
  <c r="G31" i="111"/>
  <c r="F31" i="111"/>
  <c r="E31" i="111"/>
  <c r="D31" i="111"/>
  <c r="C31" i="111"/>
  <c r="S30" i="111"/>
  <c r="R30" i="111"/>
  <c r="Q30" i="111"/>
  <c r="P30" i="111"/>
  <c r="O30" i="111"/>
  <c r="N30" i="111"/>
  <c r="M30" i="111"/>
  <c r="L30" i="111"/>
  <c r="K30" i="111"/>
  <c r="AD30" i="111" s="1"/>
  <c r="J30" i="111"/>
  <c r="I30" i="111"/>
  <c r="H30" i="111"/>
  <c r="G30" i="111"/>
  <c r="F30" i="111"/>
  <c r="E30" i="111"/>
  <c r="D30" i="111"/>
  <c r="C30" i="111"/>
  <c r="V30" i="111" s="1"/>
  <c r="S29" i="111"/>
  <c r="R29" i="111"/>
  <c r="Q29" i="111"/>
  <c r="P29" i="111"/>
  <c r="O29" i="111"/>
  <c r="N29" i="111"/>
  <c r="M29" i="111"/>
  <c r="L29" i="111"/>
  <c r="K29" i="111"/>
  <c r="AD29" i="111" s="1"/>
  <c r="J29" i="111"/>
  <c r="I29" i="111"/>
  <c r="H29" i="111"/>
  <c r="G29" i="111"/>
  <c r="F29" i="111"/>
  <c r="E29" i="111"/>
  <c r="D29" i="111"/>
  <c r="C29" i="111"/>
  <c r="V29" i="111" s="1"/>
  <c r="S28" i="111"/>
  <c r="R28" i="111"/>
  <c r="Q28" i="111"/>
  <c r="P28" i="111"/>
  <c r="O28" i="111"/>
  <c r="N28" i="111"/>
  <c r="M28" i="111"/>
  <c r="L28" i="111"/>
  <c r="K28" i="111"/>
  <c r="AD28" i="111" s="1"/>
  <c r="J28" i="111"/>
  <c r="I28" i="111"/>
  <c r="H28" i="111"/>
  <c r="G28" i="111"/>
  <c r="F28" i="111"/>
  <c r="E28" i="111"/>
  <c r="D28" i="111"/>
  <c r="C28" i="111"/>
  <c r="V28" i="111" s="1"/>
  <c r="S27" i="111"/>
  <c r="R27" i="111"/>
  <c r="Q27" i="111"/>
  <c r="P27" i="111"/>
  <c r="O27" i="111"/>
  <c r="N27" i="111"/>
  <c r="M27" i="111"/>
  <c r="L27" i="111"/>
  <c r="K27" i="111"/>
  <c r="AD27" i="111" s="1"/>
  <c r="J27" i="111"/>
  <c r="I27" i="111"/>
  <c r="H27" i="111"/>
  <c r="G27" i="111"/>
  <c r="F27" i="111"/>
  <c r="E27" i="111"/>
  <c r="D27" i="111"/>
  <c r="C27" i="111"/>
  <c r="V27" i="111" s="1"/>
  <c r="S26" i="111"/>
  <c r="R26" i="111"/>
  <c r="Q26" i="111"/>
  <c r="P26" i="111"/>
  <c r="O26" i="111"/>
  <c r="N26" i="111"/>
  <c r="M26" i="111"/>
  <c r="L26" i="111"/>
  <c r="K26" i="111"/>
  <c r="AD26" i="111" s="1"/>
  <c r="J26" i="111"/>
  <c r="I26" i="111"/>
  <c r="H26" i="111"/>
  <c r="G26" i="111"/>
  <c r="F26" i="111"/>
  <c r="E26" i="111"/>
  <c r="D26" i="111"/>
  <c r="C26" i="111"/>
  <c r="V26" i="111" s="1"/>
  <c r="S21" i="111"/>
  <c r="R21" i="111"/>
  <c r="Q21" i="111"/>
  <c r="P21" i="111"/>
  <c r="O21" i="111"/>
  <c r="N21" i="111"/>
  <c r="M21" i="111"/>
  <c r="L21" i="111"/>
  <c r="K21" i="111"/>
  <c r="AD21" i="111" s="1"/>
  <c r="J21" i="111"/>
  <c r="I21" i="111"/>
  <c r="H21" i="111"/>
  <c r="G21" i="111"/>
  <c r="F21" i="111"/>
  <c r="E21" i="111"/>
  <c r="D21" i="111"/>
  <c r="C21" i="111"/>
  <c r="V21" i="111" s="1"/>
  <c r="S20" i="111"/>
  <c r="R20" i="111"/>
  <c r="Q20" i="111"/>
  <c r="P20" i="111"/>
  <c r="O20" i="111"/>
  <c r="N20" i="111"/>
  <c r="M20" i="111"/>
  <c r="L20" i="111"/>
  <c r="K20" i="111"/>
  <c r="J20" i="111"/>
  <c r="I20" i="111"/>
  <c r="H20" i="111"/>
  <c r="G20" i="111"/>
  <c r="F20" i="111"/>
  <c r="E20" i="111"/>
  <c r="D20" i="111"/>
  <c r="C20" i="111"/>
  <c r="S19" i="111"/>
  <c r="R19" i="111"/>
  <c r="Q19" i="111"/>
  <c r="P19" i="111"/>
  <c r="O19" i="111"/>
  <c r="N19" i="111"/>
  <c r="M19" i="111"/>
  <c r="L19" i="111"/>
  <c r="K19" i="111"/>
  <c r="AD19" i="111" s="1"/>
  <c r="J19" i="111"/>
  <c r="I19" i="111"/>
  <c r="H19" i="111"/>
  <c r="G19" i="111"/>
  <c r="F19" i="111"/>
  <c r="E19" i="111"/>
  <c r="D19" i="111"/>
  <c r="C19" i="111"/>
  <c r="V19" i="111" s="1"/>
  <c r="S18" i="111"/>
  <c r="R18" i="111"/>
  <c r="Q18" i="111"/>
  <c r="P18" i="111"/>
  <c r="O18" i="111"/>
  <c r="N18" i="111"/>
  <c r="M18" i="111"/>
  <c r="L18" i="111"/>
  <c r="K18" i="111"/>
  <c r="AD18" i="111" s="1"/>
  <c r="J18" i="111"/>
  <c r="I18" i="111"/>
  <c r="H18" i="111"/>
  <c r="G18" i="111"/>
  <c r="F18" i="111"/>
  <c r="E18" i="111"/>
  <c r="D18" i="111"/>
  <c r="C18" i="111"/>
  <c r="V18" i="111" s="1"/>
  <c r="AD17" i="111"/>
  <c r="V17" i="111"/>
  <c r="AK17" i="111"/>
  <c r="AJ17" i="111"/>
  <c r="AC17" i="111"/>
  <c r="AB17" i="111"/>
  <c r="Y17" i="111"/>
  <c r="S16" i="111"/>
  <c r="R16" i="111"/>
  <c r="Q16" i="111"/>
  <c r="P16" i="111"/>
  <c r="O16" i="111"/>
  <c r="N16" i="111"/>
  <c r="M16" i="111"/>
  <c r="L16" i="111"/>
  <c r="K16" i="111"/>
  <c r="AD16" i="111" s="1"/>
  <c r="J16" i="111"/>
  <c r="I16" i="111"/>
  <c r="H16" i="111"/>
  <c r="G16" i="111"/>
  <c r="F16" i="111"/>
  <c r="E16" i="111"/>
  <c r="D16" i="111"/>
  <c r="C16" i="111"/>
  <c r="V16" i="111" s="1"/>
  <c r="S15" i="111"/>
  <c r="R15" i="111"/>
  <c r="Q15" i="111"/>
  <c r="P15" i="111"/>
  <c r="O15" i="111"/>
  <c r="N15" i="111"/>
  <c r="M15" i="111"/>
  <c r="L15" i="111"/>
  <c r="K15" i="111"/>
  <c r="J15" i="111"/>
  <c r="I15" i="111"/>
  <c r="H15" i="111"/>
  <c r="G15" i="111"/>
  <c r="F15" i="111"/>
  <c r="E15" i="111"/>
  <c r="D15" i="111"/>
  <c r="C15" i="111"/>
  <c r="V15" i="111" s="1"/>
  <c r="S14" i="111"/>
  <c r="R14" i="111"/>
  <c r="Q14" i="111"/>
  <c r="P14" i="111"/>
  <c r="O14" i="111"/>
  <c r="N14" i="111"/>
  <c r="M14" i="111"/>
  <c r="L14" i="111"/>
  <c r="K14" i="111"/>
  <c r="J14" i="111"/>
  <c r="I14" i="111"/>
  <c r="H14" i="111"/>
  <c r="G14" i="111"/>
  <c r="F14" i="111"/>
  <c r="E14" i="111"/>
  <c r="D14" i="111"/>
  <c r="C14" i="111"/>
  <c r="S13" i="111"/>
  <c r="R13" i="111"/>
  <c r="Q13" i="111"/>
  <c r="P13" i="111"/>
  <c r="O13" i="111"/>
  <c r="N13" i="111"/>
  <c r="M13" i="111"/>
  <c r="L13" i="111"/>
  <c r="K13" i="111"/>
  <c r="AD13" i="111" s="1"/>
  <c r="J13" i="111"/>
  <c r="I13" i="111"/>
  <c r="H13" i="111"/>
  <c r="G13" i="111"/>
  <c r="F13" i="111"/>
  <c r="E13" i="111"/>
  <c r="D13" i="111"/>
  <c r="C13" i="111"/>
  <c r="V13" i="111" s="1"/>
  <c r="S12" i="111"/>
  <c r="R12" i="111"/>
  <c r="Q12" i="111"/>
  <c r="P12" i="111"/>
  <c r="O12" i="111"/>
  <c r="N12" i="111"/>
  <c r="M12" i="111"/>
  <c r="L12" i="111"/>
  <c r="K12" i="111"/>
  <c r="AD12" i="111" s="1"/>
  <c r="J12" i="111"/>
  <c r="I12" i="111"/>
  <c r="H12" i="111"/>
  <c r="G12" i="111"/>
  <c r="F12" i="111"/>
  <c r="E12" i="111"/>
  <c r="D12" i="111"/>
  <c r="C12" i="111"/>
  <c r="V12" i="111" s="1"/>
  <c r="S11" i="111"/>
  <c r="R11" i="111"/>
  <c r="Q11" i="111"/>
  <c r="P11" i="111"/>
  <c r="O11" i="111"/>
  <c r="N11" i="111"/>
  <c r="M11" i="111"/>
  <c r="L11" i="111"/>
  <c r="K11" i="111"/>
  <c r="AD11" i="111" s="1"/>
  <c r="J11" i="111"/>
  <c r="I11" i="111"/>
  <c r="H11" i="111"/>
  <c r="G11" i="111"/>
  <c r="F11" i="111"/>
  <c r="E11" i="111"/>
  <c r="D11" i="111"/>
  <c r="C11" i="111"/>
  <c r="V11" i="111" s="1"/>
  <c r="S10" i="111"/>
  <c r="R10" i="111"/>
  <c r="Q10" i="111"/>
  <c r="P10" i="111"/>
  <c r="O10" i="111"/>
  <c r="N10" i="111"/>
  <c r="M10" i="111"/>
  <c r="L10" i="111"/>
  <c r="K10" i="111"/>
  <c r="AD10" i="111" s="1"/>
  <c r="J10" i="111"/>
  <c r="I10" i="111"/>
  <c r="H10" i="111"/>
  <c r="G10" i="111"/>
  <c r="F10" i="111"/>
  <c r="E10" i="111"/>
  <c r="D10" i="111"/>
  <c r="C10" i="111"/>
  <c r="V10" i="111" s="1"/>
  <c r="S9" i="111"/>
  <c r="R9" i="111"/>
  <c r="Q9" i="111"/>
  <c r="P9" i="111"/>
  <c r="O9" i="111"/>
  <c r="N9" i="111"/>
  <c r="M9" i="111"/>
  <c r="L9" i="111"/>
  <c r="K9" i="111"/>
  <c r="J9" i="111"/>
  <c r="I9" i="111"/>
  <c r="H9" i="111"/>
  <c r="G9" i="111"/>
  <c r="F9" i="111"/>
  <c r="E9" i="111"/>
  <c r="D9" i="111"/>
  <c r="C9" i="111"/>
  <c r="S8" i="111"/>
  <c r="R8" i="111"/>
  <c r="Q8" i="111"/>
  <c r="P8" i="111"/>
  <c r="O8" i="111"/>
  <c r="N8" i="111"/>
  <c r="M8" i="111"/>
  <c r="L8" i="111"/>
  <c r="K8" i="111"/>
  <c r="J8" i="111"/>
  <c r="I8" i="111"/>
  <c r="H8" i="111"/>
  <c r="G8" i="111"/>
  <c r="F8" i="111"/>
  <c r="E8" i="111"/>
  <c r="D8" i="111"/>
  <c r="C8" i="111"/>
  <c r="S7" i="111"/>
  <c r="R7" i="111"/>
  <c r="Q7" i="111"/>
  <c r="P7" i="111"/>
  <c r="O7" i="111"/>
  <c r="N7" i="111"/>
  <c r="M7" i="111"/>
  <c r="L7" i="111"/>
  <c r="K7" i="111"/>
  <c r="J7" i="111"/>
  <c r="I7" i="111"/>
  <c r="H7" i="111"/>
  <c r="G7" i="111"/>
  <c r="F7" i="111"/>
  <c r="E7" i="111"/>
  <c r="D7" i="111"/>
  <c r="C7" i="111"/>
  <c r="V7" i="111" s="1"/>
  <c r="S6" i="111"/>
  <c r="R6" i="111"/>
  <c r="Q6" i="111"/>
  <c r="P6" i="111"/>
  <c r="O6" i="111"/>
  <c r="N6" i="111"/>
  <c r="M6" i="111"/>
  <c r="L6" i="111"/>
  <c r="K6" i="111"/>
  <c r="AD6" i="111" s="1"/>
  <c r="J6" i="111"/>
  <c r="I6" i="111"/>
  <c r="H6" i="111"/>
  <c r="G6" i="111"/>
  <c r="F6" i="111"/>
  <c r="E6" i="111"/>
  <c r="D6" i="111"/>
  <c r="C6" i="111"/>
  <c r="V6" i="111" s="1"/>
  <c r="T213" i="100"/>
  <c r="S213" i="100"/>
  <c r="R213" i="100"/>
  <c r="Q213" i="100"/>
  <c r="P213" i="100"/>
  <c r="O213" i="100"/>
  <c r="N213" i="100"/>
  <c r="M213" i="100"/>
  <c r="L213" i="100"/>
  <c r="K213" i="100"/>
  <c r="J213" i="100"/>
  <c r="I213" i="100"/>
  <c r="H213" i="100"/>
  <c r="G213" i="100"/>
  <c r="F213" i="100"/>
  <c r="E213" i="100"/>
  <c r="D213" i="100"/>
  <c r="T212" i="100"/>
  <c r="S212" i="100"/>
  <c r="R212" i="100"/>
  <c r="Q212" i="100"/>
  <c r="P212" i="100"/>
  <c r="O212" i="100"/>
  <c r="N212" i="100"/>
  <c r="M212" i="100"/>
  <c r="L212" i="100"/>
  <c r="K212" i="100"/>
  <c r="J212" i="100"/>
  <c r="I212" i="100"/>
  <c r="H212" i="100"/>
  <c r="G212" i="100"/>
  <c r="F212" i="100"/>
  <c r="E212" i="100"/>
  <c r="D212" i="100"/>
  <c r="T211" i="100"/>
  <c r="S211" i="100"/>
  <c r="R211" i="100"/>
  <c r="Q211" i="100"/>
  <c r="P211" i="100"/>
  <c r="O211" i="100"/>
  <c r="N211" i="100"/>
  <c r="M211" i="100"/>
  <c r="L211" i="100"/>
  <c r="K211" i="100"/>
  <c r="J211" i="100"/>
  <c r="I211" i="100"/>
  <c r="H211" i="100"/>
  <c r="G211" i="100"/>
  <c r="F211" i="100"/>
  <c r="E211" i="100"/>
  <c r="D211" i="100"/>
  <c r="T210" i="100"/>
  <c r="S210" i="100"/>
  <c r="R210" i="100"/>
  <c r="Q210" i="100"/>
  <c r="P210" i="100"/>
  <c r="O210" i="100"/>
  <c r="N210" i="100"/>
  <c r="M210" i="100"/>
  <c r="L210" i="100"/>
  <c r="K210" i="100"/>
  <c r="J210" i="100"/>
  <c r="I210" i="100"/>
  <c r="H210" i="100"/>
  <c r="G210" i="100"/>
  <c r="F210" i="100"/>
  <c r="E210" i="100"/>
  <c r="D210" i="100"/>
  <c r="T209" i="100"/>
  <c r="S209" i="100"/>
  <c r="R209" i="100"/>
  <c r="Q209" i="100"/>
  <c r="P209" i="100"/>
  <c r="O209" i="100"/>
  <c r="N209" i="100"/>
  <c r="M209" i="100"/>
  <c r="L209" i="100"/>
  <c r="K209" i="100"/>
  <c r="J209" i="100"/>
  <c r="I209" i="100"/>
  <c r="H209" i="100"/>
  <c r="G209" i="100"/>
  <c r="F209" i="100"/>
  <c r="E209" i="100"/>
  <c r="D209" i="100"/>
  <c r="T208" i="100"/>
  <c r="S208" i="100"/>
  <c r="R208" i="100"/>
  <c r="Q208" i="100"/>
  <c r="P208" i="100"/>
  <c r="O208" i="100"/>
  <c r="N208" i="100"/>
  <c r="M208" i="100"/>
  <c r="L208" i="100"/>
  <c r="K208" i="100"/>
  <c r="J208" i="100"/>
  <c r="I208" i="100"/>
  <c r="H208" i="100"/>
  <c r="G208" i="100"/>
  <c r="F208" i="100"/>
  <c r="E208" i="100"/>
  <c r="D208" i="100"/>
  <c r="T207" i="100"/>
  <c r="S207" i="100"/>
  <c r="R207" i="100"/>
  <c r="Q207" i="100"/>
  <c r="P207" i="100"/>
  <c r="O207" i="100"/>
  <c r="N207" i="100"/>
  <c r="M207" i="100"/>
  <c r="L207" i="100"/>
  <c r="K207" i="100"/>
  <c r="J207" i="100"/>
  <c r="I207" i="100"/>
  <c r="H207" i="100"/>
  <c r="G207" i="100"/>
  <c r="F207" i="100"/>
  <c r="E207" i="100"/>
  <c r="D207" i="100"/>
  <c r="T206" i="100"/>
  <c r="S206" i="100"/>
  <c r="R206" i="100"/>
  <c r="Q206" i="100"/>
  <c r="P206" i="100"/>
  <c r="O206" i="100"/>
  <c r="N206" i="100"/>
  <c r="M206" i="100"/>
  <c r="L206" i="100"/>
  <c r="K206" i="100"/>
  <c r="J206" i="100"/>
  <c r="I206" i="100"/>
  <c r="H206" i="100"/>
  <c r="G206" i="100"/>
  <c r="F206" i="100"/>
  <c r="E206" i="100"/>
  <c r="D206" i="100"/>
  <c r="T205" i="100"/>
  <c r="S205" i="100"/>
  <c r="R205" i="100"/>
  <c r="Q205" i="100"/>
  <c r="P205" i="100"/>
  <c r="O205" i="100"/>
  <c r="N205" i="100"/>
  <c r="M205" i="100"/>
  <c r="L205" i="100"/>
  <c r="K205" i="100"/>
  <c r="J205" i="100"/>
  <c r="I205" i="100"/>
  <c r="H205" i="100"/>
  <c r="G205" i="100"/>
  <c r="F205" i="100"/>
  <c r="E205" i="100"/>
  <c r="D205" i="100"/>
  <c r="T204" i="100"/>
  <c r="S204" i="100"/>
  <c r="R204" i="100"/>
  <c r="Q204" i="100"/>
  <c r="P204" i="100"/>
  <c r="O204" i="100"/>
  <c r="N204" i="100"/>
  <c r="M204" i="100"/>
  <c r="L204" i="100"/>
  <c r="K204" i="100"/>
  <c r="J204" i="100"/>
  <c r="I204" i="100"/>
  <c r="H204" i="100"/>
  <c r="G204" i="100"/>
  <c r="F204" i="100"/>
  <c r="E204" i="100"/>
  <c r="D204" i="100"/>
  <c r="T203" i="100"/>
  <c r="S203" i="100"/>
  <c r="R203" i="100"/>
  <c r="Q203" i="100"/>
  <c r="P203" i="100"/>
  <c r="O203" i="100"/>
  <c r="N203" i="100"/>
  <c r="M203" i="100"/>
  <c r="L203" i="100"/>
  <c r="K203" i="100"/>
  <c r="J203" i="100"/>
  <c r="I203" i="100"/>
  <c r="H203" i="100"/>
  <c r="G203" i="100"/>
  <c r="F203" i="100"/>
  <c r="E203" i="100"/>
  <c r="D203" i="100"/>
  <c r="T202" i="100"/>
  <c r="S202" i="100"/>
  <c r="R202" i="100"/>
  <c r="Q202" i="100"/>
  <c r="P202" i="100"/>
  <c r="O202" i="100"/>
  <c r="N202" i="100"/>
  <c r="M202" i="100"/>
  <c r="L202" i="100"/>
  <c r="K202" i="100"/>
  <c r="J202" i="100"/>
  <c r="I202" i="100"/>
  <c r="H202" i="100"/>
  <c r="G202" i="100"/>
  <c r="F202" i="100"/>
  <c r="E202" i="100"/>
  <c r="D202" i="100"/>
  <c r="T201" i="100"/>
  <c r="S201" i="100"/>
  <c r="R201" i="100"/>
  <c r="Q201" i="100"/>
  <c r="P201" i="100"/>
  <c r="O201" i="100"/>
  <c r="N201" i="100"/>
  <c r="M201" i="100"/>
  <c r="L201" i="100"/>
  <c r="K201" i="100"/>
  <c r="J201" i="100"/>
  <c r="I201" i="100"/>
  <c r="H201" i="100"/>
  <c r="G201" i="100"/>
  <c r="F201" i="100"/>
  <c r="E201" i="100"/>
  <c r="D201" i="100"/>
  <c r="T200" i="100"/>
  <c r="S200" i="100"/>
  <c r="R200" i="100"/>
  <c r="Q200" i="100"/>
  <c r="P200" i="100"/>
  <c r="O200" i="100"/>
  <c r="N200" i="100"/>
  <c r="M200" i="100"/>
  <c r="L200" i="100"/>
  <c r="K200" i="100"/>
  <c r="J200" i="100"/>
  <c r="I200" i="100"/>
  <c r="H200" i="100"/>
  <c r="G200" i="100"/>
  <c r="F200" i="100"/>
  <c r="E200" i="100"/>
  <c r="D200" i="100"/>
  <c r="T199" i="100"/>
  <c r="S199" i="100"/>
  <c r="R199" i="100"/>
  <c r="Q199" i="100"/>
  <c r="P199" i="100"/>
  <c r="O199" i="100"/>
  <c r="N199" i="100"/>
  <c r="M199" i="100"/>
  <c r="L199" i="100"/>
  <c r="K199" i="100"/>
  <c r="J199" i="100"/>
  <c r="I199" i="100"/>
  <c r="H199" i="100"/>
  <c r="G199" i="100"/>
  <c r="F199" i="100"/>
  <c r="E199" i="100"/>
  <c r="D199" i="100"/>
  <c r="T198" i="100"/>
  <c r="S198" i="100"/>
  <c r="R198" i="100"/>
  <c r="Q198" i="100"/>
  <c r="P198" i="100"/>
  <c r="O198" i="100"/>
  <c r="N198" i="100"/>
  <c r="M198" i="100"/>
  <c r="L198" i="100"/>
  <c r="K198" i="100"/>
  <c r="J198" i="100"/>
  <c r="I198" i="100"/>
  <c r="H198" i="100"/>
  <c r="G198" i="100"/>
  <c r="F198" i="100"/>
  <c r="E198" i="100"/>
  <c r="D198" i="100"/>
  <c r="T197" i="100"/>
  <c r="S197" i="100"/>
  <c r="R197" i="100"/>
  <c r="Q197" i="100"/>
  <c r="P197" i="100"/>
  <c r="O197" i="100"/>
  <c r="N197" i="100"/>
  <c r="M197" i="100"/>
  <c r="L197" i="100"/>
  <c r="K197" i="100"/>
  <c r="J197" i="100"/>
  <c r="I197" i="100"/>
  <c r="H197" i="100"/>
  <c r="G197" i="100"/>
  <c r="F197" i="100"/>
  <c r="E197" i="100"/>
  <c r="D197" i="100"/>
  <c r="T195" i="100"/>
  <c r="E195" i="100"/>
  <c r="D195" i="100"/>
  <c r="T194" i="100"/>
  <c r="E194" i="100"/>
  <c r="D194" i="100"/>
  <c r="T193" i="100"/>
  <c r="S193" i="100"/>
  <c r="R193" i="100"/>
  <c r="Q193" i="100"/>
  <c r="S195" i="100" s="1"/>
  <c r="P193" i="100"/>
  <c r="R194" i="100" s="1"/>
  <c r="O193" i="100"/>
  <c r="Q195" i="100" s="1"/>
  <c r="N193" i="100"/>
  <c r="P194" i="100" s="1"/>
  <c r="M193" i="100"/>
  <c r="O195" i="100" s="1"/>
  <c r="L193" i="100"/>
  <c r="N194" i="100" s="1"/>
  <c r="K193" i="100"/>
  <c r="M194" i="100" s="1"/>
  <c r="J193" i="100"/>
  <c r="L194" i="100" s="1"/>
  <c r="I193" i="100"/>
  <c r="K195" i="100" s="1"/>
  <c r="H193" i="100"/>
  <c r="J194" i="100" s="1"/>
  <c r="G193" i="100"/>
  <c r="I195" i="100" s="1"/>
  <c r="F193" i="100"/>
  <c r="H195" i="100" s="1"/>
  <c r="E193" i="100"/>
  <c r="D193" i="100"/>
  <c r="F195" i="100" s="1"/>
  <c r="T192" i="100"/>
  <c r="S192" i="100"/>
  <c r="R192" i="100"/>
  <c r="Q192" i="100"/>
  <c r="P192" i="100"/>
  <c r="O192" i="100"/>
  <c r="N192" i="100"/>
  <c r="M192" i="100"/>
  <c r="L192" i="100"/>
  <c r="K192" i="100"/>
  <c r="J192" i="100"/>
  <c r="I192" i="100"/>
  <c r="H192" i="100"/>
  <c r="G192" i="100"/>
  <c r="F192" i="100"/>
  <c r="E192" i="100"/>
  <c r="D192" i="100"/>
  <c r="T191" i="100"/>
  <c r="E191" i="100"/>
  <c r="D191" i="100"/>
  <c r="T190" i="100"/>
  <c r="E190" i="100"/>
  <c r="D190" i="100"/>
  <c r="T189" i="100"/>
  <c r="S189" i="100"/>
  <c r="R189" i="100"/>
  <c r="Q189" i="100"/>
  <c r="S190" i="100" s="1"/>
  <c r="P189" i="100"/>
  <c r="R190" i="100" s="1"/>
  <c r="O189" i="100"/>
  <c r="Q190" i="100" s="1"/>
  <c r="N189" i="100"/>
  <c r="P190" i="100" s="1"/>
  <c r="M189" i="100"/>
  <c r="L189" i="100"/>
  <c r="N190" i="100" s="1"/>
  <c r="K189" i="100"/>
  <c r="M191" i="100" s="1"/>
  <c r="J189" i="100"/>
  <c r="L191" i="100" s="1"/>
  <c r="I189" i="100"/>
  <c r="K191" i="100" s="1"/>
  <c r="H189" i="100"/>
  <c r="J191" i="100" s="1"/>
  <c r="G189" i="100"/>
  <c r="I190" i="100" s="1"/>
  <c r="F189" i="100"/>
  <c r="H190" i="100" s="1"/>
  <c r="E189" i="100"/>
  <c r="D189" i="100"/>
  <c r="F190" i="100" s="1"/>
  <c r="T188" i="100"/>
  <c r="S188" i="100"/>
  <c r="R188" i="100"/>
  <c r="Q188" i="100"/>
  <c r="P188" i="100"/>
  <c r="O188" i="100"/>
  <c r="N188" i="100"/>
  <c r="M188" i="100"/>
  <c r="L188" i="100"/>
  <c r="K188" i="100"/>
  <c r="J188" i="100"/>
  <c r="I188" i="100"/>
  <c r="H188" i="100"/>
  <c r="G188" i="100"/>
  <c r="F188" i="100"/>
  <c r="E188" i="100"/>
  <c r="D188" i="100"/>
  <c r="T187" i="100"/>
  <c r="S187" i="100"/>
  <c r="R187" i="100"/>
  <c r="Q187" i="100"/>
  <c r="P187" i="100"/>
  <c r="O187" i="100"/>
  <c r="N187" i="100"/>
  <c r="M187" i="100"/>
  <c r="L187" i="100"/>
  <c r="K187" i="100"/>
  <c r="J187" i="100"/>
  <c r="I187" i="100"/>
  <c r="H187" i="100"/>
  <c r="G187" i="100"/>
  <c r="F187" i="100"/>
  <c r="E187" i="100"/>
  <c r="D187" i="100"/>
  <c r="T186" i="100"/>
  <c r="S186" i="100"/>
  <c r="R186" i="100"/>
  <c r="Q186" i="100"/>
  <c r="P186" i="100"/>
  <c r="O186" i="100"/>
  <c r="N186" i="100"/>
  <c r="M186" i="100"/>
  <c r="L186" i="100"/>
  <c r="K186" i="100"/>
  <c r="J186" i="100"/>
  <c r="I186" i="100"/>
  <c r="H186" i="100"/>
  <c r="G186" i="100"/>
  <c r="F186" i="100"/>
  <c r="E186" i="100"/>
  <c r="D186" i="100"/>
  <c r="T185" i="100"/>
  <c r="S185" i="100"/>
  <c r="R185" i="100"/>
  <c r="Q185" i="100"/>
  <c r="P185" i="100"/>
  <c r="O185" i="100"/>
  <c r="N185" i="100"/>
  <c r="M185" i="100"/>
  <c r="L185" i="100"/>
  <c r="K185" i="100"/>
  <c r="J185" i="100"/>
  <c r="I185" i="100"/>
  <c r="H185" i="100"/>
  <c r="G185" i="100"/>
  <c r="F185" i="100"/>
  <c r="E185" i="100"/>
  <c r="D185" i="100"/>
  <c r="T184" i="100"/>
  <c r="S184" i="100"/>
  <c r="R184" i="100"/>
  <c r="Q184" i="100"/>
  <c r="P184" i="100"/>
  <c r="O184" i="100"/>
  <c r="N184" i="100"/>
  <c r="M184" i="100"/>
  <c r="L184" i="100"/>
  <c r="K184" i="100"/>
  <c r="J184" i="100"/>
  <c r="I184" i="100"/>
  <c r="H184" i="100"/>
  <c r="G184" i="100"/>
  <c r="F184" i="100"/>
  <c r="E184" i="100"/>
  <c r="D184" i="100"/>
  <c r="T183" i="100"/>
  <c r="S183" i="100"/>
  <c r="R183" i="100"/>
  <c r="Q183" i="100"/>
  <c r="P183" i="100"/>
  <c r="O183" i="100"/>
  <c r="N183" i="100"/>
  <c r="M183" i="100"/>
  <c r="L183" i="100"/>
  <c r="K183" i="100"/>
  <c r="J183" i="100"/>
  <c r="I183" i="100"/>
  <c r="H183" i="100"/>
  <c r="G183" i="100"/>
  <c r="F183" i="100"/>
  <c r="E183" i="100"/>
  <c r="D183" i="100"/>
  <c r="T182" i="100"/>
  <c r="S182" i="100"/>
  <c r="R182" i="100"/>
  <c r="Q182" i="100"/>
  <c r="P182" i="100"/>
  <c r="O182" i="100"/>
  <c r="N182" i="100"/>
  <c r="M182" i="100"/>
  <c r="L182" i="100"/>
  <c r="K182" i="100"/>
  <c r="J182" i="100"/>
  <c r="I182" i="100"/>
  <c r="H182" i="100"/>
  <c r="G182" i="100"/>
  <c r="F182" i="100"/>
  <c r="E182" i="100"/>
  <c r="D182" i="100"/>
  <c r="T181" i="100"/>
  <c r="S181" i="100"/>
  <c r="R181" i="100"/>
  <c r="Q181" i="100"/>
  <c r="P181" i="100"/>
  <c r="O181" i="100"/>
  <c r="N181" i="100"/>
  <c r="M181" i="100"/>
  <c r="L181" i="100"/>
  <c r="K181" i="100"/>
  <c r="J181" i="100"/>
  <c r="I181" i="100"/>
  <c r="H181" i="100"/>
  <c r="G181" i="100"/>
  <c r="F181" i="100"/>
  <c r="E181" i="100"/>
  <c r="D181" i="100"/>
  <c r="T180" i="100"/>
  <c r="S180" i="100"/>
  <c r="R180" i="100"/>
  <c r="Q180" i="100"/>
  <c r="P180" i="100"/>
  <c r="O180" i="100"/>
  <c r="N180" i="100"/>
  <c r="M180" i="100"/>
  <c r="L180" i="100"/>
  <c r="K180" i="100"/>
  <c r="J180" i="100"/>
  <c r="I180" i="100"/>
  <c r="H180" i="100"/>
  <c r="G180" i="100"/>
  <c r="F180" i="100"/>
  <c r="E180" i="100"/>
  <c r="D180" i="100"/>
  <c r="T179" i="100"/>
  <c r="S179" i="100"/>
  <c r="R179" i="100"/>
  <c r="Q179" i="100"/>
  <c r="P179" i="100"/>
  <c r="O179" i="100"/>
  <c r="N179" i="100"/>
  <c r="M179" i="100"/>
  <c r="L179" i="100"/>
  <c r="K179" i="100"/>
  <c r="J179" i="100"/>
  <c r="I179" i="100"/>
  <c r="H179" i="100"/>
  <c r="G179" i="100"/>
  <c r="F179" i="100"/>
  <c r="E179" i="100"/>
  <c r="D179" i="100"/>
  <c r="T178" i="100"/>
  <c r="S178" i="100"/>
  <c r="R178" i="100"/>
  <c r="Q178" i="100"/>
  <c r="P178" i="100"/>
  <c r="O178" i="100"/>
  <c r="N178" i="100"/>
  <c r="M178" i="100"/>
  <c r="L178" i="100"/>
  <c r="K178" i="100"/>
  <c r="J178" i="100"/>
  <c r="I178" i="100"/>
  <c r="H178" i="100"/>
  <c r="G178" i="100"/>
  <c r="F178" i="100"/>
  <c r="E178" i="100"/>
  <c r="D178" i="100"/>
  <c r="T177" i="100"/>
  <c r="S177" i="100"/>
  <c r="R177" i="100"/>
  <c r="Q177" i="100"/>
  <c r="P177" i="100"/>
  <c r="O177" i="100"/>
  <c r="N177" i="100"/>
  <c r="M177" i="100"/>
  <c r="L177" i="100"/>
  <c r="K177" i="100"/>
  <c r="J177" i="100"/>
  <c r="I177" i="100"/>
  <c r="H177" i="100"/>
  <c r="G177" i="100"/>
  <c r="F177" i="100"/>
  <c r="E177" i="100"/>
  <c r="D177" i="100"/>
  <c r="T176" i="100"/>
  <c r="S176" i="100"/>
  <c r="R176" i="100"/>
  <c r="Q176" i="100"/>
  <c r="P176" i="100"/>
  <c r="O176" i="100"/>
  <c r="N176" i="100"/>
  <c r="M176" i="100"/>
  <c r="L176" i="100"/>
  <c r="K176" i="100"/>
  <c r="J176" i="100"/>
  <c r="I176" i="100"/>
  <c r="H176" i="100"/>
  <c r="G176" i="100"/>
  <c r="F176" i="100"/>
  <c r="E176" i="100"/>
  <c r="D176" i="100"/>
  <c r="T175" i="100"/>
  <c r="S175" i="100"/>
  <c r="R175" i="100"/>
  <c r="Q175" i="100"/>
  <c r="P175" i="100"/>
  <c r="O175" i="100"/>
  <c r="N175" i="100"/>
  <c r="M175" i="100"/>
  <c r="L175" i="100"/>
  <c r="K175" i="100"/>
  <c r="J175" i="100"/>
  <c r="I175" i="100"/>
  <c r="H175" i="100"/>
  <c r="G175" i="100"/>
  <c r="F175" i="100"/>
  <c r="E175" i="100"/>
  <c r="D175" i="100"/>
  <c r="T174" i="100"/>
  <c r="S174" i="100"/>
  <c r="R174" i="100"/>
  <c r="Q174" i="100"/>
  <c r="P174" i="100"/>
  <c r="O174" i="100"/>
  <c r="N174" i="100"/>
  <c r="M174" i="100"/>
  <c r="L174" i="100"/>
  <c r="K174" i="100"/>
  <c r="J174" i="100"/>
  <c r="I174" i="100"/>
  <c r="H174" i="100"/>
  <c r="G174" i="100"/>
  <c r="F174" i="100"/>
  <c r="E174" i="100"/>
  <c r="D174" i="100"/>
  <c r="T173" i="100"/>
  <c r="S173" i="100"/>
  <c r="R173" i="100"/>
  <c r="Q173" i="100"/>
  <c r="P173" i="100"/>
  <c r="O173" i="100"/>
  <c r="N173" i="100"/>
  <c r="M173" i="100"/>
  <c r="L173" i="100"/>
  <c r="K173" i="100"/>
  <c r="J173" i="100"/>
  <c r="I173" i="100"/>
  <c r="H173" i="100"/>
  <c r="G173" i="100"/>
  <c r="F173" i="100"/>
  <c r="E173" i="100"/>
  <c r="D173" i="100"/>
  <c r="T172" i="100"/>
  <c r="S172" i="100"/>
  <c r="R172" i="100"/>
  <c r="Q172" i="100"/>
  <c r="P172" i="100"/>
  <c r="O172" i="100"/>
  <c r="N172" i="100"/>
  <c r="M172" i="100"/>
  <c r="L172" i="100"/>
  <c r="K172" i="100"/>
  <c r="J172" i="100"/>
  <c r="I172" i="100"/>
  <c r="H172" i="100"/>
  <c r="G172" i="100"/>
  <c r="F172" i="100"/>
  <c r="E172" i="100"/>
  <c r="D172" i="100"/>
  <c r="T171" i="100"/>
  <c r="S171" i="100"/>
  <c r="R171" i="100"/>
  <c r="Q171" i="100"/>
  <c r="P171" i="100"/>
  <c r="O171" i="100"/>
  <c r="N171" i="100"/>
  <c r="M171" i="100"/>
  <c r="L171" i="100"/>
  <c r="K171" i="100"/>
  <c r="J171" i="100"/>
  <c r="I171" i="100"/>
  <c r="H171" i="100"/>
  <c r="G171" i="100"/>
  <c r="F171" i="100"/>
  <c r="E171" i="100"/>
  <c r="D171" i="100"/>
  <c r="T170" i="100"/>
  <c r="S170" i="100"/>
  <c r="R170" i="100"/>
  <c r="Q170" i="100"/>
  <c r="P170" i="100"/>
  <c r="O170" i="100"/>
  <c r="N170" i="100"/>
  <c r="M170" i="100"/>
  <c r="L170" i="100"/>
  <c r="K170" i="100"/>
  <c r="J170" i="100"/>
  <c r="I170" i="100"/>
  <c r="H170" i="100"/>
  <c r="G170" i="100"/>
  <c r="F170" i="100"/>
  <c r="E170" i="100"/>
  <c r="D170" i="100"/>
  <c r="T169" i="100"/>
  <c r="S169" i="100"/>
  <c r="R169" i="100"/>
  <c r="Q169" i="100"/>
  <c r="P169" i="100"/>
  <c r="O169" i="100"/>
  <c r="N169" i="100"/>
  <c r="M169" i="100"/>
  <c r="L169" i="100"/>
  <c r="K169" i="100"/>
  <c r="J169" i="100"/>
  <c r="I169" i="100"/>
  <c r="H169" i="100"/>
  <c r="G169" i="100"/>
  <c r="F169" i="100"/>
  <c r="E169" i="100"/>
  <c r="D169" i="100"/>
  <c r="T168" i="100"/>
  <c r="S168" i="100"/>
  <c r="R168" i="100"/>
  <c r="Q168" i="100"/>
  <c r="P168" i="100"/>
  <c r="O168" i="100"/>
  <c r="N168" i="100"/>
  <c r="M168" i="100"/>
  <c r="L168" i="100"/>
  <c r="K168" i="100"/>
  <c r="J168" i="100"/>
  <c r="I168" i="100"/>
  <c r="H168" i="100"/>
  <c r="G168" i="100"/>
  <c r="F168" i="100"/>
  <c r="E168" i="100"/>
  <c r="D168" i="100"/>
  <c r="T167" i="100"/>
  <c r="S167" i="100"/>
  <c r="R167" i="100"/>
  <c r="Q167" i="100"/>
  <c r="P167" i="100"/>
  <c r="O167" i="100"/>
  <c r="N167" i="100"/>
  <c r="M167" i="100"/>
  <c r="L167" i="100"/>
  <c r="K167" i="100"/>
  <c r="J167" i="100"/>
  <c r="I167" i="100"/>
  <c r="H167" i="100"/>
  <c r="G167" i="100"/>
  <c r="F167" i="100"/>
  <c r="E167" i="100"/>
  <c r="D167" i="100"/>
  <c r="T166" i="100"/>
  <c r="S166" i="100"/>
  <c r="R166" i="100"/>
  <c r="Q166" i="100"/>
  <c r="P166" i="100"/>
  <c r="O166" i="100"/>
  <c r="N166" i="100"/>
  <c r="M166" i="100"/>
  <c r="L166" i="100"/>
  <c r="K166" i="100"/>
  <c r="J166" i="100"/>
  <c r="I166" i="100"/>
  <c r="H166" i="100"/>
  <c r="G166" i="100"/>
  <c r="F166" i="100"/>
  <c r="E166" i="100"/>
  <c r="D166" i="100"/>
  <c r="T165" i="100"/>
  <c r="S165" i="100"/>
  <c r="R165" i="100"/>
  <c r="Q165" i="100"/>
  <c r="P165" i="100"/>
  <c r="O165" i="100"/>
  <c r="N165" i="100"/>
  <c r="M165" i="100"/>
  <c r="L165" i="100"/>
  <c r="K165" i="100"/>
  <c r="J165" i="100"/>
  <c r="I165" i="100"/>
  <c r="H165" i="100"/>
  <c r="G165" i="100"/>
  <c r="F165" i="100"/>
  <c r="E165" i="100"/>
  <c r="D165" i="100"/>
  <c r="T164" i="100"/>
  <c r="S164" i="100"/>
  <c r="R164" i="100"/>
  <c r="Q164" i="100"/>
  <c r="P164" i="100"/>
  <c r="O164" i="100"/>
  <c r="N164" i="100"/>
  <c r="M164" i="100"/>
  <c r="L164" i="100"/>
  <c r="K164" i="100"/>
  <c r="J164" i="100"/>
  <c r="I164" i="100"/>
  <c r="H164" i="100"/>
  <c r="G164" i="100"/>
  <c r="F164" i="100"/>
  <c r="E164" i="100"/>
  <c r="D164" i="100"/>
  <c r="T163" i="100"/>
  <c r="S163" i="100"/>
  <c r="R163" i="100"/>
  <c r="Q163" i="100"/>
  <c r="P163" i="100"/>
  <c r="O163" i="100"/>
  <c r="N163" i="100"/>
  <c r="M163" i="100"/>
  <c r="L163" i="100"/>
  <c r="K163" i="100"/>
  <c r="J163" i="100"/>
  <c r="I163" i="100"/>
  <c r="H163" i="100"/>
  <c r="G163" i="100"/>
  <c r="F163" i="100"/>
  <c r="E163" i="100"/>
  <c r="D163" i="100"/>
  <c r="T162" i="100"/>
  <c r="S162" i="100"/>
  <c r="R162" i="100"/>
  <c r="Q162" i="100"/>
  <c r="P162" i="100"/>
  <c r="O162" i="100"/>
  <c r="N162" i="100"/>
  <c r="M162" i="100"/>
  <c r="L162" i="100"/>
  <c r="K162" i="100"/>
  <c r="J162" i="100"/>
  <c r="I162" i="100"/>
  <c r="H162" i="100"/>
  <c r="G162" i="100"/>
  <c r="F162" i="100"/>
  <c r="E162" i="100"/>
  <c r="D162" i="100"/>
  <c r="T161" i="100"/>
  <c r="S161" i="100"/>
  <c r="R161" i="100"/>
  <c r="Q161" i="100"/>
  <c r="P161" i="100"/>
  <c r="O161" i="100"/>
  <c r="N161" i="100"/>
  <c r="M161" i="100"/>
  <c r="L161" i="100"/>
  <c r="K161" i="100"/>
  <c r="J161" i="100"/>
  <c r="I161" i="100"/>
  <c r="H161" i="100"/>
  <c r="G161" i="100"/>
  <c r="F161" i="100"/>
  <c r="E161" i="100"/>
  <c r="D161" i="100"/>
  <c r="T160" i="100"/>
  <c r="S160" i="100"/>
  <c r="R160" i="100"/>
  <c r="Q160" i="100"/>
  <c r="P160" i="100"/>
  <c r="O160" i="100"/>
  <c r="N160" i="100"/>
  <c r="M160" i="100"/>
  <c r="L160" i="100"/>
  <c r="K160" i="100"/>
  <c r="J160" i="100"/>
  <c r="I160" i="100"/>
  <c r="H160" i="100"/>
  <c r="G160" i="100"/>
  <c r="F160" i="100"/>
  <c r="E160" i="100"/>
  <c r="D160" i="100"/>
  <c r="T159" i="100"/>
  <c r="S159" i="100"/>
  <c r="R159" i="100"/>
  <c r="Q159" i="100"/>
  <c r="P159" i="100"/>
  <c r="O159" i="100"/>
  <c r="N159" i="100"/>
  <c r="M159" i="100"/>
  <c r="L159" i="100"/>
  <c r="K159" i="100"/>
  <c r="J159" i="100"/>
  <c r="I159" i="100"/>
  <c r="H159" i="100"/>
  <c r="G159" i="100"/>
  <c r="F159" i="100"/>
  <c r="E159" i="100"/>
  <c r="D159" i="100"/>
  <c r="T158" i="100"/>
  <c r="S158" i="100"/>
  <c r="R158" i="100"/>
  <c r="Q158" i="100"/>
  <c r="P158" i="100"/>
  <c r="O158" i="100"/>
  <c r="N158" i="100"/>
  <c r="M158" i="100"/>
  <c r="L158" i="100"/>
  <c r="K158" i="100"/>
  <c r="J158" i="100"/>
  <c r="I158" i="100"/>
  <c r="H158" i="100"/>
  <c r="G158" i="100"/>
  <c r="F158" i="100"/>
  <c r="E158" i="100"/>
  <c r="D158" i="100"/>
  <c r="T157" i="100"/>
  <c r="S157" i="100"/>
  <c r="R157" i="100"/>
  <c r="Q157" i="100"/>
  <c r="P157" i="100"/>
  <c r="O157" i="100"/>
  <c r="N157" i="100"/>
  <c r="M157" i="100"/>
  <c r="L157" i="100"/>
  <c r="K157" i="100"/>
  <c r="J157" i="100"/>
  <c r="I157" i="100"/>
  <c r="H157" i="100"/>
  <c r="G157" i="100"/>
  <c r="F157" i="100"/>
  <c r="E157" i="100"/>
  <c r="D157" i="100"/>
  <c r="T156" i="100"/>
  <c r="S156" i="100"/>
  <c r="R156" i="100"/>
  <c r="Q156" i="100"/>
  <c r="P156" i="100"/>
  <c r="O156" i="100"/>
  <c r="N156" i="100"/>
  <c r="M156" i="100"/>
  <c r="L156" i="100"/>
  <c r="K156" i="100"/>
  <c r="J156" i="100"/>
  <c r="I156" i="100"/>
  <c r="H156" i="100"/>
  <c r="G156" i="100"/>
  <c r="F156" i="100"/>
  <c r="E156" i="100"/>
  <c r="D156" i="100"/>
  <c r="T155" i="100"/>
  <c r="S155" i="100"/>
  <c r="R155" i="100"/>
  <c r="Q155" i="100"/>
  <c r="P155" i="100"/>
  <c r="O155" i="100"/>
  <c r="N155" i="100"/>
  <c r="M155" i="100"/>
  <c r="L155" i="100"/>
  <c r="K155" i="100"/>
  <c r="J155" i="100"/>
  <c r="I155" i="100"/>
  <c r="H155" i="100"/>
  <c r="G155" i="100"/>
  <c r="F155" i="100"/>
  <c r="E155" i="100"/>
  <c r="D155" i="100"/>
  <c r="T154" i="100"/>
  <c r="S154" i="100"/>
  <c r="R154" i="100"/>
  <c r="Q154" i="100"/>
  <c r="P154" i="100"/>
  <c r="O154" i="100"/>
  <c r="N154" i="100"/>
  <c r="M154" i="100"/>
  <c r="L154" i="100"/>
  <c r="K154" i="100"/>
  <c r="J154" i="100"/>
  <c r="I154" i="100"/>
  <c r="H154" i="100"/>
  <c r="G154" i="100"/>
  <c r="F154" i="100"/>
  <c r="E154" i="100"/>
  <c r="D154" i="100"/>
  <c r="T153" i="100"/>
  <c r="S153" i="100"/>
  <c r="R153" i="100"/>
  <c r="Q153" i="100"/>
  <c r="P153" i="100"/>
  <c r="O153" i="100"/>
  <c r="N153" i="100"/>
  <c r="M153" i="100"/>
  <c r="L153" i="100"/>
  <c r="K153" i="100"/>
  <c r="J153" i="100"/>
  <c r="I153" i="100"/>
  <c r="H153" i="100"/>
  <c r="G153" i="100"/>
  <c r="F153" i="100"/>
  <c r="E153" i="100"/>
  <c r="D153" i="100"/>
  <c r="T152" i="100"/>
  <c r="S152" i="100"/>
  <c r="R152" i="100"/>
  <c r="Q152" i="100"/>
  <c r="P152" i="100"/>
  <c r="O152" i="100"/>
  <c r="N152" i="100"/>
  <c r="M152" i="100"/>
  <c r="L152" i="100"/>
  <c r="K152" i="100"/>
  <c r="J152" i="100"/>
  <c r="I152" i="100"/>
  <c r="H152" i="100"/>
  <c r="G152" i="100"/>
  <c r="F152" i="100"/>
  <c r="E152" i="100"/>
  <c r="D152" i="100"/>
  <c r="T151" i="100"/>
  <c r="S151" i="100"/>
  <c r="R151" i="100"/>
  <c r="Q151" i="100"/>
  <c r="P151" i="100"/>
  <c r="O151" i="100"/>
  <c r="N151" i="100"/>
  <c r="M151" i="100"/>
  <c r="L151" i="100"/>
  <c r="K151" i="100"/>
  <c r="J151" i="100"/>
  <c r="I151" i="100"/>
  <c r="H151" i="100"/>
  <c r="G151" i="100"/>
  <c r="F151" i="100"/>
  <c r="E151" i="100"/>
  <c r="D151" i="100"/>
  <c r="T150" i="100"/>
  <c r="S150" i="100"/>
  <c r="R150" i="100"/>
  <c r="Q150" i="100"/>
  <c r="P150" i="100"/>
  <c r="O150" i="100"/>
  <c r="N150" i="100"/>
  <c r="M150" i="100"/>
  <c r="L150" i="100"/>
  <c r="K150" i="100"/>
  <c r="J150" i="100"/>
  <c r="I150" i="100"/>
  <c r="H150" i="100"/>
  <c r="G150" i="100"/>
  <c r="F150" i="100"/>
  <c r="E150" i="100"/>
  <c r="D150" i="100"/>
  <c r="T149" i="100"/>
  <c r="S149" i="100"/>
  <c r="R149" i="100"/>
  <c r="Q149" i="100"/>
  <c r="P149" i="100"/>
  <c r="O149" i="100"/>
  <c r="N149" i="100"/>
  <c r="M149" i="100"/>
  <c r="L149" i="100"/>
  <c r="K149" i="100"/>
  <c r="J149" i="100"/>
  <c r="I149" i="100"/>
  <c r="H149" i="100"/>
  <c r="G149" i="100"/>
  <c r="F149" i="100"/>
  <c r="E149" i="100"/>
  <c r="D149" i="100"/>
  <c r="T144" i="100"/>
  <c r="S144" i="100" a="1"/>
  <c r="S144" i="100" s="1"/>
  <c r="R144" i="100" a="1"/>
  <c r="R144" i="100" s="1"/>
  <c r="Q144" i="100" a="1"/>
  <c r="Q144" i="100" s="1"/>
  <c r="P144" i="100" a="1"/>
  <c r="P144" i="100" s="1"/>
  <c r="O144" i="100" a="1"/>
  <c r="O144" i="100" s="1"/>
  <c r="N144" i="100" a="1"/>
  <c r="N144" i="100" s="1"/>
  <c r="M144" i="100" a="1"/>
  <c r="M144" i="100" s="1"/>
  <c r="L144" i="100" a="1"/>
  <c r="L144" i="100" s="1"/>
  <c r="K144" i="100" a="1"/>
  <c r="K144" i="100" s="1"/>
  <c r="J144" i="100" a="1"/>
  <c r="J144" i="100" s="1"/>
  <c r="I144" i="100" a="1"/>
  <c r="I144" i="100" s="1"/>
  <c r="H144" i="100" a="1"/>
  <c r="H144" i="100" s="1"/>
  <c r="G144" i="100" a="1"/>
  <c r="G144" i="100" s="1"/>
  <c r="F144" i="100" a="1"/>
  <c r="F144" i="100" s="1"/>
  <c r="E144" i="100" a="1"/>
  <c r="E144" i="100" s="1"/>
  <c r="D144" i="100" a="1"/>
  <c r="D144" i="100" s="1"/>
  <c r="T143" i="100"/>
  <c r="S143" i="100"/>
  <c r="R143" i="100"/>
  <c r="Q143" i="100"/>
  <c r="P143" i="100"/>
  <c r="O143" i="100"/>
  <c r="N143" i="100"/>
  <c r="M143" i="100"/>
  <c r="L143" i="100"/>
  <c r="K143" i="100"/>
  <c r="J143" i="100"/>
  <c r="I143" i="100"/>
  <c r="H143" i="100"/>
  <c r="G143" i="100"/>
  <c r="F143" i="100"/>
  <c r="E143" i="100"/>
  <c r="D143" i="100"/>
  <c r="T142" i="100"/>
  <c r="S142" i="100" a="1"/>
  <c r="S142" i="100" s="1"/>
  <c r="R142" i="100" a="1"/>
  <c r="R142" i="100" s="1"/>
  <c r="Q142" i="100" a="1"/>
  <c r="Q142" i="100" s="1"/>
  <c r="P142" i="100" a="1"/>
  <c r="P142" i="100" s="1"/>
  <c r="O142" i="100" a="1"/>
  <c r="O142" i="100" s="1"/>
  <c r="N142" i="100" a="1"/>
  <c r="N142" i="100" s="1"/>
  <c r="M142" i="100" a="1"/>
  <c r="M142" i="100" s="1"/>
  <c r="L142" i="100" a="1"/>
  <c r="L142" i="100" s="1"/>
  <c r="K142" i="100" a="1"/>
  <c r="K142" i="100" s="1"/>
  <c r="J142" i="100" a="1"/>
  <c r="J142" i="100" s="1"/>
  <c r="I142" i="100" a="1"/>
  <c r="I142" i="100" s="1"/>
  <c r="H142" i="100" a="1"/>
  <c r="H142" i="100" s="1"/>
  <c r="G142" i="100" a="1"/>
  <c r="G142" i="100" s="1"/>
  <c r="F142" i="100" a="1"/>
  <c r="F142" i="100" s="1"/>
  <c r="E142" i="100" a="1"/>
  <c r="E142" i="100" s="1"/>
  <c r="D142" i="100" a="1"/>
  <c r="D142" i="100" s="1"/>
  <c r="T141" i="100"/>
  <c r="S141" i="100" a="1"/>
  <c r="S141" i="100" s="1"/>
  <c r="R141" i="100" a="1"/>
  <c r="R141" i="100" s="1"/>
  <c r="Q141" i="100" a="1"/>
  <c r="Q141" i="100" s="1"/>
  <c r="P141" i="100" a="1"/>
  <c r="P141" i="100" s="1"/>
  <c r="O141" i="100" a="1"/>
  <c r="O141" i="100" s="1"/>
  <c r="N141" i="100" a="1"/>
  <c r="N141" i="100" s="1"/>
  <c r="M141" i="100" a="1"/>
  <c r="M141" i="100" s="1"/>
  <c r="L141" i="100" a="1"/>
  <c r="L141" i="100" s="1"/>
  <c r="K141" i="100" a="1"/>
  <c r="K141" i="100" s="1"/>
  <c r="J141" i="100" a="1"/>
  <c r="J141" i="100" s="1"/>
  <c r="I141" i="100" a="1"/>
  <c r="I141" i="100" s="1"/>
  <c r="H141" i="100" a="1"/>
  <c r="H141" i="100" s="1"/>
  <c r="G141" i="100" a="1"/>
  <c r="G141" i="100" s="1"/>
  <c r="F141" i="100" a="1"/>
  <c r="F141" i="100" s="1"/>
  <c r="E141" i="100" a="1"/>
  <c r="E141" i="100" s="1"/>
  <c r="D141" i="100" a="1"/>
  <c r="D141" i="100" s="1"/>
  <c r="T140" i="100"/>
  <c r="S140" i="100" a="1"/>
  <c r="S140" i="100" s="1"/>
  <c r="R140" i="100" a="1"/>
  <c r="R140" i="100" s="1"/>
  <c r="Q140" i="100" a="1"/>
  <c r="Q140" i="100" s="1"/>
  <c r="P140" i="100" a="1"/>
  <c r="P140" i="100" s="1"/>
  <c r="O140" i="100" a="1"/>
  <c r="O140" i="100" s="1"/>
  <c r="N140" i="100" a="1"/>
  <c r="N140" i="100" s="1"/>
  <c r="M140" i="100" a="1"/>
  <c r="M140" i="100" s="1"/>
  <c r="L140" i="100" a="1"/>
  <c r="L140" i="100" s="1"/>
  <c r="K140" i="100" a="1"/>
  <c r="K140" i="100" s="1"/>
  <c r="J140" i="100" a="1"/>
  <c r="J140" i="100" s="1"/>
  <c r="I140" i="100" a="1"/>
  <c r="I140" i="100" s="1"/>
  <c r="H140" i="100" a="1"/>
  <c r="H140" i="100" s="1"/>
  <c r="G140" i="100" a="1"/>
  <c r="G140" i="100" s="1"/>
  <c r="F140" i="100" a="1"/>
  <c r="F140" i="100" s="1"/>
  <c r="E140" i="100" a="1"/>
  <c r="E140" i="100" s="1"/>
  <c r="D140" i="100" a="1"/>
  <c r="D140" i="100" s="1"/>
  <c r="T139" i="100" a="1"/>
  <c r="T139" i="100" s="1"/>
  <c r="S139" i="100" a="1"/>
  <c r="S139" i="100" s="1"/>
  <c r="R139" i="100" a="1"/>
  <c r="R139" i="100" s="1"/>
  <c r="Q139" i="100" a="1"/>
  <c r="Q139" i="100" s="1"/>
  <c r="P139" i="100" a="1"/>
  <c r="P139" i="100" s="1"/>
  <c r="O139" i="100" a="1"/>
  <c r="O139" i="100" s="1"/>
  <c r="N139" i="100" a="1"/>
  <c r="N139" i="100" s="1"/>
  <c r="M139" i="100" a="1"/>
  <c r="M139" i="100" s="1"/>
  <c r="L139" i="100" a="1"/>
  <c r="L139" i="100" s="1"/>
  <c r="K139" i="100" a="1"/>
  <c r="K139" i="100" s="1"/>
  <c r="J139" i="100" a="1"/>
  <c r="J139" i="100" s="1"/>
  <c r="I139" i="100" a="1"/>
  <c r="I139" i="100" s="1"/>
  <c r="H139" i="100" a="1"/>
  <c r="H139" i="100" s="1"/>
  <c r="G139" i="100" a="1"/>
  <c r="G139" i="100" s="1"/>
  <c r="F139" i="100" a="1"/>
  <c r="F139" i="100" s="1"/>
  <c r="E139" i="100" a="1"/>
  <c r="E139" i="100" s="1"/>
  <c r="D139" i="100" a="1"/>
  <c r="D139" i="100" s="1"/>
  <c r="T138" i="100" a="1"/>
  <c r="T138" i="100" s="1"/>
  <c r="S138" i="100" a="1"/>
  <c r="S138" i="100" s="1"/>
  <c r="R138" i="100" a="1"/>
  <c r="R138" i="100" s="1"/>
  <c r="Q138" i="100" a="1"/>
  <c r="Q138" i="100" s="1"/>
  <c r="P138" i="100" a="1"/>
  <c r="P138" i="100" s="1"/>
  <c r="O138" i="100" a="1"/>
  <c r="O138" i="100" s="1"/>
  <c r="N138" i="100" a="1"/>
  <c r="N138" i="100" s="1"/>
  <c r="M138" i="100" a="1"/>
  <c r="M138" i="100" s="1"/>
  <c r="L138" i="100" a="1"/>
  <c r="L138" i="100" s="1"/>
  <c r="K138" i="100" a="1"/>
  <c r="K138" i="100" s="1"/>
  <c r="J138" i="100" a="1"/>
  <c r="J138" i="100" s="1"/>
  <c r="I138" i="100" a="1"/>
  <c r="I138" i="100" s="1"/>
  <c r="H138" i="100" a="1"/>
  <c r="H138" i="100" s="1"/>
  <c r="G138" i="100" a="1"/>
  <c r="G138" i="100" s="1"/>
  <c r="F138" i="100" a="1"/>
  <c r="F138" i="100" s="1"/>
  <c r="E138" i="100" a="1"/>
  <c r="E138" i="100" s="1"/>
  <c r="D138" i="100" a="1"/>
  <c r="D138" i="100" s="1"/>
  <c r="T137" i="100" a="1"/>
  <c r="T137" i="100" s="1"/>
  <c r="S137" i="100" a="1"/>
  <c r="S137" i="100" s="1"/>
  <c r="R137" i="100" a="1"/>
  <c r="R137" i="100" s="1"/>
  <c r="Q137" i="100" a="1"/>
  <c r="Q137" i="100" s="1"/>
  <c r="P137" i="100" a="1"/>
  <c r="P137" i="100" s="1"/>
  <c r="O137" i="100" a="1"/>
  <c r="O137" i="100" s="1"/>
  <c r="N137" i="100" a="1"/>
  <c r="N137" i="100" s="1"/>
  <c r="M137" i="100" a="1"/>
  <c r="M137" i="100" s="1"/>
  <c r="L137" i="100" a="1"/>
  <c r="L137" i="100" s="1"/>
  <c r="K137" i="100" a="1"/>
  <c r="K137" i="100" s="1"/>
  <c r="J137" i="100" a="1"/>
  <c r="J137" i="100" s="1"/>
  <c r="I137" i="100" a="1"/>
  <c r="I137" i="100" s="1"/>
  <c r="H137" i="100" a="1"/>
  <c r="H137" i="100" s="1"/>
  <c r="G137" i="100" a="1"/>
  <c r="G137" i="100" s="1"/>
  <c r="F137" i="100" a="1"/>
  <c r="F137" i="100" s="1"/>
  <c r="E137" i="100" a="1"/>
  <c r="E137" i="100" s="1"/>
  <c r="D137" i="100" a="1"/>
  <c r="D137" i="100" s="1"/>
  <c r="T136" i="100" a="1"/>
  <c r="T136" i="100" s="1"/>
  <c r="S136" i="100" a="1"/>
  <c r="S136" i="100" s="1"/>
  <c r="R136" i="100" a="1"/>
  <c r="R136" i="100" s="1"/>
  <c r="Q136" i="100" a="1"/>
  <c r="Q136" i="100" s="1"/>
  <c r="P136" i="100" a="1"/>
  <c r="P136" i="100" s="1"/>
  <c r="O136" i="100" a="1"/>
  <c r="O136" i="100" s="1"/>
  <c r="N136" i="100" a="1"/>
  <c r="N136" i="100" s="1"/>
  <c r="M136" i="100" a="1"/>
  <c r="M136" i="100" s="1"/>
  <c r="L136" i="100" a="1"/>
  <c r="L136" i="100" s="1"/>
  <c r="K136" i="100" a="1"/>
  <c r="K136" i="100" s="1"/>
  <c r="J136" i="100" a="1"/>
  <c r="J136" i="100" s="1"/>
  <c r="I136" i="100" a="1"/>
  <c r="I136" i="100" s="1"/>
  <c r="H136" i="100" a="1"/>
  <c r="H136" i="100" s="1"/>
  <c r="G136" i="100" a="1"/>
  <c r="G136" i="100" s="1"/>
  <c r="F136" i="100" a="1"/>
  <c r="F136" i="100" s="1"/>
  <c r="E136" i="100" a="1"/>
  <c r="E136" i="100" s="1"/>
  <c r="D136" i="100" a="1"/>
  <c r="D136" i="100" s="1"/>
  <c r="T135" i="100" a="1"/>
  <c r="T135" i="100" s="1"/>
  <c r="S135" i="100" a="1"/>
  <c r="S135" i="100" s="1"/>
  <c r="R135" i="100" a="1"/>
  <c r="R135" i="100" s="1"/>
  <c r="Q135" i="100" a="1"/>
  <c r="Q135" i="100" s="1"/>
  <c r="P135" i="100" a="1"/>
  <c r="P135" i="100" s="1"/>
  <c r="O135" i="100" a="1"/>
  <c r="O135" i="100" s="1"/>
  <c r="N135" i="100" a="1"/>
  <c r="N135" i="100" s="1"/>
  <c r="M135" i="100" a="1"/>
  <c r="M135" i="100" s="1"/>
  <c r="L135" i="100" a="1"/>
  <c r="L135" i="100" s="1"/>
  <c r="K135" i="100" a="1"/>
  <c r="K135" i="100" s="1"/>
  <c r="J135" i="100" a="1"/>
  <c r="J135" i="100" s="1"/>
  <c r="I135" i="100" a="1"/>
  <c r="I135" i="100" s="1"/>
  <c r="H135" i="100" a="1"/>
  <c r="H135" i="100" s="1"/>
  <c r="G135" i="100" a="1"/>
  <c r="G135" i="100" s="1"/>
  <c r="F135" i="100" a="1"/>
  <c r="F135" i="100" s="1"/>
  <c r="E135" i="100" a="1"/>
  <c r="E135" i="100" s="1"/>
  <c r="D135" i="100" a="1"/>
  <c r="D135" i="100" s="1"/>
  <c r="T134" i="100" a="1"/>
  <c r="T134" i="100" s="1"/>
  <c r="S134" i="100" a="1"/>
  <c r="S134" i="100" s="1"/>
  <c r="R134" i="100" a="1"/>
  <c r="R134" i="100" s="1"/>
  <c r="Q134" i="100" a="1"/>
  <c r="Q134" i="100" s="1"/>
  <c r="P134" i="100" a="1"/>
  <c r="P134" i="100" s="1"/>
  <c r="O134" i="100" a="1"/>
  <c r="O134" i="100" s="1"/>
  <c r="N134" i="100" a="1"/>
  <c r="N134" i="100" s="1"/>
  <c r="M134" i="100" a="1"/>
  <c r="M134" i="100" s="1"/>
  <c r="L134" i="100" a="1"/>
  <c r="L134" i="100" s="1"/>
  <c r="K134" i="100" a="1"/>
  <c r="K134" i="100" s="1"/>
  <c r="J134" i="100" a="1"/>
  <c r="J134" i="100" s="1"/>
  <c r="I134" i="100" a="1"/>
  <c r="I134" i="100" s="1"/>
  <c r="H134" i="100" a="1"/>
  <c r="H134" i="100" s="1"/>
  <c r="G134" i="100" a="1"/>
  <c r="G134" i="100" s="1"/>
  <c r="F134" i="100" a="1"/>
  <c r="F134" i="100" s="1"/>
  <c r="E134" i="100" a="1"/>
  <c r="E134" i="100" s="1"/>
  <c r="D134" i="100" a="1"/>
  <c r="D134" i="100" s="1"/>
  <c r="T133" i="100" a="1"/>
  <c r="T133" i="100" s="1"/>
  <c r="S133" i="100" a="1"/>
  <c r="S133" i="100" s="1"/>
  <c r="R133" i="100" a="1"/>
  <c r="R133" i="100" s="1"/>
  <c r="Q133" i="100" a="1"/>
  <c r="Q133" i="100" s="1"/>
  <c r="P133" i="100" a="1"/>
  <c r="P133" i="100" s="1"/>
  <c r="O133" i="100" a="1"/>
  <c r="O133" i="100" s="1"/>
  <c r="N133" i="100" a="1"/>
  <c r="N133" i="100" s="1"/>
  <c r="M133" i="100" a="1"/>
  <c r="M133" i="100" s="1"/>
  <c r="L133" i="100" a="1"/>
  <c r="L133" i="100" s="1"/>
  <c r="K133" i="100" a="1"/>
  <c r="K133" i="100" s="1"/>
  <c r="J133" i="100" a="1"/>
  <c r="J133" i="100" s="1"/>
  <c r="I133" i="100" a="1"/>
  <c r="I133" i="100" s="1"/>
  <c r="H133" i="100" a="1"/>
  <c r="H133" i="100" s="1"/>
  <c r="G133" i="100" a="1"/>
  <c r="G133" i="100" s="1"/>
  <c r="F133" i="100" a="1"/>
  <c r="F133" i="100" s="1"/>
  <c r="E133" i="100" a="1"/>
  <c r="E133" i="100" s="1"/>
  <c r="D133" i="100" a="1"/>
  <c r="D133" i="100" s="1"/>
  <c r="T132" i="100" a="1"/>
  <c r="T132" i="100" s="1"/>
  <c r="S132" i="100" a="1"/>
  <c r="S132" i="100" s="1"/>
  <c r="R132" i="100" a="1"/>
  <c r="R132" i="100" s="1"/>
  <c r="Q132" i="100" a="1"/>
  <c r="Q132" i="100" s="1"/>
  <c r="P132" i="100" a="1"/>
  <c r="P132" i="100" s="1"/>
  <c r="O132" i="100" a="1"/>
  <c r="O132" i="100" s="1"/>
  <c r="N132" i="100" a="1"/>
  <c r="N132" i="100" s="1"/>
  <c r="M132" i="100" a="1"/>
  <c r="M132" i="100" s="1"/>
  <c r="L132" i="100" a="1"/>
  <c r="L132" i="100" s="1"/>
  <c r="K132" i="100" a="1"/>
  <c r="K132" i="100" s="1"/>
  <c r="J132" i="100" a="1"/>
  <c r="J132" i="100" s="1"/>
  <c r="I132" i="100" a="1"/>
  <c r="I132" i="100" s="1"/>
  <c r="H132" i="100" a="1"/>
  <c r="H132" i="100" s="1"/>
  <c r="G132" i="100" a="1"/>
  <c r="G132" i="100" s="1"/>
  <c r="F132" i="100" a="1"/>
  <c r="F132" i="100" s="1"/>
  <c r="E132" i="100" a="1"/>
  <c r="E132" i="100" s="1"/>
  <c r="D132" i="100" a="1"/>
  <c r="D132" i="100" s="1"/>
  <c r="T131" i="100" a="1"/>
  <c r="T131" i="100" s="1"/>
  <c r="S131" i="100" a="1"/>
  <c r="S131" i="100" s="1"/>
  <c r="R131" i="100" a="1"/>
  <c r="R131" i="100" s="1"/>
  <c r="Q131" i="100" a="1"/>
  <c r="Q131" i="100" s="1"/>
  <c r="P131" i="100" a="1"/>
  <c r="P131" i="100" s="1"/>
  <c r="O131" i="100" a="1"/>
  <c r="O131" i="100" s="1"/>
  <c r="N131" i="100" a="1"/>
  <c r="N131" i="100" s="1"/>
  <c r="M131" i="100" a="1"/>
  <c r="M131" i="100" s="1"/>
  <c r="L131" i="100" a="1"/>
  <c r="L131" i="100" s="1"/>
  <c r="K131" i="100" a="1"/>
  <c r="K131" i="100" s="1"/>
  <c r="J131" i="100" a="1"/>
  <c r="J131" i="100" s="1"/>
  <c r="I131" i="100" a="1"/>
  <c r="I131" i="100" s="1"/>
  <c r="H131" i="100" a="1"/>
  <c r="H131" i="100" s="1"/>
  <c r="G131" i="100" a="1"/>
  <c r="G131" i="100" s="1"/>
  <c r="F131" i="100" a="1"/>
  <c r="F131" i="100" s="1"/>
  <c r="E131" i="100" a="1"/>
  <c r="E131" i="100" s="1"/>
  <c r="D131" i="100" a="1"/>
  <c r="D131" i="100" s="1"/>
  <c r="T130" i="100" a="1"/>
  <c r="T130" i="100" s="1"/>
  <c r="S130" i="100" a="1"/>
  <c r="S130" i="100" s="1"/>
  <c r="R130" i="100" a="1"/>
  <c r="R130" i="100" s="1"/>
  <c r="Q130" i="100" a="1"/>
  <c r="Q130" i="100" s="1"/>
  <c r="P130" i="100" a="1"/>
  <c r="P130" i="100" s="1"/>
  <c r="O130" i="100" a="1"/>
  <c r="O130" i="100" s="1"/>
  <c r="N130" i="100" a="1"/>
  <c r="N130" i="100" s="1"/>
  <c r="M130" i="100" a="1"/>
  <c r="M130" i="100" s="1"/>
  <c r="L130" i="100" a="1"/>
  <c r="L130" i="100" s="1"/>
  <c r="K130" i="100" a="1"/>
  <c r="K130" i="100" s="1"/>
  <c r="J130" i="100" a="1"/>
  <c r="J130" i="100" s="1"/>
  <c r="I130" i="100" a="1"/>
  <c r="I130" i="100" s="1"/>
  <c r="H130" i="100" a="1"/>
  <c r="H130" i="100" s="1"/>
  <c r="G130" i="100" a="1"/>
  <c r="G130" i="100" s="1"/>
  <c r="F130" i="100" a="1"/>
  <c r="F130" i="100" s="1"/>
  <c r="E130" i="100" a="1"/>
  <c r="E130" i="100" s="1"/>
  <c r="D130" i="100" a="1"/>
  <c r="D130" i="100" s="1"/>
  <c r="T129" i="100" a="1"/>
  <c r="T129" i="100" s="1"/>
  <c r="S129" i="100" a="1"/>
  <c r="S129" i="100" s="1"/>
  <c r="R129" i="100" a="1"/>
  <c r="R129" i="100" s="1"/>
  <c r="Q129" i="100" a="1"/>
  <c r="Q129" i="100" s="1"/>
  <c r="P129" i="100" a="1"/>
  <c r="P129" i="100" s="1"/>
  <c r="O129" i="100" a="1"/>
  <c r="O129" i="100" s="1"/>
  <c r="N129" i="100" a="1"/>
  <c r="N129" i="100" s="1"/>
  <c r="M129" i="100" a="1"/>
  <c r="M129" i="100" s="1"/>
  <c r="L129" i="100" a="1"/>
  <c r="L129" i="100" s="1"/>
  <c r="K129" i="100" a="1"/>
  <c r="K129" i="100" s="1"/>
  <c r="J129" i="100" a="1"/>
  <c r="J129" i="100" s="1"/>
  <c r="I129" i="100" a="1"/>
  <c r="I129" i="100" s="1"/>
  <c r="H129" i="100" a="1"/>
  <c r="H129" i="100" s="1"/>
  <c r="G129" i="100" a="1"/>
  <c r="G129" i="100" s="1"/>
  <c r="F129" i="100" a="1"/>
  <c r="F129" i="100" s="1"/>
  <c r="E129" i="100" a="1"/>
  <c r="E129" i="100" s="1"/>
  <c r="D129" i="100" a="1"/>
  <c r="D129" i="100" s="1"/>
  <c r="T128" i="100" a="1"/>
  <c r="T128" i="100" s="1"/>
  <c r="S128" i="100" a="1"/>
  <c r="S128" i="100" s="1"/>
  <c r="R128" i="100" a="1"/>
  <c r="R128" i="100" s="1"/>
  <c r="Q128" i="100" a="1"/>
  <c r="Q128" i="100" s="1"/>
  <c r="P128" i="100" a="1"/>
  <c r="P128" i="100" s="1"/>
  <c r="O128" i="100" a="1"/>
  <c r="O128" i="100" s="1"/>
  <c r="N128" i="100" a="1"/>
  <c r="N128" i="100" s="1"/>
  <c r="M128" i="100" a="1"/>
  <c r="M128" i="100" s="1"/>
  <c r="L128" i="100" a="1"/>
  <c r="L128" i="100" s="1"/>
  <c r="K128" i="100" a="1"/>
  <c r="K128" i="100" s="1"/>
  <c r="J128" i="100" a="1"/>
  <c r="J128" i="100" s="1"/>
  <c r="I128" i="100" a="1"/>
  <c r="I128" i="100" s="1"/>
  <c r="H128" i="100" a="1"/>
  <c r="H128" i="100" s="1"/>
  <c r="G128" i="100" a="1"/>
  <c r="G128" i="100" s="1"/>
  <c r="F128" i="100" a="1"/>
  <c r="F128" i="100" s="1"/>
  <c r="E128" i="100" a="1"/>
  <c r="E128" i="100" s="1"/>
  <c r="D128" i="100" a="1"/>
  <c r="D128" i="100" s="1"/>
  <c r="T124" i="100"/>
  <c r="S124" i="100" a="1"/>
  <c r="S124" i="100" s="1"/>
  <c r="R124" i="100" a="1"/>
  <c r="R124" i="100" s="1"/>
  <c r="Q124" i="100" a="1"/>
  <c r="Q124" i="100" s="1"/>
  <c r="P124" i="100" a="1"/>
  <c r="P124" i="100" s="1"/>
  <c r="O124" i="100" a="1"/>
  <c r="O124" i="100" s="1"/>
  <c r="AJ126" i="100" s="1"/>
  <c r="N124" i="100" a="1"/>
  <c r="N124" i="100" s="1"/>
  <c r="AI124" i="100" s="1"/>
  <c r="M124" i="100" a="1"/>
  <c r="M124" i="100" s="1"/>
  <c r="L124" i="100" a="1"/>
  <c r="L124" i="100" s="1"/>
  <c r="AG126" i="100" s="1"/>
  <c r="K124" i="100" a="1"/>
  <c r="K124" i="100" s="1"/>
  <c r="J124" i="100" a="1"/>
  <c r="J124" i="100" s="1"/>
  <c r="I124" i="100" a="1"/>
  <c r="I124" i="100" s="1"/>
  <c r="H124" i="100" a="1"/>
  <c r="H124" i="100" s="1"/>
  <c r="AC126" i="100" s="1"/>
  <c r="G124" i="100" a="1"/>
  <c r="G124" i="100" s="1"/>
  <c r="F124" i="100" a="1"/>
  <c r="F124" i="100" s="1"/>
  <c r="AA127" i="100" s="1"/>
  <c r="E124" i="100" a="1"/>
  <c r="E124" i="100" s="1"/>
  <c r="D124" i="100" a="1"/>
  <c r="D124" i="100" s="1"/>
  <c r="Y125" i="100" s="1"/>
  <c r="T123" i="100" a="1"/>
  <c r="T123" i="100" s="1"/>
  <c r="S123" i="100" a="1"/>
  <c r="S123" i="100" s="1"/>
  <c r="R123" i="100" a="1"/>
  <c r="R123" i="100" s="1"/>
  <c r="Q123" i="100" a="1"/>
  <c r="Q123" i="100" s="1"/>
  <c r="P123" i="100" a="1"/>
  <c r="P123" i="100" s="1"/>
  <c r="O123" i="100" a="1"/>
  <c r="O123" i="100" s="1"/>
  <c r="N123" i="100" a="1"/>
  <c r="N123" i="100" s="1"/>
  <c r="M123" i="100" a="1"/>
  <c r="M123" i="100" s="1"/>
  <c r="L123" i="100" a="1"/>
  <c r="L123" i="100" s="1"/>
  <c r="K123" i="100" a="1"/>
  <c r="K123" i="100" s="1"/>
  <c r="J123" i="100" a="1"/>
  <c r="J123" i="100" s="1"/>
  <c r="I123" i="100" a="1"/>
  <c r="I123" i="100" s="1"/>
  <c r="H123" i="100" a="1"/>
  <c r="H123" i="100" s="1"/>
  <c r="G123" i="100" a="1"/>
  <c r="G123" i="100" s="1"/>
  <c r="F123" i="100" a="1"/>
  <c r="F123" i="100" s="1"/>
  <c r="E123" i="100" a="1"/>
  <c r="E123" i="100" s="1"/>
  <c r="D123" i="100" a="1"/>
  <c r="D123" i="100" s="1"/>
  <c r="T122" i="100" a="1"/>
  <c r="T122" i="100" s="1"/>
  <c r="S122" i="100" a="1"/>
  <c r="S122" i="100" s="1"/>
  <c r="R122" i="100" a="1"/>
  <c r="R122" i="100" s="1"/>
  <c r="Q122" i="100" a="1"/>
  <c r="Q122" i="100" s="1"/>
  <c r="P122" i="100" a="1"/>
  <c r="P122" i="100" s="1"/>
  <c r="O122" i="100" a="1"/>
  <c r="O122" i="100" s="1"/>
  <c r="N122" i="100" a="1"/>
  <c r="N122" i="100" s="1"/>
  <c r="M122" i="100" a="1"/>
  <c r="M122" i="100" s="1"/>
  <c r="L122" i="100" a="1"/>
  <c r="L122" i="100" s="1"/>
  <c r="K122" i="100" a="1"/>
  <c r="K122" i="100" s="1"/>
  <c r="J122" i="100" a="1"/>
  <c r="J122" i="100" s="1"/>
  <c r="I122" i="100" a="1"/>
  <c r="I122" i="100" s="1"/>
  <c r="H122" i="100" a="1"/>
  <c r="H122" i="100" s="1"/>
  <c r="G122" i="100" a="1"/>
  <c r="G122" i="100" s="1"/>
  <c r="F122" i="100" a="1"/>
  <c r="F122" i="100" s="1"/>
  <c r="E122" i="100" a="1"/>
  <c r="E122" i="100" s="1"/>
  <c r="D122" i="100" a="1"/>
  <c r="D122" i="100" s="1"/>
  <c r="T121" i="100" a="1"/>
  <c r="T121" i="100" s="1"/>
  <c r="S121" i="100" a="1"/>
  <c r="S121" i="100" s="1"/>
  <c r="R121" i="100" a="1"/>
  <c r="R121" i="100" s="1"/>
  <c r="Q121" i="100" a="1"/>
  <c r="Q121" i="100" s="1"/>
  <c r="P121" i="100" a="1"/>
  <c r="P121" i="100" s="1"/>
  <c r="O121" i="100" a="1"/>
  <c r="O121" i="100" s="1"/>
  <c r="N121" i="100" a="1"/>
  <c r="N121" i="100" s="1"/>
  <c r="M121" i="100" a="1"/>
  <c r="M121" i="100" s="1"/>
  <c r="L121" i="100" a="1"/>
  <c r="L121" i="100" s="1"/>
  <c r="K121" i="100" a="1"/>
  <c r="K121" i="100" s="1"/>
  <c r="J121" i="100" a="1"/>
  <c r="J121" i="100" s="1"/>
  <c r="I121" i="100" a="1"/>
  <c r="I121" i="100" s="1"/>
  <c r="H121" i="100" a="1"/>
  <c r="H121" i="100" s="1"/>
  <c r="G121" i="100" a="1"/>
  <c r="G121" i="100" s="1"/>
  <c r="F121" i="100" a="1"/>
  <c r="F121" i="100" s="1"/>
  <c r="E121" i="100" a="1"/>
  <c r="E121" i="100" s="1"/>
  <c r="D121" i="100" a="1"/>
  <c r="D121" i="100" s="1"/>
  <c r="T120" i="100"/>
  <c r="S120" i="100" a="1"/>
  <c r="S120" i="100" s="1"/>
  <c r="R120" i="100" a="1"/>
  <c r="R120" i="100" s="1"/>
  <c r="Q120" i="100" a="1"/>
  <c r="Q120" i="100" s="1"/>
  <c r="P120" i="100" a="1"/>
  <c r="P120" i="100" s="1"/>
  <c r="O120" i="100" a="1"/>
  <c r="O120" i="100" s="1"/>
  <c r="N120" i="100" a="1"/>
  <c r="N120" i="100" s="1"/>
  <c r="M120" i="100" a="1"/>
  <c r="M120" i="100" s="1"/>
  <c r="L120" i="100" a="1"/>
  <c r="L120" i="100" s="1"/>
  <c r="K120" i="100" a="1"/>
  <c r="K120" i="100" s="1"/>
  <c r="J120" i="100" a="1"/>
  <c r="J120" i="100" s="1"/>
  <c r="I120" i="100" a="1"/>
  <c r="I120" i="100" s="1"/>
  <c r="H120" i="100" a="1"/>
  <c r="H120" i="100" s="1"/>
  <c r="G120" i="100" a="1"/>
  <c r="G120" i="100" s="1"/>
  <c r="F120" i="100" a="1"/>
  <c r="F120" i="100" s="1"/>
  <c r="E120" i="100" a="1"/>
  <c r="E120" i="100" s="1"/>
  <c r="D120" i="100" a="1"/>
  <c r="D120" i="100" s="1"/>
  <c r="T119" i="100" a="1"/>
  <c r="T119" i="100" s="1"/>
  <c r="S119" i="100" a="1"/>
  <c r="S119" i="100" s="1"/>
  <c r="R119" i="100" a="1"/>
  <c r="R119" i="100" s="1"/>
  <c r="Q119" i="100" a="1"/>
  <c r="Q119" i="100" s="1"/>
  <c r="P119" i="100" a="1"/>
  <c r="P119" i="100" s="1"/>
  <c r="O119" i="100" a="1"/>
  <c r="O119" i="100" s="1"/>
  <c r="N119" i="100" a="1"/>
  <c r="N119" i="100" s="1"/>
  <c r="M119" i="100" a="1"/>
  <c r="M119" i="100" s="1"/>
  <c r="L119" i="100" a="1"/>
  <c r="L119" i="100" s="1"/>
  <c r="K119" i="100" a="1"/>
  <c r="K119" i="100" s="1"/>
  <c r="J119" i="100" a="1"/>
  <c r="J119" i="100" s="1"/>
  <c r="I119" i="100" a="1"/>
  <c r="I119" i="100" s="1"/>
  <c r="H119" i="100" a="1"/>
  <c r="H119" i="100" s="1"/>
  <c r="G119" i="100" a="1"/>
  <c r="G119" i="100" s="1"/>
  <c r="F119" i="100" a="1"/>
  <c r="F119" i="100" s="1"/>
  <c r="E119" i="100" a="1"/>
  <c r="E119" i="100" s="1"/>
  <c r="D119" i="100" a="1"/>
  <c r="D119" i="100" s="1"/>
  <c r="T118" i="100" a="1"/>
  <c r="T118" i="100" s="1"/>
  <c r="S118" i="100" a="1"/>
  <c r="S118" i="100" s="1"/>
  <c r="R118" i="100" a="1"/>
  <c r="R118" i="100" s="1"/>
  <c r="Q118" i="100" a="1"/>
  <c r="Q118" i="100" s="1"/>
  <c r="P118" i="100" a="1"/>
  <c r="P118" i="100" s="1"/>
  <c r="O118" i="100" a="1"/>
  <c r="O118" i="100" s="1"/>
  <c r="N118" i="100" a="1"/>
  <c r="N118" i="100" s="1"/>
  <c r="M118" i="100" a="1"/>
  <c r="M118" i="100" s="1"/>
  <c r="L118" i="100" a="1"/>
  <c r="L118" i="100" s="1"/>
  <c r="K118" i="100" a="1"/>
  <c r="K118" i="100" s="1"/>
  <c r="J118" i="100" a="1"/>
  <c r="J118" i="100" s="1"/>
  <c r="I118" i="100" a="1"/>
  <c r="I118" i="100" s="1"/>
  <c r="H118" i="100" a="1"/>
  <c r="H118" i="100" s="1"/>
  <c r="G118" i="100" a="1"/>
  <c r="G118" i="100" s="1"/>
  <c r="F118" i="100" a="1"/>
  <c r="F118" i="100" s="1"/>
  <c r="E118" i="100" a="1"/>
  <c r="E118" i="100" s="1"/>
  <c r="D118" i="100" a="1"/>
  <c r="D118" i="100" s="1"/>
  <c r="T117" i="100" a="1"/>
  <c r="T117" i="100" s="1"/>
  <c r="S117" i="100" a="1"/>
  <c r="S117" i="100" s="1"/>
  <c r="R117" i="100" a="1"/>
  <c r="R117" i="100" s="1"/>
  <c r="Q117" i="100" a="1"/>
  <c r="Q117" i="100" s="1"/>
  <c r="P117" i="100" a="1"/>
  <c r="P117" i="100" s="1"/>
  <c r="O117" i="100" a="1"/>
  <c r="O117" i="100" s="1"/>
  <c r="N117" i="100" a="1"/>
  <c r="N117" i="100" s="1"/>
  <c r="M117" i="100" a="1"/>
  <c r="M117" i="100" s="1"/>
  <c r="L117" i="100" a="1"/>
  <c r="L117" i="100" s="1"/>
  <c r="K117" i="100" a="1"/>
  <c r="K117" i="100" s="1"/>
  <c r="J117" i="100" a="1"/>
  <c r="J117" i="100" s="1"/>
  <c r="I117" i="100" a="1"/>
  <c r="I117" i="100" s="1"/>
  <c r="H117" i="100" a="1"/>
  <c r="H117" i="100" s="1"/>
  <c r="G117" i="100" a="1"/>
  <c r="G117" i="100" s="1"/>
  <c r="F117" i="100" a="1"/>
  <c r="F117" i="100" s="1"/>
  <c r="E117" i="100" a="1"/>
  <c r="E117" i="100" s="1"/>
  <c r="D117" i="100" a="1"/>
  <c r="D117" i="100" s="1"/>
  <c r="T116" i="100" a="1"/>
  <c r="T116" i="100" s="1"/>
  <c r="S116" i="100" a="1"/>
  <c r="S116" i="100" s="1"/>
  <c r="R116" i="100" a="1"/>
  <c r="R116" i="100" s="1"/>
  <c r="Q116" i="100" a="1"/>
  <c r="Q116" i="100" s="1"/>
  <c r="P116" i="100" a="1"/>
  <c r="P116" i="100" s="1"/>
  <c r="O116" i="100" a="1"/>
  <c r="O116" i="100" s="1"/>
  <c r="N116" i="100" a="1"/>
  <c r="N116" i="100" s="1"/>
  <c r="M116" i="100" a="1"/>
  <c r="M116" i="100" s="1"/>
  <c r="L116" i="100" a="1"/>
  <c r="L116" i="100" s="1"/>
  <c r="K116" i="100" a="1"/>
  <c r="K116" i="100" s="1"/>
  <c r="J116" i="100" a="1"/>
  <c r="J116" i="100" s="1"/>
  <c r="I116" i="100" a="1"/>
  <c r="I116" i="100" s="1"/>
  <c r="H116" i="100" a="1"/>
  <c r="H116" i="100" s="1"/>
  <c r="G116" i="100" a="1"/>
  <c r="G116" i="100" s="1"/>
  <c r="F116" i="100" a="1"/>
  <c r="F116" i="100" s="1"/>
  <c r="E116" i="100" a="1"/>
  <c r="E116" i="100" s="1"/>
  <c r="D116" i="100" a="1"/>
  <c r="D116" i="100" s="1"/>
  <c r="T115" i="100" a="1"/>
  <c r="T115" i="100" s="1"/>
  <c r="S115" i="100" a="1"/>
  <c r="S115" i="100" s="1"/>
  <c r="R115" i="100" a="1"/>
  <c r="R115" i="100" s="1"/>
  <c r="Q115" i="100" a="1"/>
  <c r="Q115" i="100" s="1"/>
  <c r="P115" i="100" a="1"/>
  <c r="P115" i="100" s="1"/>
  <c r="O115" i="100" a="1"/>
  <c r="O115" i="100" s="1"/>
  <c r="N115" i="100" a="1"/>
  <c r="N115" i="100" s="1"/>
  <c r="M115" i="100" a="1"/>
  <c r="M115" i="100" s="1"/>
  <c r="L115" i="100" a="1"/>
  <c r="L115" i="100" s="1"/>
  <c r="K115" i="100" a="1"/>
  <c r="K115" i="100" s="1"/>
  <c r="J115" i="100" a="1"/>
  <c r="J115" i="100" s="1"/>
  <c r="I115" i="100" a="1"/>
  <c r="I115" i="100" s="1"/>
  <c r="H115" i="100" a="1"/>
  <c r="H115" i="100" s="1"/>
  <c r="G115" i="100" a="1"/>
  <c r="G115" i="100" s="1"/>
  <c r="F115" i="100" a="1"/>
  <c r="F115" i="100" s="1"/>
  <c r="E115" i="100" a="1"/>
  <c r="E115" i="100" s="1"/>
  <c r="D115" i="100" a="1"/>
  <c r="D115" i="100" s="1"/>
  <c r="T114" i="100" a="1"/>
  <c r="T114" i="100" s="1"/>
  <c r="S114" i="100" a="1"/>
  <c r="S114" i="100" s="1"/>
  <c r="R114" i="100" a="1"/>
  <c r="R114" i="100" s="1"/>
  <c r="Q114" i="100" a="1"/>
  <c r="Q114" i="100" s="1"/>
  <c r="P114" i="100" a="1"/>
  <c r="P114" i="100" s="1"/>
  <c r="O114" i="100" a="1"/>
  <c r="O114" i="100" s="1"/>
  <c r="N114" i="100" a="1"/>
  <c r="N114" i="100" s="1"/>
  <c r="M114" i="100" a="1"/>
  <c r="M114" i="100" s="1"/>
  <c r="L114" i="100" a="1"/>
  <c r="L114" i="100" s="1"/>
  <c r="K114" i="100" a="1"/>
  <c r="K114" i="100" s="1"/>
  <c r="J114" i="100" a="1"/>
  <c r="J114" i="100" s="1"/>
  <c r="I114" i="100" a="1"/>
  <c r="I114" i="100" s="1"/>
  <c r="H114" i="100" a="1"/>
  <c r="H114" i="100" s="1"/>
  <c r="G114" i="100" a="1"/>
  <c r="G114" i="100" s="1"/>
  <c r="F114" i="100" a="1"/>
  <c r="F114" i="100" s="1"/>
  <c r="E114" i="100" a="1"/>
  <c r="E114" i="100" s="1"/>
  <c r="D114" i="100" a="1"/>
  <c r="D114" i="100" s="1"/>
  <c r="T113" i="100" a="1"/>
  <c r="T113" i="100" s="1"/>
  <c r="S113" i="100" a="1"/>
  <c r="S113" i="100" s="1"/>
  <c r="R113" i="100" a="1"/>
  <c r="R113" i="100" s="1"/>
  <c r="Q113" i="100" a="1"/>
  <c r="Q113" i="100" s="1"/>
  <c r="P113" i="100" a="1"/>
  <c r="P113" i="100" s="1"/>
  <c r="O113" i="100" a="1"/>
  <c r="O113" i="100" s="1"/>
  <c r="N113" i="100" a="1"/>
  <c r="N113" i="100" s="1"/>
  <c r="M113" i="100" a="1"/>
  <c r="M113" i="100" s="1"/>
  <c r="L113" i="100" a="1"/>
  <c r="L113" i="100" s="1"/>
  <c r="K113" i="100" a="1"/>
  <c r="K113" i="100" s="1"/>
  <c r="J113" i="100" a="1"/>
  <c r="J113" i="100" s="1"/>
  <c r="I113" i="100" a="1"/>
  <c r="I113" i="100" s="1"/>
  <c r="H113" i="100" a="1"/>
  <c r="H113" i="100" s="1"/>
  <c r="G113" i="100" a="1"/>
  <c r="G113" i="100" s="1"/>
  <c r="F113" i="100" a="1"/>
  <c r="F113" i="100" s="1"/>
  <c r="E113" i="100" a="1"/>
  <c r="E113" i="100" s="1"/>
  <c r="D113" i="100" a="1"/>
  <c r="D113" i="100" s="1"/>
  <c r="T112" i="100"/>
  <c r="S112" i="100" a="1"/>
  <c r="S112" i="100" s="1"/>
  <c r="R112" i="100" a="1"/>
  <c r="R112" i="100" s="1"/>
  <c r="Q112" i="100" a="1"/>
  <c r="Q112" i="100" s="1"/>
  <c r="P112" i="100" a="1"/>
  <c r="P112" i="100" s="1"/>
  <c r="O112" i="100" a="1"/>
  <c r="O112" i="100" s="1"/>
  <c r="N112" i="100" a="1"/>
  <c r="N112" i="100" s="1"/>
  <c r="M112" i="100" a="1"/>
  <c r="M112" i="100" s="1"/>
  <c r="L112" i="100" a="1"/>
  <c r="L112" i="100" s="1"/>
  <c r="K112" i="100" a="1"/>
  <c r="K112" i="100" s="1"/>
  <c r="J112" i="100" a="1"/>
  <c r="J112" i="100" s="1"/>
  <c r="I112" i="100" a="1"/>
  <c r="I112" i="100" s="1"/>
  <c r="H112" i="100" a="1"/>
  <c r="H112" i="100" s="1"/>
  <c r="G112" i="100" a="1"/>
  <c r="G112" i="100" s="1"/>
  <c r="F112" i="100" a="1"/>
  <c r="F112" i="100" s="1"/>
  <c r="E112" i="100" a="1"/>
  <c r="E112" i="100" s="1"/>
  <c r="D112" i="100" a="1"/>
  <c r="D112" i="100" s="1"/>
  <c r="T111" i="100" a="1"/>
  <c r="T111" i="100" s="1"/>
  <c r="S111" i="100" a="1"/>
  <c r="S111" i="100" s="1"/>
  <c r="R111" i="100" a="1"/>
  <c r="R111" i="100" s="1"/>
  <c r="Q111" i="100" a="1"/>
  <c r="Q111" i="100" s="1"/>
  <c r="P111" i="100" a="1"/>
  <c r="P111" i="100" s="1"/>
  <c r="O111" i="100" a="1"/>
  <c r="O111" i="100" s="1"/>
  <c r="N111" i="100" a="1"/>
  <c r="N111" i="100" s="1"/>
  <c r="M111" i="100" a="1"/>
  <c r="M111" i="100" s="1"/>
  <c r="L111" i="100" a="1"/>
  <c r="L111" i="100" s="1"/>
  <c r="K111" i="100" a="1"/>
  <c r="K111" i="100" s="1"/>
  <c r="J111" i="100" a="1"/>
  <c r="J111" i="100" s="1"/>
  <c r="I111" i="100" a="1"/>
  <c r="I111" i="100" s="1"/>
  <c r="H111" i="100" a="1"/>
  <c r="H111" i="100" s="1"/>
  <c r="G111" i="100" a="1"/>
  <c r="G111" i="100" s="1"/>
  <c r="F111" i="100" a="1"/>
  <c r="F111" i="100" s="1"/>
  <c r="E111" i="100" a="1"/>
  <c r="E111" i="100" s="1"/>
  <c r="D111" i="100" a="1"/>
  <c r="D111" i="100" s="1"/>
  <c r="T110" i="100" a="1"/>
  <c r="T110" i="100" s="1"/>
  <c r="S110" i="100" a="1"/>
  <c r="S110" i="100" s="1"/>
  <c r="R110" i="100" a="1"/>
  <c r="R110" i="100" s="1"/>
  <c r="Q110" i="100" a="1"/>
  <c r="Q110" i="100" s="1"/>
  <c r="P110" i="100" a="1"/>
  <c r="P110" i="100" s="1"/>
  <c r="O110" i="100" a="1"/>
  <c r="O110" i="100" s="1"/>
  <c r="N110" i="100" a="1"/>
  <c r="N110" i="100" s="1"/>
  <c r="M110" i="100" a="1"/>
  <c r="M110" i="100" s="1"/>
  <c r="L110" i="100" a="1"/>
  <c r="L110" i="100" s="1"/>
  <c r="K110" i="100" a="1"/>
  <c r="K110" i="100" s="1"/>
  <c r="J110" i="100" a="1"/>
  <c r="J110" i="100" s="1"/>
  <c r="I110" i="100" a="1"/>
  <c r="I110" i="100" s="1"/>
  <c r="H110" i="100" a="1"/>
  <c r="H110" i="100" s="1"/>
  <c r="G110" i="100" a="1"/>
  <c r="G110" i="100" s="1"/>
  <c r="F110" i="100" a="1"/>
  <c r="F110" i="100" s="1"/>
  <c r="E110" i="100" a="1"/>
  <c r="E110" i="100" s="1"/>
  <c r="D110" i="100" a="1"/>
  <c r="D110" i="100" s="1"/>
  <c r="T109" i="100" a="1"/>
  <c r="T109" i="100" s="1"/>
  <c r="S109" i="100" a="1"/>
  <c r="S109" i="100" s="1"/>
  <c r="R109" i="100" a="1"/>
  <c r="R109" i="100" s="1"/>
  <c r="Q109" i="100" a="1"/>
  <c r="Q109" i="100" s="1"/>
  <c r="P109" i="100" a="1"/>
  <c r="P109" i="100" s="1"/>
  <c r="O109" i="100" a="1"/>
  <c r="O109" i="100" s="1"/>
  <c r="N109" i="100" a="1"/>
  <c r="N109" i="100" s="1"/>
  <c r="M109" i="100" a="1"/>
  <c r="M109" i="100" s="1"/>
  <c r="L109" i="100" a="1"/>
  <c r="L109" i="100" s="1"/>
  <c r="K109" i="100" a="1"/>
  <c r="K109" i="100" s="1"/>
  <c r="J109" i="100" a="1"/>
  <c r="J109" i="100" s="1"/>
  <c r="I109" i="100" a="1"/>
  <c r="I109" i="100" s="1"/>
  <c r="H109" i="100" a="1"/>
  <c r="H109" i="100" s="1"/>
  <c r="G109" i="100" a="1"/>
  <c r="G109" i="100" s="1"/>
  <c r="F109" i="100" a="1"/>
  <c r="F109" i="100" s="1"/>
  <c r="E109" i="100" a="1"/>
  <c r="E109" i="100" s="1"/>
  <c r="D109" i="100" a="1"/>
  <c r="D109" i="100" s="1"/>
  <c r="T108" i="100"/>
  <c r="S108" i="100" a="1"/>
  <c r="S108" i="100" s="1"/>
  <c r="R108" i="100" a="1"/>
  <c r="R108" i="100" s="1"/>
  <c r="Q108" i="100" a="1"/>
  <c r="Q108" i="100" s="1"/>
  <c r="P108" i="100" a="1"/>
  <c r="P108" i="100" s="1"/>
  <c r="O108" i="100" a="1"/>
  <c r="O108" i="100" s="1"/>
  <c r="N108" i="100" a="1"/>
  <c r="N108" i="100" s="1"/>
  <c r="M108" i="100" a="1"/>
  <c r="M108" i="100" s="1"/>
  <c r="L108" i="100" a="1"/>
  <c r="L108" i="100" s="1"/>
  <c r="K108" i="100" a="1"/>
  <c r="K108" i="100" s="1"/>
  <c r="J108" i="100" a="1"/>
  <c r="J108" i="100" s="1"/>
  <c r="I108" i="100" a="1"/>
  <c r="I108" i="100" s="1"/>
  <c r="H108" i="100" a="1"/>
  <c r="H108" i="100" s="1"/>
  <c r="G108" i="100" a="1"/>
  <c r="G108" i="100" s="1"/>
  <c r="F108" i="100" a="1"/>
  <c r="F108" i="100" s="1"/>
  <c r="E108" i="100" a="1"/>
  <c r="E108" i="100" s="1"/>
  <c r="D108" i="100" a="1"/>
  <c r="D108" i="100" s="1"/>
  <c r="T107" i="100"/>
  <c r="S107" i="100"/>
  <c r="R107" i="100"/>
  <c r="Q107" i="100"/>
  <c r="P107" i="100"/>
  <c r="O107" i="100"/>
  <c r="N107" i="100"/>
  <c r="M107" i="100"/>
  <c r="L107" i="100"/>
  <c r="K107" i="100"/>
  <c r="J107" i="100"/>
  <c r="I107" i="100"/>
  <c r="H107" i="100"/>
  <c r="G107" i="100"/>
  <c r="F107" i="100"/>
  <c r="E107" i="100"/>
  <c r="D107" i="100"/>
  <c r="T106" i="100"/>
  <c r="S106" i="100" a="1"/>
  <c r="S106" i="100" s="1"/>
  <c r="R106" i="100" a="1"/>
  <c r="R106" i="100" s="1"/>
  <c r="Q106" i="100" a="1"/>
  <c r="Q106" i="100" s="1"/>
  <c r="P106" i="100" a="1"/>
  <c r="P106" i="100" s="1"/>
  <c r="O106" i="100" a="1"/>
  <c r="O106" i="100" s="1"/>
  <c r="N106" i="100" a="1"/>
  <c r="N106" i="100" s="1"/>
  <c r="M106" i="100" a="1"/>
  <c r="M106" i="100" s="1"/>
  <c r="L106" i="100" a="1"/>
  <c r="L106" i="100" s="1"/>
  <c r="K106" i="100" a="1"/>
  <c r="K106" i="100" s="1"/>
  <c r="J106" i="100" a="1"/>
  <c r="J106" i="100" s="1"/>
  <c r="I106" i="100" a="1"/>
  <c r="I106" i="100" s="1"/>
  <c r="H106" i="100" a="1"/>
  <c r="H106" i="100" s="1"/>
  <c r="G106" i="100" a="1"/>
  <c r="G106" i="100" s="1"/>
  <c r="F106" i="100" a="1"/>
  <c r="F106" i="100" s="1"/>
  <c r="E106" i="100" a="1"/>
  <c r="E106" i="100" s="1"/>
  <c r="D106" i="100" a="1"/>
  <c r="D106" i="100" s="1"/>
  <c r="T105" i="100"/>
  <c r="S105" i="100" a="1"/>
  <c r="S105" i="100" s="1"/>
  <c r="R105" i="100" a="1"/>
  <c r="R105" i="100" s="1"/>
  <c r="Q105" i="100" a="1"/>
  <c r="Q105" i="100" s="1"/>
  <c r="P105" i="100" a="1"/>
  <c r="P105" i="100" s="1"/>
  <c r="O105" i="100" a="1"/>
  <c r="O105" i="100" s="1"/>
  <c r="N105" i="100" a="1"/>
  <c r="N105" i="100" s="1"/>
  <c r="M105" i="100" a="1"/>
  <c r="M105" i="100" s="1"/>
  <c r="L105" i="100" a="1"/>
  <c r="L105" i="100" s="1"/>
  <c r="K105" i="100" a="1"/>
  <c r="K105" i="100" s="1"/>
  <c r="J105" i="100" a="1"/>
  <c r="J105" i="100" s="1"/>
  <c r="I105" i="100" a="1"/>
  <c r="I105" i="100" s="1"/>
  <c r="H105" i="100" a="1"/>
  <c r="H105" i="100" s="1"/>
  <c r="G105" i="100" a="1"/>
  <c r="G105" i="100" s="1"/>
  <c r="F105" i="100" a="1"/>
  <c r="F105" i="100" s="1"/>
  <c r="E105" i="100" a="1"/>
  <c r="E105" i="100" s="1"/>
  <c r="D105" i="100" a="1"/>
  <c r="D105" i="100" s="1"/>
  <c r="T104" i="100"/>
  <c r="S104" i="100" a="1"/>
  <c r="S104" i="100" s="1"/>
  <c r="R104" i="100" a="1"/>
  <c r="R104" i="100" s="1"/>
  <c r="Q104" i="100" a="1"/>
  <c r="Q104" i="100" s="1"/>
  <c r="P104" i="100" a="1"/>
  <c r="P104" i="100" s="1"/>
  <c r="O104" i="100" a="1"/>
  <c r="O104" i="100" s="1"/>
  <c r="N104" i="100" a="1"/>
  <c r="N104" i="100" s="1"/>
  <c r="M104" i="100" a="1"/>
  <c r="M104" i="100" s="1"/>
  <c r="L104" i="100" a="1"/>
  <c r="L104" i="100" s="1"/>
  <c r="K104" i="100" a="1"/>
  <c r="K104" i="100" s="1"/>
  <c r="J104" i="100" a="1"/>
  <c r="J104" i="100" s="1"/>
  <c r="I104" i="100" a="1"/>
  <c r="I104" i="100" s="1"/>
  <c r="H104" i="100" a="1"/>
  <c r="H104" i="100" s="1"/>
  <c r="G104" i="100" a="1"/>
  <c r="G104" i="100" s="1"/>
  <c r="F104" i="100" a="1"/>
  <c r="F104" i="100" s="1"/>
  <c r="E104" i="100" a="1"/>
  <c r="E104" i="100" s="1"/>
  <c r="D104" i="100" a="1"/>
  <c r="D104" i="100" s="1"/>
  <c r="T103" i="100" a="1"/>
  <c r="T103" i="100" s="1"/>
  <c r="S103" i="100" a="1"/>
  <c r="S103" i="100" s="1"/>
  <c r="R103" i="100" a="1"/>
  <c r="R103" i="100" s="1"/>
  <c r="Q103" i="100" a="1"/>
  <c r="Q103" i="100" s="1"/>
  <c r="P103" i="100" a="1"/>
  <c r="P103" i="100" s="1"/>
  <c r="O103" i="100" a="1"/>
  <c r="O103" i="100" s="1"/>
  <c r="N103" i="100" a="1"/>
  <c r="N103" i="100" s="1"/>
  <c r="M103" i="100" a="1"/>
  <c r="M103" i="100" s="1"/>
  <c r="L103" i="100" a="1"/>
  <c r="L103" i="100" s="1"/>
  <c r="K103" i="100" a="1"/>
  <c r="K103" i="100" s="1"/>
  <c r="J103" i="100" a="1"/>
  <c r="J103" i="100" s="1"/>
  <c r="I103" i="100" a="1"/>
  <c r="I103" i="100" s="1"/>
  <c r="H103" i="100" a="1"/>
  <c r="H103" i="100" s="1"/>
  <c r="G103" i="100" a="1"/>
  <c r="G103" i="100" s="1"/>
  <c r="F103" i="100" a="1"/>
  <c r="F103" i="100" s="1"/>
  <c r="E103" i="100" a="1"/>
  <c r="E103" i="100" s="1"/>
  <c r="D103" i="100" a="1"/>
  <c r="D103" i="100" s="1"/>
  <c r="T102" i="100" a="1"/>
  <c r="T102" i="100" s="1"/>
  <c r="S102" i="100" a="1"/>
  <c r="S102" i="100" s="1"/>
  <c r="R102" i="100" a="1"/>
  <c r="R102" i="100" s="1"/>
  <c r="Q102" i="100" a="1"/>
  <c r="Q102" i="100" s="1"/>
  <c r="P102" i="100" a="1"/>
  <c r="P102" i="100" s="1"/>
  <c r="O102" i="100" a="1"/>
  <c r="O102" i="100" s="1"/>
  <c r="N102" i="100" a="1"/>
  <c r="N102" i="100" s="1"/>
  <c r="M102" i="100" a="1"/>
  <c r="M102" i="100" s="1"/>
  <c r="L102" i="100" a="1"/>
  <c r="L102" i="100" s="1"/>
  <c r="K102" i="100" a="1"/>
  <c r="K102" i="100" s="1"/>
  <c r="J102" i="100" a="1"/>
  <c r="J102" i="100" s="1"/>
  <c r="I102" i="100" a="1"/>
  <c r="I102" i="100" s="1"/>
  <c r="H102" i="100" a="1"/>
  <c r="H102" i="100" s="1"/>
  <c r="G102" i="100" a="1"/>
  <c r="G102" i="100" s="1"/>
  <c r="F102" i="100" a="1"/>
  <c r="F102" i="100" s="1"/>
  <c r="E102" i="100" a="1"/>
  <c r="E102" i="100" s="1"/>
  <c r="D102" i="100" a="1"/>
  <c r="D102" i="100" s="1"/>
  <c r="T101" i="100" a="1"/>
  <c r="T101" i="100" s="1"/>
  <c r="S101" i="100" a="1"/>
  <c r="S101" i="100" s="1"/>
  <c r="R101" i="100" a="1"/>
  <c r="R101" i="100" s="1"/>
  <c r="Q101" i="100" a="1"/>
  <c r="Q101" i="100" s="1"/>
  <c r="P101" i="100" a="1"/>
  <c r="P101" i="100" s="1"/>
  <c r="O101" i="100" a="1"/>
  <c r="O101" i="100" s="1"/>
  <c r="N101" i="100" a="1"/>
  <c r="N101" i="100" s="1"/>
  <c r="M101" i="100" a="1"/>
  <c r="M101" i="100" s="1"/>
  <c r="L101" i="100" a="1"/>
  <c r="L101" i="100" s="1"/>
  <c r="K101" i="100" a="1"/>
  <c r="K101" i="100" s="1"/>
  <c r="J101" i="100" a="1"/>
  <c r="J101" i="100" s="1"/>
  <c r="I101" i="100" a="1"/>
  <c r="I101" i="100" s="1"/>
  <c r="H101" i="100" a="1"/>
  <c r="H101" i="100" s="1"/>
  <c r="G101" i="100" a="1"/>
  <c r="G101" i="100" s="1"/>
  <c r="F101" i="100" a="1"/>
  <c r="F101" i="100" s="1"/>
  <c r="E101" i="100" a="1"/>
  <c r="E101" i="100" s="1"/>
  <c r="D101" i="100" a="1"/>
  <c r="D101" i="100" s="1"/>
  <c r="T100" i="100"/>
  <c r="S100" i="100" a="1"/>
  <c r="S100" i="100" s="1"/>
  <c r="R100" i="100" a="1"/>
  <c r="R100" i="100" s="1"/>
  <c r="Q100" i="100" a="1"/>
  <c r="Q100" i="100" s="1"/>
  <c r="P100" i="100" a="1"/>
  <c r="P100" i="100" s="1"/>
  <c r="O100" i="100" a="1"/>
  <c r="O100" i="100" s="1"/>
  <c r="N100" i="100" a="1"/>
  <c r="N100" i="100" s="1"/>
  <c r="M100" i="100" a="1"/>
  <c r="M100" i="100" s="1"/>
  <c r="L100" i="100" a="1"/>
  <c r="L100" i="100" s="1"/>
  <c r="K100" i="100" a="1"/>
  <c r="K100" i="100" s="1"/>
  <c r="J100" i="100" a="1"/>
  <c r="J100" i="100" s="1"/>
  <c r="I100" i="100" a="1"/>
  <c r="I100" i="100" s="1"/>
  <c r="H100" i="100" a="1"/>
  <c r="H100" i="100" s="1"/>
  <c r="G100" i="100" a="1"/>
  <c r="G100" i="100" s="1"/>
  <c r="F100" i="100" a="1"/>
  <c r="F100" i="100" s="1"/>
  <c r="E100" i="100" a="1"/>
  <c r="E100" i="100" s="1"/>
  <c r="D100" i="100" a="1"/>
  <c r="D100" i="100" s="1"/>
  <c r="T99" i="100" a="1"/>
  <c r="T99" i="100" s="1"/>
  <c r="S99" i="100" a="1"/>
  <c r="S99" i="100" s="1"/>
  <c r="R99" i="100" a="1"/>
  <c r="R99" i="100" s="1"/>
  <c r="Q99" i="100" a="1"/>
  <c r="Q99" i="100" s="1"/>
  <c r="P99" i="100" a="1"/>
  <c r="P99" i="100" s="1"/>
  <c r="O99" i="100" a="1"/>
  <c r="O99" i="100" s="1"/>
  <c r="N99" i="100" a="1"/>
  <c r="N99" i="100" s="1"/>
  <c r="M99" i="100" a="1"/>
  <c r="M99" i="100" s="1"/>
  <c r="L99" i="100" a="1"/>
  <c r="L99" i="100" s="1"/>
  <c r="K99" i="100" a="1"/>
  <c r="K99" i="100" s="1"/>
  <c r="J99" i="100" a="1"/>
  <c r="J99" i="100" s="1"/>
  <c r="I99" i="100" a="1"/>
  <c r="I99" i="100" s="1"/>
  <c r="H99" i="100" a="1"/>
  <c r="H99" i="100" s="1"/>
  <c r="G99" i="100" a="1"/>
  <c r="G99" i="100" s="1"/>
  <c r="F99" i="100" a="1"/>
  <c r="F99" i="100" s="1"/>
  <c r="E99" i="100" a="1"/>
  <c r="E99" i="100" s="1"/>
  <c r="D99" i="100" a="1"/>
  <c r="D99" i="100" s="1"/>
  <c r="T98" i="100" a="1"/>
  <c r="T98" i="100" s="1"/>
  <c r="S98" i="100" a="1"/>
  <c r="S98" i="100" s="1"/>
  <c r="R98" i="100" a="1"/>
  <c r="R98" i="100" s="1"/>
  <c r="Q98" i="100" a="1"/>
  <c r="Q98" i="100" s="1"/>
  <c r="P98" i="100" a="1"/>
  <c r="P98" i="100" s="1"/>
  <c r="O98" i="100" a="1"/>
  <c r="O98" i="100" s="1"/>
  <c r="N98" i="100" a="1"/>
  <c r="N98" i="100" s="1"/>
  <c r="M98" i="100" a="1"/>
  <c r="M98" i="100" s="1"/>
  <c r="L98" i="100" a="1"/>
  <c r="L98" i="100" s="1"/>
  <c r="K98" i="100" a="1"/>
  <c r="K98" i="100" s="1"/>
  <c r="J98" i="100" a="1"/>
  <c r="J98" i="100" s="1"/>
  <c r="I98" i="100" a="1"/>
  <c r="I98" i="100" s="1"/>
  <c r="H98" i="100" a="1"/>
  <c r="H98" i="100" s="1"/>
  <c r="G98" i="100" a="1"/>
  <c r="G98" i="100" s="1"/>
  <c r="F98" i="100" a="1"/>
  <c r="F98" i="100" s="1"/>
  <c r="E98" i="100" a="1"/>
  <c r="E98" i="100" s="1"/>
  <c r="D98" i="100" a="1"/>
  <c r="D98" i="100" s="1"/>
  <c r="T97" i="100" a="1"/>
  <c r="T97" i="100" s="1"/>
  <c r="S97" i="100" a="1"/>
  <c r="S97" i="100" s="1"/>
  <c r="R97" i="100" a="1"/>
  <c r="R97" i="100" s="1"/>
  <c r="Q97" i="100" a="1"/>
  <c r="Q97" i="100" s="1"/>
  <c r="P97" i="100" a="1"/>
  <c r="P97" i="100" s="1"/>
  <c r="O97" i="100" a="1"/>
  <c r="O97" i="100" s="1"/>
  <c r="N97" i="100" a="1"/>
  <c r="N97" i="100" s="1"/>
  <c r="M97" i="100" a="1"/>
  <c r="M97" i="100" s="1"/>
  <c r="L97" i="100" a="1"/>
  <c r="L97" i="100" s="1"/>
  <c r="K97" i="100" a="1"/>
  <c r="K97" i="100" s="1"/>
  <c r="J97" i="100" a="1"/>
  <c r="J97" i="100" s="1"/>
  <c r="I97" i="100" a="1"/>
  <c r="I97" i="100" s="1"/>
  <c r="H97" i="100" a="1"/>
  <c r="H97" i="100" s="1"/>
  <c r="G97" i="100" a="1"/>
  <c r="G97" i="100" s="1"/>
  <c r="F97" i="100" a="1"/>
  <c r="F97" i="100" s="1"/>
  <c r="E97" i="100" a="1"/>
  <c r="E97" i="100" s="1"/>
  <c r="D97" i="100" a="1"/>
  <c r="D97" i="100" s="1"/>
  <c r="T96" i="100"/>
  <c r="S96" i="100" a="1"/>
  <c r="S96" i="100" s="1"/>
  <c r="R96" i="100" a="1"/>
  <c r="R96" i="100" s="1"/>
  <c r="Q96" i="100" a="1"/>
  <c r="Q96" i="100" s="1"/>
  <c r="P96" i="100" a="1"/>
  <c r="P96" i="100" s="1"/>
  <c r="O96" i="100" a="1"/>
  <c r="O96" i="100" s="1"/>
  <c r="N96" i="100" a="1"/>
  <c r="N96" i="100" s="1"/>
  <c r="M96" i="100" a="1"/>
  <c r="M96" i="100" s="1"/>
  <c r="L96" i="100" a="1"/>
  <c r="L96" i="100" s="1"/>
  <c r="K96" i="100" a="1"/>
  <c r="K96" i="100" s="1"/>
  <c r="J96" i="100" a="1"/>
  <c r="J96" i="100" s="1"/>
  <c r="I96" i="100" a="1"/>
  <c r="I96" i="100" s="1"/>
  <c r="H96" i="100" a="1"/>
  <c r="H96" i="100" s="1"/>
  <c r="G96" i="100" a="1"/>
  <c r="G96" i="100" s="1"/>
  <c r="F96" i="100" a="1"/>
  <c r="F96" i="100" s="1"/>
  <c r="E96" i="100" a="1"/>
  <c r="E96" i="100" s="1"/>
  <c r="D96" i="100" a="1"/>
  <c r="D96" i="100" s="1"/>
  <c r="T95" i="100" a="1"/>
  <c r="T95" i="100" s="1"/>
  <c r="S95" i="100" a="1"/>
  <c r="S95" i="100" s="1"/>
  <c r="R95" i="100" a="1"/>
  <c r="R95" i="100" s="1"/>
  <c r="Q95" i="100" a="1"/>
  <c r="Q95" i="100" s="1"/>
  <c r="P95" i="100" a="1"/>
  <c r="P95" i="100" s="1"/>
  <c r="O95" i="100" a="1"/>
  <c r="O95" i="100" s="1"/>
  <c r="N95" i="100" a="1"/>
  <c r="N95" i="100" s="1"/>
  <c r="M95" i="100" a="1"/>
  <c r="M95" i="100" s="1"/>
  <c r="L95" i="100" a="1"/>
  <c r="L95" i="100" s="1"/>
  <c r="K95" i="100" a="1"/>
  <c r="K95" i="100" s="1"/>
  <c r="J95" i="100" a="1"/>
  <c r="J95" i="100" s="1"/>
  <c r="I95" i="100" a="1"/>
  <c r="I95" i="100" s="1"/>
  <c r="H95" i="100" a="1"/>
  <c r="H95" i="100" s="1"/>
  <c r="G95" i="100" a="1"/>
  <c r="G95" i="100" s="1"/>
  <c r="F95" i="100" a="1"/>
  <c r="F95" i="100" s="1"/>
  <c r="E95" i="100" a="1"/>
  <c r="E95" i="100" s="1"/>
  <c r="D95" i="100" a="1"/>
  <c r="D95" i="100" s="1"/>
  <c r="T94" i="100" a="1"/>
  <c r="T94" i="100" s="1"/>
  <c r="S94" i="100" a="1"/>
  <c r="S94" i="100" s="1"/>
  <c r="R94" i="100" a="1"/>
  <c r="R94" i="100" s="1"/>
  <c r="Q94" i="100" a="1"/>
  <c r="Q94" i="100" s="1"/>
  <c r="P94" i="100" a="1"/>
  <c r="P94" i="100" s="1"/>
  <c r="O94" i="100" a="1"/>
  <c r="O94" i="100" s="1"/>
  <c r="N94" i="100" a="1"/>
  <c r="N94" i="100" s="1"/>
  <c r="M94" i="100" a="1"/>
  <c r="M94" i="100" s="1"/>
  <c r="L94" i="100" a="1"/>
  <c r="L94" i="100" s="1"/>
  <c r="K94" i="100" a="1"/>
  <c r="K94" i="100" s="1"/>
  <c r="J94" i="100" a="1"/>
  <c r="J94" i="100" s="1"/>
  <c r="I94" i="100" a="1"/>
  <c r="I94" i="100" s="1"/>
  <c r="H94" i="100" a="1"/>
  <c r="H94" i="100" s="1"/>
  <c r="G94" i="100" a="1"/>
  <c r="G94" i="100" s="1"/>
  <c r="F94" i="100" a="1"/>
  <c r="F94" i="100" s="1"/>
  <c r="E94" i="100" a="1"/>
  <c r="E94" i="100" s="1"/>
  <c r="D94" i="100" a="1"/>
  <c r="D94" i="100" s="1"/>
  <c r="T93" i="100" a="1"/>
  <c r="T93" i="100" s="1"/>
  <c r="S93" i="100" a="1"/>
  <c r="S93" i="100" s="1"/>
  <c r="R93" i="100" a="1"/>
  <c r="R93" i="100" s="1"/>
  <c r="Q93" i="100" a="1"/>
  <c r="Q93" i="100" s="1"/>
  <c r="P93" i="100" a="1"/>
  <c r="P93" i="100" s="1"/>
  <c r="O93" i="100" a="1"/>
  <c r="O93" i="100" s="1"/>
  <c r="N93" i="100" a="1"/>
  <c r="N93" i="100" s="1"/>
  <c r="M93" i="100" a="1"/>
  <c r="M93" i="100" s="1"/>
  <c r="L93" i="100" a="1"/>
  <c r="L93" i="100" s="1"/>
  <c r="K93" i="100" a="1"/>
  <c r="K93" i="100" s="1"/>
  <c r="J93" i="100" a="1"/>
  <c r="J93" i="100" s="1"/>
  <c r="I93" i="100" a="1"/>
  <c r="I93" i="100" s="1"/>
  <c r="H93" i="100" a="1"/>
  <c r="H93" i="100" s="1"/>
  <c r="G93" i="100" a="1"/>
  <c r="G93" i="100" s="1"/>
  <c r="F93" i="100" a="1"/>
  <c r="F93" i="100" s="1"/>
  <c r="E93" i="100" a="1"/>
  <c r="E93" i="100" s="1"/>
  <c r="D93" i="100" a="1"/>
  <c r="D93" i="100" s="1"/>
  <c r="T92" i="100"/>
  <c r="S92" i="100" a="1"/>
  <c r="S92" i="100" s="1"/>
  <c r="R92" i="100" a="1"/>
  <c r="R92" i="100" s="1"/>
  <c r="Q92" i="100" a="1"/>
  <c r="Q92" i="100" s="1"/>
  <c r="P92" i="100" a="1"/>
  <c r="P92" i="100" s="1"/>
  <c r="O92" i="100" a="1"/>
  <c r="O92" i="100" s="1"/>
  <c r="N92" i="100" a="1"/>
  <c r="N92" i="100" s="1"/>
  <c r="M92" i="100" a="1"/>
  <c r="M92" i="100" s="1"/>
  <c r="L92" i="100" a="1"/>
  <c r="L92" i="100" s="1"/>
  <c r="K92" i="100" a="1"/>
  <c r="K92" i="100" s="1"/>
  <c r="J92" i="100" a="1"/>
  <c r="J92" i="100" s="1"/>
  <c r="I92" i="100" a="1"/>
  <c r="I92" i="100" s="1"/>
  <c r="H92" i="100" a="1"/>
  <c r="H92" i="100" s="1"/>
  <c r="G92" i="100" a="1"/>
  <c r="G92" i="100" s="1"/>
  <c r="F92" i="100" a="1"/>
  <c r="F92" i="100" s="1"/>
  <c r="E92" i="100" a="1"/>
  <c r="E92" i="100" s="1"/>
  <c r="D92" i="100" a="1"/>
  <c r="D92" i="100" s="1"/>
  <c r="T91" i="100"/>
  <c r="S91" i="100"/>
  <c r="R91" i="100"/>
  <c r="Q91" i="100"/>
  <c r="P91" i="100"/>
  <c r="O91" i="100"/>
  <c r="N91" i="100"/>
  <c r="M91" i="100"/>
  <c r="L91" i="100"/>
  <c r="K91" i="100"/>
  <c r="J91" i="100"/>
  <c r="I91" i="100"/>
  <c r="H91" i="100"/>
  <c r="G91" i="100"/>
  <c r="F91" i="100"/>
  <c r="E91" i="100"/>
  <c r="D91" i="100"/>
  <c r="T90" i="100"/>
  <c r="S90" i="100" a="1"/>
  <c r="S90" i="100" s="1"/>
  <c r="R90" i="100" a="1"/>
  <c r="R90" i="100" s="1"/>
  <c r="Q90" i="100" a="1"/>
  <c r="Q90" i="100" s="1"/>
  <c r="P90" i="100" a="1"/>
  <c r="P90" i="100" s="1"/>
  <c r="O90" i="100" a="1"/>
  <c r="O90" i="100" s="1"/>
  <c r="N90" i="100" a="1"/>
  <c r="N90" i="100" s="1"/>
  <c r="M90" i="100" a="1"/>
  <c r="M90" i="100" s="1"/>
  <c r="L90" i="100" a="1"/>
  <c r="L90" i="100" s="1"/>
  <c r="K90" i="100" a="1"/>
  <c r="K90" i="100" s="1"/>
  <c r="J90" i="100" a="1"/>
  <c r="J90" i="100" s="1"/>
  <c r="I90" i="100" a="1"/>
  <c r="I90" i="100" s="1"/>
  <c r="H90" i="100" a="1"/>
  <c r="H90" i="100" s="1"/>
  <c r="G90" i="100" a="1"/>
  <c r="G90" i="100" s="1"/>
  <c r="F90" i="100" a="1"/>
  <c r="F90" i="100" s="1"/>
  <c r="E90" i="100" a="1"/>
  <c r="E90" i="100" s="1"/>
  <c r="D90" i="100" a="1"/>
  <c r="D90" i="100" s="1"/>
  <c r="T89" i="100"/>
  <c r="S89" i="100" a="1"/>
  <c r="S89" i="100" s="1"/>
  <c r="R89" i="100" a="1"/>
  <c r="R89" i="100" s="1"/>
  <c r="Q89" i="100" a="1"/>
  <c r="Q89" i="100" s="1"/>
  <c r="P89" i="100" a="1"/>
  <c r="P89" i="100" s="1"/>
  <c r="O89" i="100" a="1"/>
  <c r="O89" i="100" s="1"/>
  <c r="N89" i="100" a="1"/>
  <c r="N89" i="100" s="1"/>
  <c r="M89" i="100" a="1"/>
  <c r="M89" i="100" s="1"/>
  <c r="L89" i="100" a="1"/>
  <c r="L89" i="100" s="1"/>
  <c r="K89" i="100" a="1"/>
  <c r="K89" i="100" s="1"/>
  <c r="J89" i="100" a="1"/>
  <c r="J89" i="100" s="1"/>
  <c r="I89" i="100" a="1"/>
  <c r="I89" i="100" s="1"/>
  <c r="H89" i="100" a="1"/>
  <c r="H89" i="100" s="1"/>
  <c r="G89" i="100" a="1"/>
  <c r="G89" i="100" s="1"/>
  <c r="F89" i="100" a="1"/>
  <c r="F89" i="100" s="1"/>
  <c r="E89" i="100" a="1"/>
  <c r="E89" i="100" s="1"/>
  <c r="D89" i="100" a="1"/>
  <c r="D89" i="100" s="1"/>
  <c r="T88" i="100"/>
  <c r="S88" i="100" a="1"/>
  <c r="S88" i="100" s="1"/>
  <c r="R88" i="100" a="1"/>
  <c r="R88" i="100" s="1"/>
  <c r="Q88" i="100" a="1"/>
  <c r="Q88" i="100" s="1"/>
  <c r="P88" i="100" a="1"/>
  <c r="P88" i="100" s="1"/>
  <c r="O88" i="100" a="1"/>
  <c r="O88" i="100" s="1"/>
  <c r="N88" i="100" a="1"/>
  <c r="N88" i="100" s="1"/>
  <c r="M88" i="100" a="1"/>
  <c r="M88" i="100" s="1"/>
  <c r="L88" i="100" a="1"/>
  <c r="L88" i="100" s="1"/>
  <c r="K88" i="100" a="1"/>
  <c r="K88" i="100" s="1"/>
  <c r="J88" i="100" a="1"/>
  <c r="J88" i="100" s="1"/>
  <c r="I88" i="100" a="1"/>
  <c r="I88" i="100" s="1"/>
  <c r="H88" i="100" a="1"/>
  <c r="H88" i="100" s="1"/>
  <c r="G88" i="100" a="1"/>
  <c r="G88" i="100" s="1"/>
  <c r="F88" i="100" a="1"/>
  <c r="F88" i="100" s="1"/>
  <c r="E88" i="100" a="1"/>
  <c r="E88" i="100" s="1"/>
  <c r="D88" i="100" a="1"/>
  <c r="D88" i="100" s="1"/>
  <c r="T87" i="100" a="1"/>
  <c r="T87" i="100" s="1"/>
  <c r="S87" i="100" a="1"/>
  <c r="S87" i="100" s="1"/>
  <c r="R87" i="100" a="1"/>
  <c r="R87" i="100" s="1"/>
  <c r="Q87" i="100" a="1"/>
  <c r="Q87" i="100" s="1"/>
  <c r="P87" i="100" a="1"/>
  <c r="P87" i="100" s="1"/>
  <c r="O87" i="100" a="1"/>
  <c r="O87" i="100" s="1"/>
  <c r="N87" i="100" a="1"/>
  <c r="N87" i="100" s="1"/>
  <c r="M87" i="100" a="1"/>
  <c r="M87" i="100" s="1"/>
  <c r="L87" i="100" a="1"/>
  <c r="L87" i="100" s="1"/>
  <c r="K87" i="100" a="1"/>
  <c r="K87" i="100" s="1"/>
  <c r="J87" i="100" a="1"/>
  <c r="J87" i="100" s="1"/>
  <c r="I87" i="100" a="1"/>
  <c r="I87" i="100" s="1"/>
  <c r="H87" i="100" a="1"/>
  <c r="H87" i="100" s="1"/>
  <c r="G87" i="100" a="1"/>
  <c r="G87" i="100" s="1"/>
  <c r="F87" i="100" a="1"/>
  <c r="F87" i="100" s="1"/>
  <c r="E87" i="100" a="1"/>
  <c r="E87" i="100" s="1"/>
  <c r="D87" i="100" a="1"/>
  <c r="D87" i="100" s="1"/>
  <c r="T86" i="100" a="1"/>
  <c r="T86" i="100" s="1"/>
  <c r="S86" i="100" a="1"/>
  <c r="S86" i="100" s="1"/>
  <c r="R86" i="100" a="1"/>
  <c r="R86" i="100" s="1"/>
  <c r="Q86" i="100" a="1"/>
  <c r="Q86" i="100" s="1"/>
  <c r="P86" i="100" a="1"/>
  <c r="P86" i="100" s="1"/>
  <c r="O86" i="100" a="1"/>
  <c r="O86" i="100" s="1"/>
  <c r="N86" i="100" a="1"/>
  <c r="N86" i="100" s="1"/>
  <c r="M86" i="100" a="1"/>
  <c r="M86" i="100" s="1"/>
  <c r="L86" i="100" a="1"/>
  <c r="L86" i="100" s="1"/>
  <c r="K86" i="100" a="1"/>
  <c r="K86" i="100" s="1"/>
  <c r="J86" i="100" a="1"/>
  <c r="J86" i="100" s="1"/>
  <c r="I86" i="100" a="1"/>
  <c r="I86" i="100" s="1"/>
  <c r="H86" i="100" a="1"/>
  <c r="H86" i="100" s="1"/>
  <c r="G86" i="100" a="1"/>
  <c r="G86" i="100" s="1"/>
  <c r="F86" i="100" a="1"/>
  <c r="F86" i="100" s="1"/>
  <c r="E86" i="100" a="1"/>
  <c r="E86" i="100" s="1"/>
  <c r="D86" i="100" a="1"/>
  <c r="D86" i="100" s="1"/>
  <c r="T85" i="100" a="1"/>
  <c r="T85" i="100" s="1"/>
  <c r="S85" i="100" a="1"/>
  <c r="S85" i="100" s="1"/>
  <c r="R85" i="100" a="1"/>
  <c r="R85" i="100" s="1"/>
  <c r="Q85" i="100" a="1"/>
  <c r="Q85" i="100" s="1"/>
  <c r="P85" i="100" a="1"/>
  <c r="P85" i="100" s="1"/>
  <c r="O85" i="100" a="1"/>
  <c r="O85" i="100" s="1"/>
  <c r="N85" i="100" a="1"/>
  <c r="N85" i="100" s="1"/>
  <c r="M85" i="100" a="1"/>
  <c r="M85" i="100" s="1"/>
  <c r="L85" i="100" a="1"/>
  <c r="L85" i="100" s="1"/>
  <c r="K85" i="100" a="1"/>
  <c r="K85" i="100" s="1"/>
  <c r="J85" i="100" a="1"/>
  <c r="J85" i="100" s="1"/>
  <c r="I85" i="100" a="1"/>
  <c r="I85" i="100" s="1"/>
  <c r="H85" i="100" a="1"/>
  <c r="H85" i="100" s="1"/>
  <c r="G85" i="100" a="1"/>
  <c r="G85" i="100" s="1"/>
  <c r="F85" i="100" a="1"/>
  <c r="F85" i="100" s="1"/>
  <c r="E85" i="100" a="1"/>
  <c r="E85" i="100" s="1"/>
  <c r="D85" i="100" a="1"/>
  <c r="D85" i="100" s="1"/>
  <c r="T84" i="100"/>
  <c r="S84" i="100" a="1"/>
  <c r="S84" i="100" s="1"/>
  <c r="R84" i="100" a="1"/>
  <c r="R84" i="100" s="1"/>
  <c r="Q84" i="100" a="1"/>
  <c r="Q84" i="100" s="1"/>
  <c r="P84" i="100" a="1"/>
  <c r="P84" i="100" s="1"/>
  <c r="O84" i="100" a="1"/>
  <c r="O84" i="100" s="1"/>
  <c r="N84" i="100" a="1"/>
  <c r="N84" i="100" s="1"/>
  <c r="M84" i="100" a="1"/>
  <c r="M84" i="100" s="1"/>
  <c r="L84" i="100" a="1"/>
  <c r="L84" i="100" s="1"/>
  <c r="K84" i="100" a="1"/>
  <c r="K84" i="100" s="1"/>
  <c r="J84" i="100" a="1"/>
  <c r="J84" i="100" s="1"/>
  <c r="I84" i="100" a="1"/>
  <c r="I84" i="100" s="1"/>
  <c r="H84" i="100" a="1"/>
  <c r="H84" i="100" s="1"/>
  <c r="G84" i="100" a="1"/>
  <c r="G84" i="100" s="1"/>
  <c r="F84" i="100" a="1"/>
  <c r="F84" i="100" s="1"/>
  <c r="E84" i="100" a="1"/>
  <c r="E84" i="100" s="1"/>
  <c r="D84" i="100" a="1"/>
  <c r="D84" i="100" s="1"/>
  <c r="T83" i="100" a="1"/>
  <c r="T83" i="100" s="1"/>
  <c r="S83" i="100" a="1"/>
  <c r="S83" i="100" s="1"/>
  <c r="R83" i="100" a="1"/>
  <c r="R83" i="100" s="1"/>
  <c r="Q83" i="100" a="1"/>
  <c r="Q83" i="100" s="1"/>
  <c r="P83" i="100" a="1"/>
  <c r="P83" i="100" s="1"/>
  <c r="O83" i="100" a="1"/>
  <c r="O83" i="100" s="1"/>
  <c r="N83" i="100" a="1"/>
  <c r="N83" i="100" s="1"/>
  <c r="M83" i="100" a="1"/>
  <c r="M83" i="100" s="1"/>
  <c r="L83" i="100" a="1"/>
  <c r="L83" i="100" s="1"/>
  <c r="K83" i="100" a="1"/>
  <c r="K83" i="100" s="1"/>
  <c r="J83" i="100" a="1"/>
  <c r="J83" i="100" s="1"/>
  <c r="I83" i="100" a="1"/>
  <c r="I83" i="100" s="1"/>
  <c r="H83" i="100" a="1"/>
  <c r="H83" i="100" s="1"/>
  <c r="G83" i="100" a="1"/>
  <c r="G83" i="100" s="1"/>
  <c r="F83" i="100" a="1"/>
  <c r="F83" i="100" s="1"/>
  <c r="E83" i="100" a="1"/>
  <c r="E83" i="100" s="1"/>
  <c r="D83" i="100" a="1"/>
  <c r="D83" i="100" s="1"/>
  <c r="T82" i="100" a="1"/>
  <c r="T82" i="100" s="1"/>
  <c r="S82" i="100" a="1"/>
  <c r="S82" i="100" s="1"/>
  <c r="R82" i="100" a="1"/>
  <c r="R82" i="100" s="1"/>
  <c r="Q82" i="100" a="1"/>
  <c r="Q82" i="100" s="1"/>
  <c r="P82" i="100" a="1"/>
  <c r="P82" i="100" s="1"/>
  <c r="O82" i="100" a="1"/>
  <c r="O82" i="100" s="1"/>
  <c r="N82" i="100" a="1"/>
  <c r="N82" i="100" s="1"/>
  <c r="M82" i="100" a="1"/>
  <c r="M82" i="100" s="1"/>
  <c r="L82" i="100" a="1"/>
  <c r="L82" i="100" s="1"/>
  <c r="K82" i="100" a="1"/>
  <c r="K82" i="100" s="1"/>
  <c r="J82" i="100" a="1"/>
  <c r="J82" i="100" s="1"/>
  <c r="I82" i="100" a="1"/>
  <c r="I82" i="100" s="1"/>
  <c r="H82" i="100" a="1"/>
  <c r="H82" i="100" s="1"/>
  <c r="G82" i="100" a="1"/>
  <c r="G82" i="100" s="1"/>
  <c r="F82" i="100" a="1"/>
  <c r="F82" i="100" s="1"/>
  <c r="E82" i="100" a="1"/>
  <c r="E82" i="100" s="1"/>
  <c r="D82" i="100" a="1"/>
  <c r="D82" i="100" s="1"/>
  <c r="T81" i="100" a="1"/>
  <c r="T81" i="100" s="1"/>
  <c r="S81" i="100" a="1"/>
  <c r="S81" i="100" s="1"/>
  <c r="R81" i="100" a="1"/>
  <c r="R81" i="100" s="1"/>
  <c r="Q81" i="100" a="1"/>
  <c r="Q81" i="100" s="1"/>
  <c r="P81" i="100" a="1"/>
  <c r="P81" i="100" s="1"/>
  <c r="O81" i="100" a="1"/>
  <c r="O81" i="100" s="1"/>
  <c r="N81" i="100" a="1"/>
  <c r="N81" i="100" s="1"/>
  <c r="M81" i="100" a="1"/>
  <c r="M81" i="100" s="1"/>
  <c r="L81" i="100" a="1"/>
  <c r="L81" i="100" s="1"/>
  <c r="K81" i="100" a="1"/>
  <c r="K81" i="100" s="1"/>
  <c r="J81" i="100" a="1"/>
  <c r="J81" i="100" s="1"/>
  <c r="I81" i="100" a="1"/>
  <c r="I81" i="100" s="1"/>
  <c r="H81" i="100" a="1"/>
  <c r="H81" i="100" s="1"/>
  <c r="G81" i="100" a="1"/>
  <c r="G81" i="100" s="1"/>
  <c r="F81" i="100" a="1"/>
  <c r="F81" i="100" s="1"/>
  <c r="E81" i="100" a="1"/>
  <c r="E81" i="100" s="1"/>
  <c r="D81" i="100" a="1"/>
  <c r="D81" i="100" s="1"/>
  <c r="T80" i="100"/>
  <c r="S80" i="100" a="1"/>
  <c r="S80" i="100" s="1"/>
  <c r="R80" i="100" a="1"/>
  <c r="R80" i="100" s="1"/>
  <c r="Q80" i="100" a="1"/>
  <c r="Q80" i="100" s="1"/>
  <c r="P80" i="100" a="1"/>
  <c r="P80" i="100" s="1"/>
  <c r="O80" i="100" a="1"/>
  <c r="O80" i="100" s="1"/>
  <c r="N80" i="100" a="1"/>
  <c r="N80" i="100" s="1"/>
  <c r="M80" i="100" a="1"/>
  <c r="M80" i="100" s="1"/>
  <c r="L80" i="100" a="1"/>
  <c r="L80" i="100" s="1"/>
  <c r="K80" i="100" a="1"/>
  <c r="K80" i="100" s="1"/>
  <c r="J80" i="100" a="1"/>
  <c r="J80" i="100" s="1"/>
  <c r="I80" i="100" a="1"/>
  <c r="I80" i="100" s="1"/>
  <c r="H80" i="100" a="1"/>
  <c r="H80" i="100" s="1"/>
  <c r="G80" i="100" a="1"/>
  <c r="G80" i="100" s="1"/>
  <c r="F80" i="100" a="1"/>
  <c r="F80" i="100" s="1"/>
  <c r="E80" i="100" a="1"/>
  <c r="E80" i="100" s="1"/>
  <c r="D80" i="100" a="1"/>
  <c r="D80" i="100" s="1"/>
  <c r="T75" i="100"/>
  <c r="S75" i="100"/>
  <c r="R75" i="100"/>
  <c r="Q75" i="100"/>
  <c r="P75" i="100"/>
  <c r="O75" i="100"/>
  <c r="N75" i="100"/>
  <c r="M75" i="100"/>
  <c r="L75" i="100"/>
  <c r="K75" i="100"/>
  <c r="J75" i="100"/>
  <c r="I75" i="100"/>
  <c r="H75" i="100"/>
  <c r="G75" i="100"/>
  <c r="F75" i="100"/>
  <c r="E75" i="100"/>
  <c r="D75" i="100"/>
  <c r="T74" i="100"/>
  <c r="S74" i="100"/>
  <c r="R74" i="100"/>
  <c r="Q74" i="100"/>
  <c r="P74" i="100"/>
  <c r="O74" i="100"/>
  <c r="N74" i="100"/>
  <c r="M74" i="100"/>
  <c r="L74" i="100"/>
  <c r="K74" i="100"/>
  <c r="J74" i="100"/>
  <c r="I74" i="100"/>
  <c r="H74" i="100"/>
  <c r="G74" i="100"/>
  <c r="F74" i="100"/>
  <c r="E74" i="100"/>
  <c r="D74" i="100"/>
  <c r="T73" i="100"/>
  <c r="S73" i="100"/>
  <c r="R73" i="100"/>
  <c r="Q73" i="100"/>
  <c r="P73" i="100"/>
  <c r="O73" i="100"/>
  <c r="N73" i="100"/>
  <c r="M73" i="100"/>
  <c r="L73" i="100"/>
  <c r="K73" i="100"/>
  <c r="J73" i="100"/>
  <c r="I73" i="100"/>
  <c r="H73" i="100"/>
  <c r="G73" i="100"/>
  <c r="F73" i="100"/>
  <c r="E73" i="100"/>
  <c r="D73" i="100"/>
  <c r="T72" i="100"/>
  <c r="S72" i="100"/>
  <c r="R72" i="100"/>
  <c r="Q72" i="100"/>
  <c r="P72" i="100"/>
  <c r="O72" i="100"/>
  <c r="N72" i="100"/>
  <c r="M72" i="100"/>
  <c r="L72" i="100"/>
  <c r="K72" i="100"/>
  <c r="J72" i="100"/>
  <c r="I72" i="100"/>
  <c r="H72" i="100"/>
  <c r="G72" i="100"/>
  <c r="F72" i="100"/>
  <c r="E72" i="100"/>
  <c r="D72" i="100"/>
  <c r="T71" i="100"/>
  <c r="S71" i="100"/>
  <c r="R71" i="100"/>
  <c r="Q71" i="100"/>
  <c r="P71" i="100"/>
  <c r="O71" i="100"/>
  <c r="N71" i="100"/>
  <c r="M71" i="100"/>
  <c r="L71" i="100"/>
  <c r="K71" i="100"/>
  <c r="J71" i="100"/>
  <c r="I71" i="100"/>
  <c r="H71" i="100"/>
  <c r="G71" i="100"/>
  <c r="F71" i="100"/>
  <c r="E71" i="100"/>
  <c r="D71" i="100"/>
  <c r="T70" i="100"/>
  <c r="S70" i="100"/>
  <c r="R70" i="100"/>
  <c r="Q70" i="100"/>
  <c r="P70" i="100"/>
  <c r="O70" i="100"/>
  <c r="N70" i="100"/>
  <c r="M70" i="100"/>
  <c r="L70" i="100"/>
  <c r="K70" i="100"/>
  <c r="J70" i="100"/>
  <c r="I70" i="100"/>
  <c r="H70" i="100"/>
  <c r="G70" i="100"/>
  <c r="F70" i="100"/>
  <c r="E70" i="100"/>
  <c r="D70" i="100"/>
  <c r="T69" i="100"/>
  <c r="S69" i="100"/>
  <c r="R69" i="100"/>
  <c r="Q69" i="100"/>
  <c r="P69" i="100"/>
  <c r="O69" i="100"/>
  <c r="N69" i="100"/>
  <c r="M69" i="100"/>
  <c r="L69" i="100"/>
  <c r="K69" i="100"/>
  <c r="J69" i="100"/>
  <c r="I69" i="100"/>
  <c r="H69" i="100"/>
  <c r="G69" i="100"/>
  <c r="F69" i="100"/>
  <c r="E69" i="100"/>
  <c r="D69" i="100"/>
  <c r="T68" i="100"/>
  <c r="S68" i="100"/>
  <c r="R68" i="100"/>
  <c r="Q68" i="100"/>
  <c r="P68" i="100"/>
  <c r="O68" i="100"/>
  <c r="N68" i="100"/>
  <c r="M68" i="100"/>
  <c r="L68" i="100"/>
  <c r="K68" i="100"/>
  <c r="J68" i="100"/>
  <c r="I68" i="100"/>
  <c r="H68" i="100"/>
  <c r="G68" i="100"/>
  <c r="F68" i="100"/>
  <c r="E68" i="100"/>
  <c r="D68" i="100"/>
  <c r="T67" i="100"/>
  <c r="S67" i="100"/>
  <c r="R67" i="100"/>
  <c r="Q67" i="100"/>
  <c r="P67" i="100"/>
  <c r="O67" i="100"/>
  <c r="N67" i="100"/>
  <c r="M67" i="100"/>
  <c r="L67" i="100"/>
  <c r="K67" i="100"/>
  <c r="J67" i="100"/>
  <c r="I67" i="100"/>
  <c r="H67" i="100"/>
  <c r="G67" i="100"/>
  <c r="F67" i="100"/>
  <c r="E67" i="100"/>
  <c r="D67" i="100"/>
  <c r="T66" i="100"/>
  <c r="S66" i="100"/>
  <c r="R66" i="100"/>
  <c r="Q66" i="100"/>
  <c r="P66" i="100"/>
  <c r="O66" i="100"/>
  <c r="N66" i="100"/>
  <c r="M66" i="100"/>
  <c r="L66" i="100"/>
  <c r="K66" i="100"/>
  <c r="J66" i="100"/>
  <c r="I66" i="100"/>
  <c r="H66" i="100"/>
  <c r="G66" i="100"/>
  <c r="F66" i="100"/>
  <c r="E66" i="100"/>
  <c r="D66" i="100"/>
  <c r="T65" i="100"/>
  <c r="S65" i="100"/>
  <c r="R65" i="100"/>
  <c r="Q65" i="100"/>
  <c r="P65" i="100"/>
  <c r="O65" i="100"/>
  <c r="N65" i="100"/>
  <c r="M65" i="100"/>
  <c r="L65" i="100"/>
  <c r="K65" i="100"/>
  <c r="J65" i="100"/>
  <c r="I65" i="100"/>
  <c r="H65" i="100"/>
  <c r="G65" i="100"/>
  <c r="F65" i="100"/>
  <c r="E65" i="100"/>
  <c r="D65" i="100"/>
  <c r="T64" i="100"/>
  <c r="S64" i="100"/>
  <c r="R64" i="100"/>
  <c r="Q64" i="100"/>
  <c r="P64" i="100"/>
  <c r="O64" i="100"/>
  <c r="N64" i="100"/>
  <c r="M64" i="100"/>
  <c r="L64" i="100"/>
  <c r="K64" i="100"/>
  <c r="J64" i="100"/>
  <c r="I64" i="100"/>
  <c r="H64" i="100"/>
  <c r="G64" i="100"/>
  <c r="F64" i="100"/>
  <c r="E64" i="100"/>
  <c r="D64" i="100"/>
  <c r="T63" i="100"/>
  <c r="S63" i="100"/>
  <c r="R63" i="100"/>
  <c r="Q63" i="100"/>
  <c r="P63" i="100"/>
  <c r="O63" i="100"/>
  <c r="N63" i="100"/>
  <c r="M63" i="100"/>
  <c r="L63" i="100"/>
  <c r="K63" i="100"/>
  <c r="J63" i="100"/>
  <c r="I63" i="100"/>
  <c r="H63" i="100"/>
  <c r="G63" i="100"/>
  <c r="F63" i="100"/>
  <c r="E63" i="100"/>
  <c r="D63" i="100"/>
  <c r="T62" i="100"/>
  <c r="S62" i="100"/>
  <c r="R62" i="100"/>
  <c r="Q62" i="100"/>
  <c r="P62" i="100"/>
  <c r="O62" i="100"/>
  <c r="N62" i="100"/>
  <c r="M62" i="100"/>
  <c r="L62" i="100"/>
  <c r="K62" i="100"/>
  <c r="J62" i="100"/>
  <c r="I62" i="100"/>
  <c r="H62" i="100"/>
  <c r="G62" i="100"/>
  <c r="F62" i="100"/>
  <c r="E62" i="100"/>
  <c r="D62" i="100"/>
  <c r="T61" i="100"/>
  <c r="S61" i="100"/>
  <c r="R61" i="100"/>
  <c r="Q61" i="100"/>
  <c r="P61" i="100"/>
  <c r="O61" i="100"/>
  <c r="N61" i="100"/>
  <c r="M61" i="100"/>
  <c r="L61" i="100"/>
  <c r="K61" i="100"/>
  <c r="J61" i="100"/>
  <c r="I61" i="100"/>
  <c r="H61" i="100"/>
  <c r="G61" i="100"/>
  <c r="F61" i="100"/>
  <c r="E61" i="100"/>
  <c r="D61" i="100"/>
  <c r="T60" i="100"/>
  <c r="S60" i="100"/>
  <c r="R60" i="100"/>
  <c r="Q60" i="100"/>
  <c r="P60" i="100"/>
  <c r="O60" i="100"/>
  <c r="N60" i="100"/>
  <c r="M60" i="100"/>
  <c r="L60" i="100"/>
  <c r="K60" i="100"/>
  <c r="J60" i="100"/>
  <c r="I60" i="100"/>
  <c r="H60" i="100"/>
  <c r="G60" i="100"/>
  <c r="F60" i="100"/>
  <c r="E60" i="100"/>
  <c r="D60" i="100"/>
  <c r="T59" i="100"/>
  <c r="S59" i="100"/>
  <c r="R59" i="100"/>
  <c r="Q59" i="100"/>
  <c r="P59" i="100"/>
  <c r="O59" i="100"/>
  <c r="N59" i="100"/>
  <c r="M59" i="100"/>
  <c r="L59" i="100"/>
  <c r="K59" i="100"/>
  <c r="J59" i="100"/>
  <c r="I59" i="100"/>
  <c r="H59" i="100"/>
  <c r="G59" i="100"/>
  <c r="F59" i="100"/>
  <c r="E59" i="100"/>
  <c r="D59" i="100"/>
  <c r="T55" i="100"/>
  <c r="S55" i="100"/>
  <c r="AN58" i="100" s="1"/>
  <c r="R55" i="100"/>
  <c r="AM56" i="100" s="1"/>
  <c r="Q55" i="100"/>
  <c r="P55" i="100"/>
  <c r="O55" i="100"/>
  <c r="AJ58" i="100" s="1"/>
  <c r="N55" i="100"/>
  <c r="AI56" i="100" s="1"/>
  <c r="M55" i="100"/>
  <c r="AH55" i="100" s="1"/>
  <c r="L55" i="100"/>
  <c r="AG55" i="100" s="1"/>
  <c r="K55" i="100"/>
  <c r="AF58" i="100" s="1"/>
  <c r="J55" i="100"/>
  <c r="AE56" i="100" s="1"/>
  <c r="I55" i="100"/>
  <c r="H55" i="100"/>
  <c r="G55" i="100"/>
  <c r="AB58" i="100" s="1"/>
  <c r="F55" i="100"/>
  <c r="AA56" i="100" s="1"/>
  <c r="E55" i="100"/>
  <c r="D55" i="100"/>
  <c r="Y55" i="100" s="1"/>
  <c r="T54" i="100"/>
  <c r="S54" i="100"/>
  <c r="R54" i="100"/>
  <c r="Q54" i="100"/>
  <c r="P54" i="100"/>
  <c r="O54" i="100"/>
  <c r="N54" i="100"/>
  <c r="M54" i="100"/>
  <c r="L54" i="100"/>
  <c r="K54" i="100"/>
  <c r="J54" i="100"/>
  <c r="I54" i="100"/>
  <c r="H54" i="100"/>
  <c r="G54" i="100"/>
  <c r="F54" i="100"/>
  <c r="E54" i="100"/>
  <c r="D54" i="100"/>
  <c r="T53" i="100"/>
  <c r="S53" i="100"/>
  <c r="R53" i="100"/>
  <c r="Q53" i="100"/>
  <c r="P53" i="100"/>
  <c r="O53" i="100"/>
  <c r="N53" i="100"/>
  <c r="M53" i="100"/>
  <c r="L53" i="100"/>
  <c r="K53" i="100"/>
  <c r="J53" i="100"/>
  <c r="I53" i="100"/>
  <c r="H53" i="100"/>
  <c r="G53" i="100"/>
  <c r="F53" i="100"/>
  <c r="E53" i="100"/>
  <c r="D53" i="100"/>
  <c r="T52" i="100"/>
  <c r="S52" i="100"/>
  <c r="R52" i="100"/>
  <c r="Q52" i="100"/>
  <c r="P52" i="100"/>
  <c r="O52" i="100"/>
  <c r="N52" i="100"/>
  <c r="M52" i="100"/>
  <c r="L52" i="100"/>
  <c r="K52" i="100"/>
  <c r="J52" i="100"/>
  <c r="I52" i="100"/>
  <c r="H52" i="100"/>
  <c r="G52" i="100"/>
  <c r="F52" i="100"/>
  <c r="E52" i="100"/>
  <c r="D52" i="100"/>
  <c r="T51" i="100"/>
  <c r="S51" i="100"/>
  <c r="R51" i="100"/>
  <c r="Q51" i="100"/>
  <c r="P51" i="100"/>
  <c r="O51" i="100"/>
  <c r="N51" i="100"/>
  <c r="M51" i="100"/>
  <c r="L51" i="100"/>
  <c r="K51" i="100"/>
  <c r="J51" i="100"/>
  <c r="I51" i="100"/>
  <c r="H51" i="100"/>
  <c r="G51" i="100"/>
  <c r="F51" i="100"/>
  <c r="E51" i="100"/>
  <c r="D51" i="100"/>
  <c r="T50" i="100"/>
  <c r="S50" i="100"/>
  <c r="R50" i="100"/>
  <c r="Q50" i="100"/>
  <c r="P50" i="100"/>
  <c r="O50" i="100"/>
  <c r="N50" i="100"/>
  <c r="M50" i="100"/>
  <c r="L50" i="100"/>
  <c r="K50" i="100"/>
  <c r="J50" i="100"/>
  <c r="I50" i="100"/>
  <c r="H50" i="100"/>
  <c r="G50" i="100"/>
  <c r="F50" i="100"/>
  <c r="E50" i="100"/>
  <c r="D50" i="100"/>
  <c r="T49" i="100"/>
  <c r="S49" i="100"/>
  <c r="R49" i="100"/>
  <c r="Q49" i="100"/>
  <c r="P49" i="100"/>
  <c r="O49" i="100"/>
  <c r="N49" i="100"/>
  <c r="M49" i="100"/>
  <c r="L49" i="100"/>
  <c r="K49" i="100"/>
  <c r="J49" i="100"/>
  <c r="I49" i="100"/>
  <c r="H49" i="100"/>
  <c r="G49" i="100"/>
  <c r="F49" i="100"/>
  <c r="E49" i="100"/>
  <c r="D49" i="100"/>
  <c r="T48" i="100"/>
  <c r="S48" i="100"/>
  <c r="R48" i="100"/>
  <c r="Q48" i="100"/>
  <c r="P48" i="100"/>
  <c r="O48" i="100"/>
  <c r="N48" i="100"/>
  <c r="M48" i="100"/>
  <c r="L48" i="100"/>
  <c r="K48" i="100"/>
  <c r="J48" i="100"/>
  <c r="I48" i="100"/>
  <c r="H48" i="100"/>
  <c r="G48" i="100"/>
  <c r="F48" i="100"/>
  <c r="E48" i="100"/>
  <c r="D48" i="100"/>
  <c r="T47" i="100"/>
  <c r="S47" i="100"/>
  <c r="R47" i="100"/>
  <c r="Q47" i="100"/>
  <c r="P47" i="100"/>
  <c r="O47" i="100"/>
  <c r="N47" i="100"/>
  <c r="M47" i="100"/>
  <c r="L47" i="100"/>
  <c r="K47" i="100"/>
  <c r="J47" i="100"/>
  <c r="I47" i="100"/>
  <c r="H47" i="100"/>
  <c r="G47" i="100"/>
  <c r="F47" i="100"/>
  <c r="E47" i="100"/>
  <c r="D47" i="100"/>
  <c r="T46" i="100"/>
  <c r="S46" i="100"/>
  <c r="R46" i="100"/>
  <c r="Q46" i="100"/>
  <c r="P46" i="100"/>
  <c r="O46" i="100"/>
  <c r="N46" i="100"/>
  <c r="M46" i="100"/>
  <c r="L46" i="100"/>
  <c r="K46" i="100"/>
  <c r="J46" i="100"/>
  <c r="I46" i="100"/>
  <c r="H46" i="100"/>
  <c r="G46" i="100"/>
  <c r="F46" i="100"/>
  <c r="E46" i="100"/>
  <c r="D46" i="100"/>
  <c r="T45" i="100"/>
  <c r="S45" i="100"/>
  <c r="R45" i="100"/>
  <c r="Q45" i="100"/>
  <c r="P45" i="100"/>
  <c r="O45" i="100"/>
  <c r="N45" i="100"/>
  <c r="M45" i="100"/>
  <c r="L45" i="100"/>
  <c r="K45" i="100"/>
  <c r="J45" i="100"/>
  <c r="I45" i="100"/>
  <c r="H45" i="100"/>
  <c r="G45" i="100"/>
  <c r="F45" i="100"/>
  <c r="E45" i="100"/>
  <c r="D45" i="100"/>
  <c r="T44" i="100"/>
  <c r="S44" i="100"/>
  <c r="R44" i="100"/>
  <c r="Q44" i="100"/>
  <c r="P44" i="100"/>
  <c r="O44" i="100"/>
  <c r="N44" i="100"/>
  <c r="M44" i="100"/>
  <c r="L44" i="100"/>
  <c r="K44" i="100"/>
  <c r="J44" i="100"/>
  <c r="I44" i="100"/>
  <c r="H44" i="100"/>
  <c r="G44" i="100"/>
  <c r="F44" i="100"/>
  <c r="E44" i="100"/>
  <c r="D44" i="100"/>
  <c r="T43" i="100"/>
  <c r="S43" i="100"/>
  <c r="R43" i="100"/>
  <c r="Q43" i="100"/>
  <c r="P43" i="100"/>
  <c r="O43" i="100"/>
  <c r="N43" i="100"/>
  <c r="M43" i="100"/>
  <c r="L43" i="100"/>
  <c r="K43" i="100"/>
  <c r="J43" i="100"/>
  <c r="I43" i="100"/>
  <c r="H43" i="100"/>
  <c r="G43" i="100"/>
  <c r="F43" i="100"/>
  <c r="E43" i="100"/>
  <c r="D43" i="100"/>
  <c r="T42" i="100"/>
  <c r="S42" i="100"/>
  <c r="R42" i="100"/>
  <c r="Q42" i="100"/>
  <c r="P42" i="100"/>
  <c r="O42" i="100"/>
  <c r="N42" i="100"/>
  <c r="M42" i="100"/>
  <c r="L42" i="100"/>
  <c r="K42" i="100"/>
  <c r="J42" i="100"/>
  <c r="I42" i="100"/>
  <c r="H42" i="100"/>
  <c r="G42" i="100"/>
  <c r="F42" i="100"/>
  <c r="E42" i="100"/>
  <c r="D42" i="100"/>
  <c r="T41" i="100"/>
  <c r="S41" i="100"/>
  <c r="R41" i="100"/>
  <c r="Q41" i="100"/>
  <c r="P41" i="100"/>
  <c r="O41" i="100"/>
  <c r="N41" i="100"/>
  <c r="M41" i="100"/>
  <c r="L41" i="100"/>
  <c r="K41" i="100"/>
  <c r="J41" i="100"/>
  <c r="I41" i="100"/>
  <c r="H41" i="100"/>
  <c r="G41" i="100"/>
  <c r="F41" i="100"/>
  <c r="E41" i="100"/>
  <c r="D41" i="100"/>
  <c r="T40" i="100"/>
  <c r="S40" i="100"/>
  <c r="R40" i="100"/>
  <c r="Q40" i="100"/>
  <c r="P40" i="100"/>
  <c r="O40" i="100"/>
  <c r="N40" i="100"/>
  <c r="M40" i="100"/>
  <c r="L40" i="100"/>
  <c r="K40" i="100"/>
  <c r="J40" i="100"/>
  <c r="I40" i="100"/>
  <c r="H40" i="100"/>
  <c r="G40" i="100"/>
  <c r="F40" i="100"/>
  <c r="E40" i="100"/>
  <c r="D40" i="100"/>
  <c r="T39" i="100"/>
  <c r="S39" i="100"/>
  <c r="R39" i="100"/>
  <c r="Q39" i="100"/>
  <c r="P39" i="100"/>
  <c r="O39" i="100"/>
  <c r="N39" i="100"/>
  <c r="M39" i="100"/>
  <c r="L39" i="100"/>
  <c r="K39" i="100"/>
  <c r="J39" i="100"/>
  <c r="I39" i="100"/>
  <c r="H39" i="100"/>
  <c r="G39" i="100"/>
  <c r="F39" i="100"/>
  <c r="E39" i="100"/>
  <c r="D39" i="100"/>
  <c r="T38" i="100"/>
  <c r="S38" i="100"/>
  <c r="R38" i="100"/>
  <c r="Q38" i="100"/>
  <c r="P38" i="100"/>
  <c r="O38" i="100"/>
  <c r="N38" i="100"/>
  <c r="M38" i="100"/>
  <c r="L38" i="100"/>
  <c r="K38" i="100"/>
  <c r="J38" i="100"/>
  <c r="I38" i="100"/>
  <c r="H38" i="100"/>
  <c r="G38" i="100"/>
  <c r="F38" i="100"/>
  <c r="E38" i="100"/>
  <c r="D38" i="100"/>
  <c r="T37" i="100"/>
  <c r="S37" i="100"/>
  <c r="R37" i="100"/>
  <c r="Q37" i="100"/>
  <c r="P37" i="100"/>
  <c r="O37" i="100"/>
  <c r="N37" i="100"/>
  <c r="M37" i="100"/>
  <c r="L37" i="100"/>
  <c r="K37" i="100"/>
  <c r="J37" i="100"/>
  <c r="I37" i="100"/>
  <c r="H37" i="100"/>
  <c r="G37" i="100"/>
  <c r="F37" i="100"/>
  <c r="E37" i="100"/>
  <c r="D37" i="100"/>
  <c r="T36" i="100"/>
  <c r="S36" i="100"/>
  <c r="R36" i="100"/>
  <c r="Q36" i="100"/>
  <c r="P36" i="100"/>
  <c r="O36" i="100"/>
  <c r="N36" i="100"/>
  <c r="M36" i="100"/>
  <c r="L36" i="100"/>
  <c r="K36" i="100"/>
  <c r="J36" i="100"/>
  <c r="I36" i="100"/>
  <c r="H36" i="100"/>
  <c r="G36" i="100"/>
  <c r="F36" i="100"/>
  <c r="E36" i="100"/>
  <c r="D36" i="100"/>
  <c r="T35" i="100"/>
  <c r="S35" i="100"/>
  <c r="R35" i="100"/>
  <c r="Q35" i="100"/>
  <c r="P35" i="100"/>
  <c r="O35" i="100"/>
  <c r="N35" i="100"/>
  <c r="M35" i="100"/>
  <c r="L35" i="100"/>
  <c r="K35" i="100"/>
  <c r="J35" i="100"/>
  <c r="I35" i="100"/>
  <c r="H35" i="100"/>
  <c r="G35" i="100"/>
  <c r="F35" i="100"/>
  <c r="E35" i="100"/>
  <c r="D35" i="100"/>
  <c r="T34" i="100"/>
  <c r="S34" i="100"/>
  <c r="R34" i="100"/>
  <c r="Q34" i="100"/>
  <c r="P34" i="100"/>
  <c r="O34" i="100"/>
  <c r="N34" i="100"/>
  <c r="M34" i="100"/>
  <c r="L34" i="100"/>
  <c r="K34" i="100"/>
  <c r="J34" i="100"/>
  <c r="I34" i="100"/>
  <c r="H34" i="100"/>
  <c r="G34" i="100"/>
  <c r="F34" i="100"/>
  <c r="E34" i="100"/>
  <c r="D34" i="100"/>
  <c r="T33" i="100"/>
  <c r="S33" i="100"/>
  <c r="R33" i="100"/>
  <c r="Q33" i="100"/>
  <c r="P33" i="100"/>
  <c r="O33" i="100"/>
  <c r="N33" i="100"/>
  <c r="M33" i="100"/>
  <c r="L33" i="100"/>
  <c r="K33" i="100"/>
  <c r="J33" i="100"/>
  <c r="I33" i="100"/>
  <c r="H33" i="100"/>
  <c r="G33" i="100"/>
  <c r="F33" i="100"/>
  <c r="E33" i="100"/>
  <c r="D33" i="100"/>
  <c r="T32" i="100"/>
  <c r="S32" i="100"/>
  <c r="R32" i="100"/>
  <c r="Q32" i="100"/>
  <c r="P32" i="100"/>
  <c r="O32" i="100"/>
  <c r="N32" i="100"/>
  <c r="M32" i="100"/>
  <c r="L32" i="100"/>
  <c r="K32" i="100"/>
  <c r="J32" i="100"/>
  <c r="I32" i="100"/>
  <c r="H32" i="100"/>
  <c r="G32" i="100"/>
  <c r="F32" i="100"/>
  <c r="E32" i="100"/>
  <c r="D32" i="100"/>
  <c r="T31" i="100"/>
  <c r="S31" i="100"/>
  <c r="R31" i="100"/>
  <c r="Q31" i="100"/>
  <c r="P31" i="100"/>
  <c r="O31" i="100"/>
  <c r="N31" i="100"/>
  <c r="M31" i="100"/>
  <c r="L31" i="100"/>
  <c r="K31" i="100"/>
  <c r="J31" i="100"/>
  <c r="I31" i="100"/>
  <c r="H31" i="100"/>
  <c r="G31" i="100"/>
  <c r="F31" i="100"/>
  <c r="E31" i="100"/>
  <c r="D31" i="100"/>
  <c r="T30" i="100"/>
  <c r="S30" i="100"/>
  <c r="R30" i="100"/>
  <c r="Q30" i="100"/>
  <c r="P30" i="100"/>
  <c r="O30" i="100"/>
  <c r="N30" i="100"/>
  <c r="M30" i="100"/>
  <c r="L30" i="100"/>
  <c r="K30" i="100"/>
  <c r="J30" i="100"/>
  <c r="I30" i="100"/>
  <c r="H30" i="100"/>
  <c r="G30" i="100"/>
  <c r="F30" i="100"/>
  <c r="E30" i="100"/>
  <c r="D30" i="100"/>
  <c r="T29" i="100"/>
  <c r="S29" i="100"/>
  <c r="R29" i="100"/>
  <c r="Q29" i="100"/>
  <c r="P29" i="100"/>
  <c r="O29" i="100"/>
  <c r="N29" i="100"/>
  <c r="M29" i="100"/>
  <c r="L29" i="100"/>
  <c r="K29" i="100"/>
  <c r="J29" i="100"/>
  <c r="I29" i="100"/>
  <c r="H29" i="100"/>
  <c r="G29" i="100"/>
  <c r="F29" i="100"/>
  <c r="E29" i="100"/>
  <c r="D29" i="100"/>
  <c r="T28" i="100"/>
  <c r="S28" i="100"/>
  <c r="R28" i="100"/>
  <c r="Q28" i="100"/>
  <c r="P28" i="100"/>
  <c r="O28" i="100"/>
  <c r="N28" i="100"/>
  <c r="M28" i="100"/>
  <c r="L28" i="100"/>
  <c r="K28" i="100"/>
  <c r="J28" i="100"/>
  <c r="I28" i="100"/>
  <c r="H28" i="100"/>
  <c r="G28" i="100"/>
  <c r="F28" i="100"/>
  <c r="E28" i="100"/>
  <c r="D28" i="100"/>
  <c r="T27" i="100"/>
  <c r="S27" i="100"/>
  <c r="R27" i="100"/>
  <c r="Q27" i="100"/>
  <c r="P27" i="100"/>
  <c r="O27" i="100"/>
  <c r="N27" i="100"/>
  <c r="M27" i="100"/>
  <c r="L27" i="100"/>
  <c r="K27" i="100"/>
  <c r="J27" i="100"/>
  <c r="I27" i="100"/>
  <c r="H27" i="100"/>
  <c r="G27" i="100"/>
  <c r="F27" i="100"/>
  <c r="E27" i="100"/>
  <c r="D27" i="100"/>
  <c r="T26" i="100"/>
  <c r="S26" i="100"/>
  <c r="R26" i="100"/>
  <c r="Q26" i="100"/>
  <c r="P26" i="100"/>
  <c r="O26" i="100"/>
  <c r="N26" i="100"/>
  <c r="M26" i="100"/>
  <c r="L26" i="100"/>
  <c r="K26" i="100"/>
  <c r="J26" i="100"/>
  <c r="I26" i="100"/>
  <c r="H26" i="100"/>
  <c r="G26" i="100"/>
  <c r="F26" i="100"/>
  <c r="E26" i="100"/>
  <c r="D26" i="100"/>
  <c r="T25" i="100"/>
  <c r="S25" i="100"/>
  <c r="R25" i="100"/>
  <c r="Q25" i="100"/>
  <c r="P25" i="100"/>
  <c r="O25" i="100"/>
  <c r="N25" i="100"/>
  <c r="M25" i="100"/>
  <c r="L25" i="100"/>
  <c r="K25" i="100"/>
  <c r="J25" i="100"/>
  <c r="I25" i="100"/>
  <c r="H25" i="100"/>
  <c r="G25" i="100"/>
  <c r="F25" i="100"/>
  <c r="E25" i="100"/>
  <c r="D25" i="100"/>
  <c r="T24" i="100"/>
  <c r="S24" i="100"/>
  <c r="R24" i="100"/>
  <c r="Q24" i="100"/>
  <c r="P24" i="100"/>
  <c r="O24" i="100"/>
  <c r="N24" i="100"/>
  <c r="M24" i="100"/>
  <c r="L24" i="100"/>
  <c r="K24" i="100"/>
  <c r="J24" i="100"/>
  <c r="I24" i="100"/>
  <c r="H24" i="100"/>
  <c r="G24" i="100"/>
  <c r="F24" i="100"/>
  <c r="E24" i="100"/>
  <c r="D24" i="100"/>
  <c r="T23" i="100"/>
  <c r="S23" i="100"/>
  <c r="R23" i="100"/>
  <c r="Q23" i="100"/>
  <c r="P23" i="100"/>
  <c r="O23" i="100"/>
  <c r="N23" i="100"/>
  <c r="M23" i="100"/>
  <c r="L23" i="100"/>
  <c r="K23" i="100"/>
  <c r="J23" i="100"/>
  <c r="I23" i="100"/>
  <c r="H23" i="100"/>
  <c r="G23" i="100"/>
  <c r="F23" i="100"/>
  <c r="E23" i="100"/>
  <c r="D23" i="100"/>
  <c r="T22" i="100"/>
  <c r="S22" i="100"/>
  <c r="R22" i="100"/>
  <c r="Q22" i="100"/>
  <c r="P22" i="100"/>
  <c r="O22" i="100"/>
  <c r="N22" i="100"/>
  <c r="M22" i="100"/>
  <c r="L22" i="100"/>
  <c r="K22" i="100"/>
  <c r="J22" i="100"/>
  <c r="I22" i="100"/>
  <c r="H22" i="100"/>
  <c r="G22" i="100"/>
  <c r="F22" i="100"/>
  <c r="E22" i="100"/>
  <c r="D22" i="100"/>
  <c r="T21" i="100"/>
  <c r="S21" i="100"/>
  <c r="R21" i="100"/>
  <c r="Q21" i="100"/>
  <c r="P21" i="100"/>
  <c r="O21" i="100"/>
  <c r="N21" i="100"/>
  <c r="M21" i="100"/>
  <c r="L21" i="100"/>
  <c r="K21" i="100"/>
  <c r="J21" i="100"/>
  <c r="I21" i="100"/>
  <c r="H21" i="100"/>
  <c r="G21" i="100"/>
  <c r="F21" i="100"/>
  <c r="E21" i="100"/>
  <c r="D21" i="100"/>
  <c r="T20" i="100"/>
  <c r="S20" i="100"/>
  <c r="R20" i="100"/>
  <c r="Q20" i="100"/>
  <c r="P20" i="100"/>
  <c r="O20" i="100"/>
  <c r="N20" i="100"/>
  <c r="M20" i="100"/>
  <c r="L20" i="100"/>
  <c r="K20" i="100"/>
  <c r="J20" i="100"/>
  <c r="I20" i="100"/>
  <c r="H20" i="100"/>
  <c r="G20" i="100"/>
  <c r="F20" i="100"/>
  <c r="E20" i="100"/>
  <c r="D20" i="100"/>
  <c r="T19" i="100"/>
  <c r="S19" i="100"/>
  <c r="R19" i="100"/>
  <c r="Q19" i="100"/>
  <c r="P19" i="100"/>
  <c r="O19" i="100"/>
  <c r="N19" i="100"/>
  <c r="M19" i="100"/>
  <c r="L19" i="100"/>
  <c r="K19" i="100"/>
  <c r="J19" i="100"/>
  <c r="I19" i="100"/>
  <c r="H19" i="100"/>
  <c r="G19" i="100"/>
  <c r="F19" i="100"/>
  <c r="E19" i="100"/>
  <c r="D19" i="100"/>
  <c r="T18" i="100"/>
  <c r="S18" i="100"/>
  <c r="R18" i="100"/>
  <c r="Q18" i="100"/>
  <c r="P18" i="100"/>
  <c r="O18" i="100"/>
  <c r="N18" i="100"/>
  <c r="M18" i="100"/>
  <c r="L18" i="100"/>
  <c r="K18" i="100"/>
  <c r="J18" i="100"/>
  <c r="I18" i="100"/>
  <c r="H18" i="100"/>
  <c r="G18" i="100"/>
  <c r="F18" i="100"/>
  <c r="E18" i="100"/>
  <c r="D18" i="100"/>
  <c r="T17" i="100"/>
  <c r="S17" i="100"/>
  <c r="R17" i="100"/>
  <c r="Q17" i="100"/>
  <c r="P17" i="100"/>
  <c r="O17" i="100"/>
  <c r="N17" i="100"/>
  <c r="M17" i="100"/>
  <c r="L17" i="100"/>
  <c r="K17" i="100"/>
  <c r="J17" i="100"/>
  <c r="I17" i="100"/>
  <c r="H17" i="100"/>
  <c r="G17" i="100"/>
  <c r="F17" i="100"/>
  <c r="E17" i="100"/>
  <c r="D17" i="100"/>
  <c r="T16" i="100"/>
  <c r="S16" i="100"/>
  <c r="R16" i="100"/>
  <c r="Q16" i="100"/>
  <c r="P16" i="100"/>
  <c r="O16" i="100"/>
  <c r="N16" i="100"/>
  <c r="M16" i="100"/>
  <c r="L16" i="100"/>
  <c r="K16" i="100"/>
  <c r="J16" i="100"/>
  <c r="I16" i="100"/>
  <c r="H16" i="100"/>
  <c r="G16" i="100"/>
  <c r="F16" i="100"/>
  <c r="E16" i="100"/>
  <c r="D16" i="100"/>
  <c r="T15" i="100"/>
  <c r="S15" i="100"/>
  <c r="R15" i="100"/>
  <c r="Q15" i="100"/>
  <c r="P15" i="100"/>
  <c r="O15" i="100"/>
  <c r="N15" i="100"/>
  <c r="M15" i="100"/>
  <c r="L15" i="100"/>
  <c r="K15" i="100"/>
  <c r="J15" i="100"/>
  <c r="I15" i="100"/>
  <c r="H15" i="100"/>
  <c r="G15" i="100"/>
  <c r="F15" i="100"/>
  <c r="E15" i="100"/>
  <c r="D15" i="100"/>
  <c r="T14" i="100"/>
  <c r="S14" i="100"/>
  <c r="R14" i="100"/>
  <c r="Q14" i="100"/>
  <c r="P14" i="100"/>
  <c r="O14" i="100"/>
  <c r="N14" i="100"/>
  <c r="M14" i="100"/>
  <c r="L14" i="100"/>
  <c r="K14" i="100"/>
  <c r="J14" i="100"/>
  <c r="I14" i="100"/>
  <c r="H14" i="100"/>
  <c r="G14" i="100"/>
  <c r="F14" i="100"/>
  <c r="E14" i="100"/>
  <c r="D14" i="100"/>
  <c r="T13" i="100"/>
  <c r="S13" i="100"/>
  <c r="R13" i="100"/>
  <c r="Q13" i="100"/>
  <c r="P13" i="100"/>
  <c r="O13" i="100"/>
  <c r="N13" i="100"/>
  <c r="M13" i="100"/>
  <c r="L13" i="100"/>
  <c r="K13" i="100"/>
  <c r="J13" i="100"/>
  <c r="I13" i="100"/>
  <c r="H13" i="100"/>
  <c r="G13" i="100"/>
  <c r="F13" i="100"/>
  <c r="E13" i="100"/>
  <c r="D13" i="100"/>
  <c r="T12" i="100"/>
  <c r="S12" i="100"/>
  <c r="R12" i="100"/>
  <c r="Q12" i="100"/>
  <c r="P12" i="100"/>
  <c r="O12" i="100"/>
  <c r="N12" i="100"/>
  <c r="M12" i="100"/>
  <c r="L12" i="100"/>
  <c r="K12" i="100"/>
  <c r="J12" i="100"/>
  <c r="I12" i="100"/>
  <c r="H12" i="100"/>
  <c r="G12" i="100"/>
  <c r="F12" i="100"/>
  <c r="E12" i="100"/>
  <c r="D12" i="100"/>
  <c r="T11" i="100"/>
  <c r="S11" i="100"/>
  <c r="R11" i="100"/>
  <c r="Q11" i="100"/>
  <c r="P11" i="100"/>
  <c r="O11" i="100"/>
  <c r="N11" i="100"/>
  <c r="M11" i="100"/>
  <c r="L11" i="100"/>
  <c r="K11" i="100"/>
  <c r="J11" i="100"/>
  <c r="I11" i="100"/>
  <c r="H11" i="100"/>
  <c r="G11" i="100"/>
  <c r="F11" i="100"/>
  <c r="E11" i="100"/>
  <c r="D11" i="100"/>
  <c r="D76" i="114"/>
  <c r="C76" i="114"/>
  <c r="D75" i="114"/>
  <c r="C75" i="114"/>
  <c r="D74" i="114"/>
  <c r="C74" i="114"/>
  <c r="D73" i="114"/>
  <c r="C73" i="114"/>
  <c r="D72" i="114"/>
  <c r="C72" i="114"/>
  <c r="D71" i="114"/>
  <c r="C71" i="114"/>
  <c r="D70" i="114"/>
  <c r="C70" i="114"/>
  <c r="D69" i="114"/>
  <c r="C69" i="114"/>
  <c r="D68" i="114"/>
  <c r="C68" i="114"/>
  <c r="D67" i="114"/>
  <c r="C67" i="114"/>
  <c r="D66" i="114"/>
  <c r="C66" i="114"/>
  <c r="D65" i="114"/>
  <c r="C65" i="114"/>
  <c r="D64" i="114"/>
  <c r="C64" i="114"/>
  <c r="D63" i="114"/>
  <c r="C63" i="114"/>
  <c r="D62" i="114"/>
  <c r="C62" i="114"/>
  <c r="D61" i="114"/>
  <c r="C61" i="114"/>
  <c r="D60" i="114"/>
  <c r="C60" i="114"/>
  <c r="D59" i="114"/>
  <c r="C59" i="114"/>
  <c r="D58" i="114"/>
  <c r="C58" i="114"/>
  <c r="D57" i="114"/>
  <c r="C57" i="114"/>
  <c r="D56" i="114"/>
  <c r="C56" i="114"/>
  <c r="D55" i="114"/>
  <c r="C55" i="114"/>
  <c r="D54" i="114"/>
  <c r="C54" i="114"/>
  <c r="D53" i="114"/>
  <c r="C53" i="114"/>
  <c r="D52" i="114"/>
  <c r="C52" i="114"/>
  <c r="D51" i="114"/>
  <c r="C51" i="114"/>
  <c r="D50" i="114"/>
  <c r="C50" i="114"/>
  <c r="D49" i="114"/>
  <c r="C49" i="114"/>
  <c r="D48" i="114"/>
  <c r="C48" i="114"/>
  <c r="D47" i="114"/>
  <c r="C47" i="114"/>
  <c r="D46" i="114"/>
  <c r="C46" i="114"/>
  <c r="D45" i="114"/>
  <c r="C45" i="114"/>
  <c r="D44" i="114"/>
  <c r="C44" i="114"/>
  <c r="D43" i="114"/>
  <c r="C43" i="114"/>
  <c r="D42" i="114"/>
  <c r="C42" i="114"/>
  <c r="D40" i="114"/>
  <c r="C40" i="114"/>
  <c r="D39" i="114"/>
  <c r="C39" i="114"/>
  <c r="D38" i="114"/>
  <c r="C38" i="114"/>
  <c r="G37" i="114"/>
  <c r="D37" i="114"/>
  <c r="C37" i="114"/>
  <c r="D36" i="114"/>
  <c r="C36" i="114"/>
  <c r="D35" i="114"/>
  <c r="C35" i="114"/>
  <c r="G34" i="114"/>
  <c r="D34" i="114"/>
  <c r="C34" i="114"/>
  <c r="G33" i="114"/>
  <c r="J29" i="114"/>
  <c r="K29" i="114" s="1"/>
  <c r="I29" i="114"/>
  <c r="G29" i="114"/>
  <c r="F29" i="114"/>
  <c r="D29" i="114"/>
  <c r="E29" i="114" s="1"/>
  <c r="C29" i="114"/>
  <c r="J28" i="114"/>
  <c r="I28" i="114"/>
  <c r="G28" i="114"/>
  <c r="F28" i="114"/>
  <c r="D28" i="114"/>
  <c r="C28" i="114"/>
  <c r="B28" i="114"/>
  <c r="H22" i="114"/>
  <c r="F22" i="114"/>
  <c r="D22" i="114"/>
  <c r="C22" i="114"/>
  <c r="H21" i="114"/>
  <c r="F21" i="114"/>
  <c r="D21" i="114"/>
  <c r="C21" i="114"/>
  <c r="B21" i="114"/>
  <c r="L16" i="114"/>
  <c r="K16" i="114"/>
  <c r="I16" i="114"/>
  <c r="G16" i="114"/>
  <c r="F16" i="114"/>
  <c r="D16" i="114"/>
  <c r="C16" i="114"/>
  <c r="L15" i="114"/>
  <c r="K15" i="114"/>
  <c r="I15" i="114"/>
  <c r="G15" i="114"/>
  <c r="F15" i="114"/>
  <c r="D15" i="114"/>
  <c r="C15" i="114"/>
  <c r="B15" i="114"/>
  <c r="L11" i="114"/>
  <c r="K11" i="114"/>
  <c r="I11" i="114"/>
  <c r="H11" i="114"/>
  <c r="F11" i="114"/>
  <c r="E11" i="114"/>
  <c r="D11" i="114"/>
  <c r="C11" i="114"/>
  <c r="L10" i="114"/>
  <c r="L12" i="114" s="1"/>
  <c r="K10" i="114"/>
  <c r="K12" i="114" s="1"/>
  <c r="I10" i="114"/>
  <c r="I12" i="114" s="1"/>
  <c r="H10" i="114"/>
  <c r="H12" i="114" s="1"/>
  <c r="F10" i="114"/>
  <c r="F12" i="114" s="1"/>
  <c r="E10" i="114"/>
  <c r="E12" i="114" s="1"/>
  <c r="D10" i="114"/>
  <c r="D12" i="114" s="1"/>
  <c r="C10" i="114"/>
  <c r="C12" i="114" s="1"/>
  <c r="B10" i="114"/>
  <c r="U118" i="98"/>
  <c r="B118" i="98"/>
  <c r="U111" i="98"/>
  <c r="B111" i="98"/>
  <c r="U104" i="98"/>
  <c r="B104" i="98"/>
  <c r="O123" i="98" s="1"/>
  <c r="U97" i="98"/>
  <c r="B97" i="98"/>
  <c r="N116" i="98" s="1"/>
  <c r="B89" i="98"/>
  <c r="N86" i="98"/>
  <c r="D86" i="98"/>
  <c r="K85" i="98"/>
  <c r="Q84" i="98"/>
  <c r="G84" i="98"/>
  <c r="N83" i="98"/>
  <c r="C83" i="98"/>
  <c r="B82" i="98"/>
  <c r="L86" i="98" s="1"/>
  <c r="D76" i="98"/>
  <c r="C76" i="98"/>
  <c r="D75" i="98"/>
  <c r="C75" i="98"/>
  <c r="D74" i="98"/>
  <c r="C74" i="98"/>
  <c r="D73" i="98"/>
  <c r="C73" i="98"/>
  <c r="D72" i="98"/>
  <c r="C72" i="98"/>
  <c r="D71" i="98"/>
  <c r="C71" i="98"/>
  <c r="D70" i="98"/>
  <c r="C70" i="98"/>
  <c r="D69" i="98"/>
  <c r="C69" i="98"/>
  <c r="D68" i="98"/>
  <c r="C68" i="98"/>
  <c r="D67" i="98"/>
  <c r="C67" i="98"/>
  <c r="D66" i="98"/>
  <c r="C66" i="98"/>
  <c r="D65" i="98"/>
  <c r="C65" i="98"/>
  <c r="D64" i="98"/>
  <c r="C64" i="98"/>
  <c r="D63" i="98"/>
  <c r="C63" i="98"/>
  <c r="D62" i="98"/>
  <c r="C62" i="98"/>
  <c r="D61" i="98"/>
  <c r="C61" i="98"/>
  <c r="D60" i="98"/>
  <c r="C60" i="98"/>
  <c r="D59" i="98"/>
  <c r="C59" i="98"/>
  <c r="D58" i="98"/>
  <c r="C58" i="98"/>
  <c r="D57" i="98"/>
  <c r="C57" i="98"/>
  <c r="D56" i="98"/>
  <c r="C56" i="98"/>
  <c r="D55" i="98"/>
  <c r="C55" i="98"/>
  <c r="D54" i="98"/>
  <c r="C54" i="98"/>
  <c r="D53" i="98"/>
  <c r="C53" i="98"/>
  <c r="D52" i="98"/>
  <c r="C52" i="98"/>
  <c r="D51" i="98"/>
  <c r="C51" i="98"/>
  <c r="D50" i="98"/>
  <c r="C50" i="98"/>
  <c r="D49" i="98"/>
  <c r="C49" i="98"/>
  <c r="D48" i="98"/>
  <c r="C48" i="98"/>
  <c r="D47" i="98"/>
  <c r="C47" i="98"/>
  <c r="D46" i="98"/>
  <c r="C46" i="98"/>
  <c r="D45" i="98"/>
  <c r="C45" i="98"/>
  <c r="D44" i="98"/>
  <c r="C44" i="98"/>
  <c r="D43" i="98"/>
  <c r="C43" i="98"/>
  <c r="D42" i="98"/>
  <c r="C42" i="98"/>
  <c r="D40" i="98"/>
  <c r="C40" i="98"/>
  <c r="D39" i="98"/>
  <c r="C39" i="98"/>
  <c r="D38" i="98"/>
  <c r="C38" i="98"/>
  <c r="G37" i="98"/>
  <c r="D37" i="98"/>
  <c r="C37" i="98"/>
  <c r="D36" i="98"/>
  <c r="C36" i="98"/>
  <c r="D35" i="98"/>
  <c r="C35" i="98"/>
  <c r="G34" i="98"/>
  <c r="D34" i="98"/>
  <c r="C34" i="98"/>
  <c r="G33" i="98"/>
  <c r="J29" i="98"/>
  <c r="I29" i="98"/>
  <c r="G29" i="98"/>
  <c r="F29" i="98"/>
  <c r="D29" i="98"/>
  <c r="C29" i="98"/>
  <c r="J28" i="98"/>
  <c r="I28" i="98"/>
  <c r="G28" i="98"/>
  <c r="F28" i="98"/>
  <c r="D28" i="98"/>
  <c r="C28" i="98"/>
  <c r="B28" i="98"/>
  <c r="H22" i="98"/>
  <c r="F22" i="98"/>
  <c r="D22" i="98"/>
  <c r="C22" i="98"/>
  <c r="F21" i="98"/>
  <c r="D21" i="98"/>
  <c r="C21" i="98"/>
  <c r="B21" i="98"/>
  <c r="L16" i="98"/>
  <c r="K16" i="98"/>
  <c r="I16" i="98"/>
  <c r="J16" i="98" s="1"/>
  <c r="G16" i="98"/>
  <c r="F16" i="98"/>
  <c r="D16" i="98"/>
  <c r="C16" i="98"/>
  <c r="L15" i="98"/>
  <c r="K15" i="98"/>
  <c r="I15" i="98"/>
  <c r="J15" i="98" s="1"/>
  <c r="G15" i="98"/>
  <c r="F15" i="98"/>
  <c r="D15" i="98"/>
  <c r="C15" i="98"/>
  <c r="B15" i="98"/>
  <c r="L11" i="98"/>
  <c r="K11" i="98"/>
  <c r="I11" i="98"/>
  <c r="H11" i="98"/>
  <c r="F11" i="98"/>
  <c r="E11" i="98"/>
  <c r="D11" i="98"/>
  <c r="C11" i="98"/>
  <c r="L10" i="98"/>
  <c r="L12" i="98" s="1"/>
  <c r="K10" i="98"/>
  <c r="K12" i="98" s="1"/>
  <c r="I10" i="98"/>
  <c r="I12" i="98" s="1"/>
  <c r="H10" i="98"/>
  <c r="H12" i="98" s="1"/>
  <c r="F10" i="98"/>
  <c r="F12" i="98" s="1"/>
  <c r="E10" i="98"/>
  <c r="E12" i="98" s="1"/>
  <c r="D10" i="98"/>
  <c r="D12" i="98" s="1"/>
  <c r="C10" i="98"/>
  <c r="C12" i="98" s="1"/>
  <c r="B10" i="98"/>
  <c r="J124" i="101"/>
  <c r="I124" i="101"/>
  <c r="G124" i="101"/>
  <c r="D124" i="101"/>
  <c r="N123" i="101"/>
  <c r="L123" i="101"/>
  <c r="K123" i="101"/>
  <c r="J123" i="101"/>
  <c r="I123" i="101"/>
  <c r="C123" i="101"/>
  <c r="R122" i="101"/>
  <c r="Q122" i="101"/>
  <c r="O122" i="101"/>
  <c r="N122" i="101"/>
  <c r="I122" i="101"/>
  <c r="G122" i="101"/>
  <c r="F122" i="101"/>
  <c r="D122" i="101"/>
  <c r="C122" i="101"/>
  <c r="N121" i="101"/>
  <c r="L121" i="101"/>
  <c r="K121" i="101"/>
  <c r="J121" i="101"/>
  <c r="I121" i="101"/>
  <c r="C121" i="101"/>
  <c r="U119" i="101"/>
  <c r="B119" i="101"/>
  <c r="Q117" i="101"/>
  <c r="N117" i="101"/>
  <c r="D117" i="101"/>
  <c r="C117" i="101"/>
  <c r="Q116" i="101"/>
  <c r="N116" i="101"/>
  <c r="D116" i="101"/>
  <c r="C116" i="101"/>
  <c r="Q115" i="101"/>
  <c r="N115" i="101"/>
  <c r="D115" i="101"/>
  <c r="C115" i="101"/>
  <c r="Q114" i="101"/>
  <c r="AJ114" i="101" s="1"/>
  <c r="N114" i="101"/>
  <c r="D114" i="101"/>
  <c r="C114" i="101"/>
  <c r="U112" i="101"/>
  <c r="B112" i="101"/>
  <c r="H110" i="101"/>
  <c r="F110" i="101"/>
  <c r="E110" i="101"/>
  <c r="C110" i="101"/>
  <c r="H109" i="101"/>
  <c r="F109" i="101"/>
  <c r="E109" i="101"/>
  <c r="C109" i="101"/>
  <c r="H108" i="101"/>
  <c r="F108" i="101"/>
  <c r="E108" i="101"/>
  <c r="C108" i="101"/>
  <c r="H107" i="101"/>
  <c r="F107" i="101"/>
  <c r="E107" i="101"/>
  <c r="C107" i="101"/>
  <c r="V107" i="101" s="1"/>
  <c r="U105" i="101"/>
  <c r="B105" i="101"/>
  <c r="M123" i="101" s="1"/>
  <c r="O103" i="101"/>
  <c r="M103" i="101"/>
  <c r="J103" i="101"/>
  <c r="H103" i="101"/>
  <c r="O102" i="101"/>
  <c r="M102" i="101"/>
  <c r="J102" i="101"/>
  <c r="H102" i="101"/>
  <c r="O101" i="101"/>
  <c r="M101" i="101"/>
  <c r="J101" i="101"/>
  <c r="H101" i="101"/>
  <c r="O100" i="101"/>
  <c r="M100" i="101"/>
  <c r="J100" i="101"/>
  <c r="AC100" i="101" s="1"/>
  <c r="H100" i="101"/>
  <c r="AA100" i="101" s="1"/>
  <c r="U98" i="101"/>
  <c r="B98" i="101"/>
  <c r="M124" i="101" s="1"/>
  <c r="B88" i="101"/>
  <c r="S85" i="101"/>
  <c r="Q85" i="101"/>
  <c r="Q92" i="101" s="1"/>
  <c r="P85" i="101"/>
  <c r="M85" i="101"/>
  <c r="K85" i="101"/>
  <c r="I85" i="101"/>
  <c r="H85" i="101"/>
  <c r="F85" i="101"/>
  <c r="E85" i="101"/>
  <c r="C85" i="101"/>
  <c r="Q84" i="101"/>
  <c r="O84" i="101"/>
  <c r="N84" i="101"/>
  <c r="M84" i="101"/>
  <c r="L84" i="101"/>
  <c r="I84" i="101"/>
  <c r="F84" i="101"/>
  <c r="E84" i="101"/>
  <c r="D84" i="101"/>
  <c r="S83" i="101"/>
  <c r="R83" i="101"/>
  <c r="O83" i="101"/>
  <c r="M83" i="101"/>
  <c r="K83" i="101"/>
  <c r="J83" i="101"/>
  <c r="H83" i="101"/>
  <c r="G83" i="101"/>
  <c r="E83" i="101"/>
  <c r="S82" i="101"/>
  <c r="Q82" i="101"/>
  <c r="P82" i="101"/>
  <c r="O82" i="101"/>
  <c r="N82" i="101"/>
  <c r="K82" i="101"/>
  <c r="I82" i="101"/>
  <c r="H82" i="101"/>
  <c r="G82" i="101"/>
  <c r="F82" i="101"/>
  <c r="D82" i="101"/>
  <c r="C82" i="101"/>
  <c r="B81" i="101"/>
  <c r="O85" i="101" s="1"/>
  <c r="D75" i="101"/>
  <c r="C75" i="101"/>
  <c r="D74" i="101"/>
  <c r="C74" i="101"/>
  <c r="D73" i="101"/>
  <c r="C73" i="101"/>
  <c r="D72" i="101"/>
  <c r="C72" i="101"/>
  <c r="D71" i="101"/>
  <c r="C71" i="101"/>
  <c r="D70" i="101"/>
  <c r="C70" i="101"/>
  <c r="D69" i="101"/>
  <c r="C69" i="101"/>
  <c r="D68" i="101"/>
  <c r="C68" i="101"/>
  <c r="D67" i="101"/>
  <c r="C67" i="101"/>
  <c r="D66" i="101"/>
  <c r="C66" i="101"/>
  <c r="D65" i="101"/>
  <c r="C65" i="101"/>
  <c r="D64" i="101"/>
  <c r="C64" i="101"/>
  <c r="D63" i="101"/>
  <c r="C63" i="101"/>
  <c r="D62" i="101"/>
  <c r="C62" i="101"/>
  <c r="D61" i="101"/>
  <c r="C61" i="101"/>
  <c r="D60" i="101"/>
  <c r="C60" i="101"/>
  <c r="D59" i="101"/>
  <c r="C59" i="101"/>
  <c r="D58" i="101"/>
  <c r="C58" i="101"/>
  <c r="D57" i="101"/>
  <c r="C57" i="101"/>
  <c r="D56" i="101"/>
  <c r="C56" i="101"/>
  <c r="D55" i="101"/>
  <c r="C55" i="101"/>
  <c r="D54" i="101"/>
  <c r="C54" i="101"/>
  <c r="D53" i="101"/>
  <c r="C53" i="101"/>
  <c r="D52" i="101"/>
  <c r="C52" i="101"/>
  <c r="D51" i="101"/>
  <c r="C51" i="101"/>
  <c r="D50" i="101"/>
  <c r="C50" i="101"/>
  <c r="D49" i="101"/>
  <c r="C49" i="101"/>
  <c r="D48" i="101"/>
  <c r="C48" i="101"/>
  <c r="D47" i="101"/>
  <c r="C47" i="101"/>
  <c r="D46" i="101"/>
  <c r="C46" i="101"/>
  <c r="D45" i="101"/>
  <c r="C45" i="101"/>
  <c r="D44" i="101"/>
  <c r="C44" i="101"/>
  <c r="D43" i="101"/>
  <c r="C43" i="101"/>
  <c r="D42" i="101"/>
  <c r="C42" i="101"/>
  <c r="D41" i="101"/>
  <c r="C41" i="101"/>
  <c r="D40" i="101"/>
  <c r="C40" i="101"/>
  <c r="D39" i="101"/>
  <c r="C39" i="101"/>
  <c r="D38" i="101"/>
  <c r="C38" i="101"/>
  <c r="D37" i="101"/>
  <c r="C37" i="101"/>
  <c r="D36" i="101"/>
  <c r="C36" i="101"/>
  <c r="G35" i="101"/>
  <c r="D35" i="101"/>
  <c r="C35" i="101"/>
  <c r="G34" i="101"/>
  <c r="D34" i="101"/>
  <c r="C34" i="101"/>
  <c r="G33" i="101"/>
  <c r="J29" i="101"/>
  <c r="I29" i="101"/>
  <c r="G29" i="101"/>
  <c r="F29" i="101"/>
  <c r="D29" i="101"/>
  <c r="C29" i="101"/>
  <c r="I28" i="101"/>
  <c r="G28" i="101"/>
  <c r="C28" i="101"/>
  <c r="B28" i="101"/>
  <c r="J28" i="101" s="1"/>
  <c r="H22" i="101"/>
  <c r="F22" i="101"/>
  <c r="D22" i="101"/>
  <c r="C22" i="101"/>
  <c r="E22" i="101" s="1"/>
  <c r="H21" i="101"/>
  <c r="F21" i="101"/>
  <c r="C21" i="101"/>
  <c r="B21" i="101"/>
  <c r="D21" i="101" s="1"/>
  <c r="E21" i="101" s="1"/>
  <c r="L16" i="101"/>
  <c r="K16" i="101"/>
  <c r="I16" i="101"/>
  <c r="G16" i="101"/>
  <c r="F16" i="101"/>
  <c r="D16" i="101"/>
  <c r="C16" i="101"/>
  <c r="L15" i="101"/>
  <c r="M15" i="101" s="1"/>
  <c r="K15" i="101"/>
  <c r="J15" i="101"/>
  <c r="I15" i="101"/>
  <c r="G15" i="101"/>
  <c r="F15" i="101"/>
  <c r="D15" i="101"/>
  <c r="C15" i="101"/>
  <c r="B15" i="101"/>
  <c r="L10" i="101"/>
  <c r="K10" i="101"/>
  <c r="I10" i="101"/>
  <c r="H10" i="101"/>
  <c r="F10" i="101"/>
  <c r="E10" i="101"/>
  <c r="D10" i="101"/>
  <c r="C10" i="101"/>
  <c r="L9" i="101"/>
  <c r="L11" i="101" s="1"/>
  <c r="K9" i="101"/>
  <c r="K11" i="101" s="1"/>
  <c r="I9" i="101"/>
  <c r="I11" i="101" s="1"/>
  <c r="H9" i="101"/>
  <c r="H11" i="101" s="1"/>
  <c r="F9" i="101"/>
  <c r="F11" i="101" s="1"/>
  <c r="E9" i="101"/>
  <c r="E11" i="101" s="1"/>
  <c r="D9" i="101"/>
  <c r="D11" i="101" s="1"/>
  <c r="C9" i="101"/>
  <c r="C11" i="101" s="1"/>
  <c r="B9" i="101"/>
  <c r="H49" i="106"/>
  <c r="D49" i="106"/>
  <c r="E49" i="106" s="1"/>
  <c r="H48" i="106"/>
  <c r="D48" i="106"/>
  <c r="E48" i="106" s="1"/>
  <c r="H47" i="106"/>
  <c r="D47" i="106"/>
  <c r="E47" i="106" s="1"/>
  <c r="H46" i="106"/>
  <c r="D46" i="106"/>
  <c r="E46" i="106" s="1"/>
  <c r="H45" i="106"/>
  <c r="D45" i="106"/>
  <c r="E45" i="106" s="1"/>
  <c r="H44" i="106"/>
  <c r="D44" i="106"/>
  <c r="E44" i="106" s="1"/>
  <c r="H43" i="106"/>
  <c r="D43" i="106"/>
  <c r="E43" i="106" s="1"/>
  <c r="H42" i="106"/>
  <c r="D42" i="106"/>
  <c r="E42" i="106" s="1"/>
  <c r="H41" i="106"/>
  <c r="D41" i="106"/>
  <c r="E41" i="106" s="1"/>
  <c r="H40" i="106"/>
  <c r="D40" i="106"/>
  <c r="E40" i="106" s="1"/>
  <c r="H39" i="106"/>
  <c r="D39" i="106"/>
  <c r="E39" i="106" s="1"/>
  <c r="H38" i="106"/>
  <c r="D38" i="106"/>
  <c r="E38" i="106" s="1"/>
  <c r="H37" i="106"/>
  <c r="D37" i="106"/>
  <c r="E37" i="106" s="1"/>
  <c r="H36" i="106"/>
  <c r="D36" i="106"/>
  <c r="E36" i="106" s="1"/>
  <c r="H35" i="106"/>
  <c r="D35" i="106"/>
  <c r="E35" i="106" s="1"/>
  <c r="H34" i="106"/>
  <c r="D34" i="106"/>
  <c r="E34" i="106" s="1"/>
  <c r="H33" i="106"/>
  <c r="D33" i="106"/>
  <c r="E33" i="106" s="1"/>
  <c r="H32" i="106"/>
  <c r="D32" i="106"/>
  <c r="E32" i="106" s="1"/>
  <c r="H31" i="106"/>
  <c r="D31" i="106"/>
  <c r="E31" i="106" s="1"/>
  <c r="H30" i="106"/>
  <c r="D30" i="106"/>
  <c r="E30" i="106" s="1"/>
  <c r="H29" i="106"/>
  <c r="D29" i="106"/>
  <c r="E29" i="106" s="1"/>
  <c r="H28" i="106"/>
  <c r="D28" i="106"/>
  <c r="E28" i="106" s="1"/>
  <c r="H27" i="106"/>
  <c r="D27" i="106"/>
  <c r="E27" i="106" s="1"/>
  <c r="H26" i="106"/>
  <c r="D26" i="106"/>
  <c r="E26" i="106" s="1"/>
  <c r="H25" i="106"/>
  <c r="D25" i="106"/>
  <c r="E25" i="106" s="1"/>
  <c r="H24" i="106"/>
  <c r="D24" i="106"/>
  <c r="E24" i="106" s="1"/>
  <c r="H23" i="106"/>
  <c r="D23" i="106"/>
  <c r="E23" i="106" s="1"/>
  <c r="H22" i="106"/>
  <c r="D22" i="106"/>
  <c r="E22" i="106" s="1"/>
  <c r="H21" i="106"/>
  <c r="D21" i="106"/>
  <c r="E21" i="106" s="1"/>
  <c r="H20" i="106"/>
  <c r="D20" i="106"/>
  <c r="E20" i="106" s="1"/>
  <c r="H19" i="106"/>
  <c r="D19" i="106"/>
  <c r="E19" i="106" s="1"/>
  <c r="H18" i="106"/>
  <c r="D18" i="106"/>
  <c r="E18" i="106" s="1"/>
  <c r="H17" i="106"/>
  <c r="D17" i="106"/>
  <c r="E17" i="106" s="1"/>
  <c r="H16" i="106"/>
  <c r="I16" i="106" s="1"/>
  <c r="D16" i="106"/>
  <c r="E16" i="106" s="1"/>
  <c r="H15" i="106"/>
  <c r="D15" i="106"/>
  <c r="E15" i="106" s="1"/>
  <c r="H14" i="106"/>
  <c r="D14" i="106"/>
  <c r="E14" i="106" s="1"/>
  <c r="H13" i="106"/>
  <c r="D13" i="106"/>
  <c r="E13" i="106" s="1"/>
  <c r="H12" i="106"/>
  <c r="D12" i="106"/>
  <c r="E12" i="106" s="1"/>
  <c r="H11" i="106"/>
  <c r="D11" i="106"/>
  <c r="E11" i="106" s="1"/>
  <c r="H10" i="106"/>
  <c r="D10" i="106"/>
  <c r="E10" i="106" s="1"/>
  <c r="H9" i="106"/>
  <c r="D9" i="106"/>
  <c r="E9" i="106" s="1"/>
  <c r="H8" i="106"/>
  <c r="D8" i="106"/>
  <c r="E8" i="106" s="1"/>
  <c r="H7" i="106"/>
  <c r="D7" i="106"/>
  <c r="E7" i="106" s="1"/>
  <c r="H6" i="106"/>
  <c r="D6" i="106"/>
  <c r="E6" i="106" s="1"/>
  <c r="U180" i="79"/>
  <c r="T180" i="79"/>
  <c r="R180" i="79"/>
  <c r="Q180" i="79"/>
  <c r="S180" i="79" s="1"/>
  <c r="U179" i="79"/>
  <c r="T179" i="79"/>
  <c r="R179" i="79"/>
  <c r="Q179" i="79"/>
  <c r="U178" i="79"/>
  <c r="T178" i="79"/>
  <c r="R178" i="79"/>
  <c r="S178" i="79" s="1"/>
  <c r="Q178" i="79"/>
  <c r="U177" i="79"/>
  <c r="T177" i="79"/>
  <c r="R177" i="79"/>
  <c r="Q177" i="79"/>
  <c r="U176" i="79"/>
  <c r="T176" i="79"/>
  <c r="R176" i="79"/>
  <c r="Q176" i="79"/>
  <c r="U175" i="79"/>
  <c r="T175" i="79"/>
  <c r="R175" i="79"/>
  <c r="Q175" i="79"/>
  <c r="S175" i="79" s="1"/>
  <c r="U174" i="79"/>
  <c r="T174" i="79"/>
  <c r="R174" i="79"/>
  <c r="Q174" i="79"/>
  <c r="S174" i="79" s="1"/>
  <c r="U173" i="79"/>
  <c r="T173" i="79"/>
  <c r="R173" i="79"/>
  <c r="Q173" i="79"/>
  <c r="S173" i="79" s="1"/>
  <c r="U172" i="79"/>
  <c r="T172" i="79"/>
  <c r="R172" i="79"/>
  <c r="S172" i="79" s="1"/>
  <c r="Q172" i="79"/>
  <c r="U171" i="79"/>
  <c r="T171" i="79"/>
  <c r="R171" i="79"/>
  <c r="Q171" i="79"/>
  <c r="U170" i="79"/>
  <c r="T170" i="79"/>
  <c r="S170" i="79"/>
  <c r="R170" i="79"/>
  <c r="Q170" i="79"/>
  <c r="U169" i="79"/>
  <c r="T169" i="79"/>
  <c r="R169" i="79"/>
  <c r="Q169" i="79"/>
  <c r="U168" i="79"/>
  <c r="T168" i="79"/>
  <c r="R168" i="79"/>
  <c r="Q168" i="79"/>
  <c r="S168" i="79" s="1"/>
  <c r="U167" i="79"/>
  <c r="T167" i="79"/>
  <c r="R167" i="79"/>
  <c r="Q167" i="79"/>
  <c r="S167" i="79" s="1"/>
  <c r="U166" i="79"/>
  <c r="T166" i="79"/>
  <c r="R166" i="79"/>
  <c r="Q166" i="79"/>
  <c r="S166" i="79" s="1"/>
  <c r="U165" i="79"/>
  <c r="T165" i="79"/>
  <c r="R165" i="79"/>
  <c r="Q165" i="79"/>
  <c r="U164" i="79"/>
  <c r="T164" i="79"/>
  <c r="R164" i="79"/>
  <c r="Q164" i="79"/>
  <c r="S164" i="79" s="1"/>
  <c r="U163" i="79"/>
  <c r="T163" i="79"/>
  <c r="R163" i="79"/>
  <c r="Q163" i="79"/>
  <c r="U162" i="79"/>
  <c r="T162" i="79"/>
  <c r="R162" i="79"/>
  <c r="Q162" i="79"/>
  <c r="S162" i="79" s="1"/>
  <c r="U161" i="79"/>
  <c r="T161" i="79"/>
  <c r="R161" i="79"/>
  <c r="S161" i="79" s="1"/>
  <c r="Q161" i="79"/>
  <c r="U160" i="79"/>
  <c r="T160" i="79"/>
  <c r="R160" i="79"/>
  <c r="Q160" i="79"/>
  <c r="S160" i="79" s="1"/>
  <c r="U159" i="79"/>
  <c r="T159" i="79"/>
  <c r="R159" i="79"/>
  <c r="Q159" i="79"/>
  <c r="U158" i="79"/>
  <c r="T158" i="79"/>
  <c r="R158" i="79"/>
  <c r="Q158" i="79"/>
  <c r="S158" i="79" s="1"/>
  <c r="U157" i="79"/>
  <c r="T157" i="79"/>
  <c r="R157" i="79"/>
  <c r="Q157" i="79"/>
  <c r="S157" i="79" s="1"/>
  <c r="U156" i="79"/>
  <c r="T156" i="79"/>
  <c r="R156" i="79"/>
  <c r="Q156" i="79"/>
  <c r="S156" i="79" s="1"/>
  <c r="U155" i="79"/>
  <c r="T155" i="79"/>
  <c r="R155" i="79"/>
  <c r="Q155" i="79"/>
  <c r="U154" i="79"/>
  <c r="T154" i="79"/>
  <c r="R154" i="79"/>
  <c r="Q154" i="79"/>
  <c r="S154" i="79" s="1"/>
  <c r="U153" i="79"/>
  <c r="T153" i="79"/>
  <c r="R153" i="79"/>
  <c r="Q153" i="79"/>
  <c r="U152" i="79"/>
  <c r="T152" i="79"/>
  <c r="R152" i="79"/>
  <c r="Q152" i="79"/>
  <c r="S152" i="79" s="1"/>
  <c r="U151" i="79"/>
  <c r="T151" i="79"/>
  <c r="R151" i="79"/>
  <c r="Q151" i="79"/>
  <c r="S151" i="79" s="1"/>
  <c r="U150" i="79"/>
  <c r="T150" i="79"/>
  <c r="R150" i="79"/>
  <c r="S150" i="79" s="1"/>
  <c r="Q150" i="79"/>
  <c r="U149" i="79"/>
  <c r="T149" i="79"/>
  <c r="R149" i="79"/>
  <c r="Q149" i="79"/>
  <c r="S149" i="79" s="1"/>
  <c r="U148" i="79"/>
  <c r="T148" i="79"/>
  <c r="S148" i="79"/>
  <c r="R148" i="79"/>
  <c r="Q148" i="79"/>
  <c r="U147" i="79"/>
  <c r="T147" i="79"/>
  <c r="R147" i="79"/>
  <c r="Q147" i="79"/>
  <c r="U146" i="79"/>
  <c r="T146" i="79"/>
  <c r="R146" i="79"/>
  <c r="Q146" i="79"/>
  <c r="S146" i="79" s="1"/>
  <c r="U145" i="79"/>
  <c r="T145" i="79"/>
  <c r="R145" i="79"/>
  <c r="S145" i="79" s="1"/>
  <c r="Q145" i="79"/>
  <c r="U144" i="79"/>
  <c r="T144" i="79"/>
  <c r="R144" i="79"/>
  <c r="Q144" i="79"/>
  <c r="S144" i="79" s="1"/>
  <c r="U143" i="79"/>
  <c r="T143" i="79"/>
  <c r="R143" i="79"/>
  <c r="Q143" i="79"/>
  <c r="U142" i="79"/>
  <c r="T142" i="79"/>
  <c r="R142" i="79"/>
  <c r="Q142" i="79"/>
  <c r="S142" i="79" s="1"/>
  <c r="U141" i="79"/>
  <c r="T141" i="79"/>
  <c r="R141" i="79"/>
  <c r="Q141" i="79"/>
  <c r="S141" i="79" s="1"/>
  <c r="U140" i="79"/>
  <c r="T140" i="79"/>
  <c r="R140" i="79"/>
  <c r="Q140" i="79"/>
  <c r="S140" i="79" s="1"/>
  <c r="U139" i="79"/>
  <c r="T139" i="79"/>
  <c r="R139" i="79"/>
  <c r="S139" i="79" s="1"/>
  <c r="Q139" i="79"/>
  <c r="U138" i="79"/>
  <c r="T138" i="79"/>
  <c r="R138" i="79"/>
  <c r="Q138" i="79"/>
  <c r="S138" i="79" s="1"/>
  <c r="U137" i="79"/>
  <c r="T137" i="79"/>
  <c r="R137" i="79"/>
  <c r="Q137" i="79"/>
  <c r="U136" i="79"/>
  <c r="T136" i="79"/>
  <c r="R136" i="79"/>
  <c r="Q136" i="79"/>
  <c r="S136" i="79" s="1"/>
  <c r="U135" i="79"/>
  <c r="T135" i="79"/>
  <c r="R135" i="79"/>
  <c r="Q135" i="79"/>
  <c r="S135" i="79" s="1"/>
  <c r="U134" i="79"/>
  <c r="T134" i="79"/>
  <c r="R134" i="79"/>
  <c r="Q134" i="79"/>
  <c r="S134" i="79" s="1"/>
  <c r="U133" i="79"/>
  <c r="T133" i="79"/>
  <c r="R133" i="79"/>
  <c r="Q133" i="79"/>
  <c r="S133" i="79" s="1"/>
  <c r="U132" i="79"/>
  <c r="T132" i="79"/>
  <c r="R132" i="79"/>
  <c r="Q132" i="79"/>
  <c r="S132" i="79" s="1"/>
  <c r="U131" i="79"/>
  <c r="T131" i="79"/>
  <c r="R131" i="79"/>
  <c r="Q131" i="79"/>
  <c r="U130" i="79"/>
  <c r="T130" i="79"/>
  <c r="R130" i="79"/>
  <c r="S130" i="79" s="1"/>
  <c r="Q130" i="79"/>
  <c r="U129" i="79"/>
  <c r="T129" i="79"/>
  <c r="R129" i="79"/>
  <c r="Q129" i="79"/>
  <c r="U128" i="79"/>
  <c r="T128" i="79"/>
  <c r="R128" i="79"/>
  <c r="Q128" i="79"/>
  <c r="U127" i="79"/>
  <c r="T127" i="79"/>
  <c r="R127" i="79"/>
  <c r="Q127" i="79"/>
  <c r="S127" i="79" s="1"/>
  <c r="U126" i="79"/>
  <c r="T126" i="79"/>
  <c r="S126" i="79"/>
  <c r="R126" i="79"/>
  <c r="Q126" i="79"/>
  <c r="U125" i="79"/>
  <c r="T125" i="79"/>
  <c r="R125" i="79"/>
  <c r="Q125" i="79"/>
  <c r="S125" i="79" s="1"/>
  <c r="U124" i="79"/>
  <c r="T124" i="79"/>
  <c r="R124" i="79"/>
  <c r="Q124" i="79"/>
  <c r="S124" i="79" s="1"/>
  <c r="U123" i="79"/>
  <c r="T123" i="79"/>
  <c r="R123" i="79"/>
  <c r="S123" i="79" s="1"/>
  <c r="Q123" i="79"/>
  <c r="U122" i="79"/>
  <c r="T122" i="79"/>
  <c r="R122" i="79"/>
  <c r="Q122" i="79"/>
  <c r="S122" i="79" s="1"/>
  <c r="U121" i="79"/>
  <c r="T121" i="79"/>
  <c r="R121" i="79"/>
  <c r="Q121" i="79"/>
  <c r="U120" i="79"/>
  <c r="T120" i="79"/>
  <c r="R120" i="79"/>
  <c r="Q120" i="79"/>
  <c r="S120" i="79" s="1"/>
  <c r="U119" i="79"/>
  <c r="T119" i="79"/>
  <c r="R119" i="79"/>
  <c r="Q119" i="79"/>
  <c r="S119" i="79" s="1"/>
  <c r="U118" i="79"/>
  <c r="T118" i="79"/>
  <c r="R118" i="79"/>
  <c r="Q118" i="79"/>
  <c r="S118" i="79" s="1"/>
  <c r="U117" i="79"/>
  <c r="T117" i="79"/>
  <c r="R117" i="79"/>
  <c r="Q117" i="79"/>
  <c r="U116" i="79"/>
  <c r="T116" i="79"/>
  <c r="R116" i="79"/>
  <c r="Q116" i="79"/>
  <c r="S116" i="79" s="1"/>
  <c r="U115" i="79"/>
  <c r="T115" i="79"/>
  <c r="R115" i="79"/>
  <c r="Q115" i="79"/>
  <c r="U114" i="79"/>
  <c r="T114" i="79"/>
  <c r="R114" i="79"/>
  <c r="Q114" i="79"/>
  <c r="S114" i="79" s="1"/>
  <c r="U113" i="79"/>
  <c r="T113" i="79"/>
  <c r="R113" i="79"/>
  <c r="Q113" i="79"/>
  <c r="U112" i="79"/>
  <c r="T112" i="79"/>
  <c r="R112" i="79"/>
  <c r="Q112" i="79"/>
  <c r="U111" i="79"/>
  <c r="T111" i="79"/>
  <c r="R111" i="79"/>
  <c r="Q111" i="79"/>
  <c r="S111" i="79" s="1"/>
  <c r="U110" i="79"/>
  <c r="T110" i="79"/>
  <c r="R110" i="79"/>
  <c r="Q110" i="79"/>
  <c r="S110" i="79" s="1"/>
  <c r="U109" i="79"/>
  <c r="T109" i="79"/>
  <c r="R109" i="79"/>
  <c r="Q109" i="79"/>
  <c r="S109" i="79" s="1"/>
  <c r="U108" i="79"/>
  <c r="T108" i="79"/>
  <c r="R108" i="79"/>
  <c r="S108" i="79" s="1"/>
  <c r="Q108" i="79"/>
  <c r="U107" i="79"/>
  <c r="T107" i="79"/>
  <c r="R107" i="79"/>
  <c r="Q107" i="79"/>
  <c r="U106" i="79"/>
  <c r="T106" i="79"/>
  <c r="S106" i="79"/>
  <c r="R106" i="79"/>
  <c r="Q106" i="79"/>
  <c r="U105" i="79"/>
  <c r="T105" i="79"/>
  <c r="R105" i="79"/>
  <c r="Q105" i="79"/>
  <c r="U104" i="79"/>
  <c r="T104" i="79"/>
  <c r="R104" i="79"/>
  <c r="Q104" i="79"/>
  <c r="S104" i="79" s="1"/>
  <c r="U103" i="79"/>
  <c r="T103" i="79"/>
  <c r="R103" i="79"/>
  <c r="Q103" i="79"/>
  <c r="S103" i="79" s="1"/>
  <c r="U102" i="79"/>
  <c r="T102" i="79"/>
  <c r="R102" i="79"/>
  <c r="Q102" i="79"/>
  <c r="S102" i="79" s="1"/>
  <c r="U101" i="79"/>
  <c r="T101" i="79"/>
  <c r="R101" i="79"/>
  <c r="Q101" i="79"/>
  <c r="U100" i="79"/>
  <c r="T100" i="79"/>
  <c r="R100" i="79"/>
  <c r="Q100" i="79"/>
  <c r="S100" i="79" s="1"/>
  <c r="U99" i="79"/>
  <c r="T99" i="79"/>
  <c r="R99" i="79"/>
  <c r="Q99" i="79"/>
  <c r="U98" i="79"/>
  <c r="T98" i="79"/>
  <c r="R98" i="79"/>
  <c r="Q98" i="79"/>
  <c r="S98" i="79" s="1"/>
  <c r="U97" i="79"/>
  <c r="T97" i="79"/>
  <c r="R97" i="79"/>
  <c r="S97" i="79" s="1"/>
  <c r="Q97" i="79"/>
  <c r="U96" i="79"/>
  <c r="T96" i="79"/>
  <c r="R96" i="79"/>
  <c r="Q96" i="79"/>
  <c r="S96" i="79" s="1"/>
  <c r="U95" i="79"/>
  <c r="T95" i="79"/>
  <c r="R95" i="79"/>
  <c r="Q95" i="79"/>
  <c r="U94" i="79"/>
  <c r="T94" i="79"/>
  <c r="R94" i="79"/>
  <c r="Q94" i="79"/>
  <c r="S94" i="79" s="1"/>
  <c r="U93" i="79"/>
  <c r="T93" i="79"/>
  <c r="R93" i="79"/>
  <c r="Q93" i="79"/>
  <c r="S93" i="79" s="1"/>
  <c r="U92" i="79"/>
  <c r="T92" i="79"/>
  <c r="R92" i="79"/>
  <c r="Q92" i="79"/>
  <c r="S92" i="79" s="1"/>
  <c r="U91" i="79"/>
  <c r="T91" i="79"/>
  <c r="R91" i="79"/>
  <c r="Q91" i="79"/>
  <c r="U90" i="79"/>
  <c r="T90" i="79"/>
  <c r="R90" i="79"/>
  <c r="Q90" i="79"/>
  <c r="S90" i="79" s="1"/>
  <c r="U89" i="79"/>
  <c r="T89" i="79"/>
  <c r="R89" i="79"/>
  <c r="Q89" i="79"/>
  <c r="U88" i="79"/>
  <c r="T88" i="79"/>
  <c r="R88" i="79"/>
  <c r="Q88" i="79"/>
  <c r="S88" i="79" s="1"/>
  <c r="U87" i="79"/>
  <c r="T87" i="79"/>
  <c r="R87" i="79"/>
  <c r="Q87" i="79"/>
  <c r="S87" i="79" s="1"/>
  <c r="U86" i="79"/>
  <c r="T86" i="79"/>
  <c r="R86" i="79"/>
  <c r="S86" i="79" s="1"/>
  <c r="Q86" i="79"/>
  <c r="U85" i="79"/>
  <c r="T85" i="79"/>
  <c r="R85" i="79"/>
  <c r="Q85" i="79"/>
  <c r="S85" i="79" s="1"/>
  <c r="U84" i="79"/>
  <c r="T84" i="79"/>
  <c r="S84" i="79"/>
  <c r="R84" i="79"/>
  <c r="Q84" i="79"/>
  <c r="U83" i="79"/>
  <c r="T83" i="79"/>
  <c r="R83" i="79"/>
  <c r="Q83" i="79"/>
  <c r="U82" i="79"/>
  <c r="T82" i="79"/>
  <c r="R82" i="79"/>
  <c r="Q82" i="79"/>
  <c r="S82" i="79" s="1"/>
  <c r="U81" i="79"/>
  <c r="T81" i="79"/>
  <c r="R81" i="79"/>
  <c r="S81" i="79" s="1"/>
  <c r="Q81" i="79"/>
  <c r="U80" i="79"/>
  <c r="T80" i="79"/>
  <c r="R80" i="79"/>
  <c r="Q80" i="79"/>
  <c r="S80" i="79" s="1"/>
  <c r="U79" i="79"/>
  <c r="T79" i="79"/>
  <c r="R79" i="79"/>
  <c r="Q79" i="79"/>
  <c r="U78" i="79"/>
  <c r="T78" i="79"/>
  <c r="R78" i="79"/>
  <c r="Q78" i="79"/>
  <c r="S78" i="79" s="1"/>
  <c r="U77" i="79"/>
  <c r="T77" i="79"/>
  <c r="R77" i="79"/>
  <c r="Q77" i="79"/>
  <c r="S77" i="79" s="1"/>
  <c r="U76" i="79"/>
  <c r="T76" i="79"/>
  <c r="R76" i="79"/>
  <c r="Q76" i="79"/>
  <c r="S76" i="79" s="1"/>
  <c r="U75" i="79"/>
  <c r="T75" i="79"/>
  <c r="R75" i="79"/>
  <c r="S75" i="79" s="1"/>
  <c r="Q75" i="79"/>
  <c r="U74" i="79"/>
  <c r="T74" i="79"/>
  <c r="R74" i="79"/>
  <c r="Q74" i="79"/>
  <c r="S74" i="79" s="1"/>
  <c r="U73" i="79"/>
  <c r="T73" i="79"/>
  <c r="R73" i="79"/>
  <c r="Q73" i="79"/>
  <c r="U72" i="79"/>
  <c r="T72" i="79"/>
  <c r="R72" i="79"/>
  <c r="Q72" i="79"/>
  <c r="S72" i="79" s="1"/>
  <c r="U71" i="79"/>
  <c r="T71" i="79"/>
  <c r="R71" i="79"/>
  <c r="Q71" i="79"/>
  <c r="S71" i="79" s="1"/>
  <c r="U70" i="79"/>
  <c r="T70" i="79"/>
  <c r="R70" i="79"/>
  <c r="Q70" i="79"/>
  <c r="S70" i="79" s="1"/>
  <c r="U69" i="79"/>
  <c r="T69" i="79"/>
  <c r="R69" i="79"/>
  <c r="Q69" i="79"/>
  <c r="S69" i="79" s="1"/>
  <c r="U68" i="79"/>
  <c r="T68" i="79"/>
  <c r="R68" i="79"/>
  <c r="Q68" i="79"/>
  <c r="S68" i="79" s="1"/>
  <c r="U67" i="79"/>
  <c r="T67" i="79"/>
  <c r="R67" i="79"/>
  <c r="Q67" i="79"/>
  <c r="U66" i="79"/>
  <c r="T66" i="79"/>
  <c r="R66" i="79"/>
  <c r="S66" i="79" s="1"/>
  <c r="Q66" i="79"/>
  <c r="U65" i="79"/>
  <c r="T65" i="79"/>
  <c r="R65" i="79"/>
  <c r="Q65" i="79"/>
  <c r="U64" i="79"/>
  <c r="T64" i="79"/>
  <c r="R64" i="79"/>
  <c r="Q64" i="79"/>
  <c r="U63" i="79"/>
  <c r="T63" i="79"/>
  <c r="R63" i="79"/>
  <c r="Q63" i="79"/>
  <c r="S63" i="79" s="1"/>
  <c r="U62" i="79"/>
  <c r="T62" i="79"/>
  <c r="S62" i="79"/>
  <c r="R62" i="79"/>
  <c r="Q62" i="79"/>
  <c r="U61" i="79"/>
  <c r="T61" i="79"/>
  <c r="R61" i="79"/>
  <c r="Q61" i="79"/>
  <c r="S61" i="79" s="1"/>
  <c r="U60" i="79"/>
  <c r="T60" i="79"/>
  <c r="R60" i="79"/>
  <c r="Q60" i="79"/>
  <c r="S60" i="79" s="1"/>
  <c r="U59" i="79"/>
  <c r="T59" i="79"/>
  <c r="R59" i="79"/>
  <c r="S59" i="79" s="1"/>
  <c r="Q59" i="79"/>
  <c r="U58" i="79"/>
  <c r="T58" i="79"/>
  <c r="R58" i="79"/>
  <c r="Q58" i="79"/>
  <c r="S58" i="79" s="1"/>
  <c r="U57" i="79"/>
  <c r="T57" i="79"/>
  <c r="R57" i="79"/>
  <c r="Q57" i="79"/>
  <c r="U56" i="79"/>
  <c r="T56" i="79"/>
  <c r="R56" i="79"/>
  <c r="Q56" i="79"/>
  <c r="S56" i="79" s="1"/>
  <c r="U55" i="79"/>
  <c r="T55" i="79"/>
  <c r="R55" i="79"/>
  <c r="Q55" i="79"/>
  <c r="S55" i="79" s="1"/>
  <c r="U54" i="79"/>
  <c r="T54" i="79"/>
  <c r="R54" i="79"/>
  <c r="Q54" i="79"/>
  <c r="S54" i="79" s="1"/>
  <c r="U53" i="79"/>
  <c r="T53" i="79"/>
  <c r="R53" i="79"/>
  <c r="Q53" i="79"/>
  <c r="U52" i="79"/>
  <c r="T52" i="79"/>
  <c r="R52" i="79"/>
  <c r="Q52" i="79"/>
  <c r="S52" i="79" s="1"/>
  <c r="U51" i="79"/>
  <c r="T51" i="79"/>
  <c r="R51" i="79"/>
  <c r="Q51" i="79"/>
  <c r="U50" i="79"/>
  <c r="T50" i="79"/>
  <c r="R50" i="79"/>
  <c r="Q50" i="79"/>
  <c r="S50" i="79" s="1"/>
  <c r="U49" i="79"/>
  <c r="T49" i="79"/>
  <c r="R49" i="79"/>
  <c r="Q49" i="79"/>
  <c r="U48" i="79"/>
  <c r="T48" i="79"/>
  <c r="R48" i="79"/>
  <c r="Q48" i="79"/>
  <c r="U47" i="79"/>
  <c r="T47" i="79"/>
  <c r="R47" i="79"/>
  <c r="Q47" i="79"/>
  <c r="S47" i="79" s="1"/>
  <c r="U46" i="79"/>
  <c r="T46" i="79"/>
  <c r="R46" i="79"/>
  <c r="Q46" i="79"/>
  <c r="S46" i="79" s="1"/>
  <c r="U45" i="79"/>
  <c r="T45" i="79"/>
  <c r="R45" i="79"/>
  <c r="Q45" i="79"/>
  <c r="S45" i="79" s="1"/>
  <c r="U44" i="79"/>
  <c r="T44" i="79"/>
  <c r="R44" i="79"/>
  <c r="S44" i="79" s="1"/>
  <c r="Q44" i="79"/>
  <c r="U43" i="79"/>
  <c r="T43" i="79"/>
  <c r="R43" i="79"/>
  <c r="Q43" i="79"/>
  <c r="U42" i="79"/>
  <c r="T42" i="79"/>
  <c r="S42" i="79"/>
  <c r="R42" i="79"/>
  <c r="Q42" i="79"/>
  <c r="U41" i="79"/>
  <c r="T41" i="79"/>
  <c r="R41" i="79"/>
  <c r="Q41" i="79"/>
  <c r="U40" i="79"/>
  <c r="T40" i="79"/>
  <c r="R40" i="79"/>
  <c r="Q40" i="79"/>
  <c r="S40" i="79" s="1"/>
  <c r="U39" i="79"/>
  <c r="T39" i="79"/>
  <c r="R39" i="79"/>
  <c r="Q39" i="79"/>
  <c r="S39" i="79" s="1"/>
  <c r="U38" i="79"/>
  <c r="T38" i="79"/>
  <c r="R38" i="79"/>
  <c r="Q38" i="79"/>
  <c r="S38" i="79" s="1"/>
  <c r="U37" i="79"/>
  <c r="T37" i="79"/>
  <c r="R37" i="79"/>
  <c r="Q37" i="79"/>
  <c r="U36" i="79"/>
  <c r="T36" i="79"/>
  <c r="R36" i="79"/>
  <c r="Q36" i="79"/>
  <c r="S36" i="79" s="1"/>
  <c r="U35" i="79"/>
  <c r="T35" i="79"/>
  <c r="R35" i="79"/>
  <c r="Q35" i="79"/>
  <c r="U34" i="79"/>
  <c r="T34" i="79"/>
  <c r="R34" i="79"/>
  <c r="Q34" i="79"/>
  <c r="S34" i="79" s="1"/>
  <c r="U33" i="79"/>
  <c r="T33" i="79"/>
  <c r="R33" i="79"/>
  <c r="S33" i="79" s="1"/>
  <c r="Q33" i="79"/>
  <c r="U32" i="79"/>
  <c r="T32" i="79"/>
  <c r="R32" i="79"/>
  <c r="Q32" i="79"/>
  <c r="S32" i="79" s="1"/>
  <c r="U31" i="79"/>
  <c r="T31" i="79"/>
  <c r="R31" i="79"/>
  <c r="Q31" i="79"/>
  <c r="U30" i="79"/>
  <c r="T30" i="79"/>
  <c r="R30" i="79"/>
  <c r="Q30" i="79"/>
  <c r="S30" i="79" s="1"/>
  <c r="U29" i="79"/>
  <c r="T29" i="79"/>
  <c r="R29" i="79"/>
  <c r="Q29" i="79"/>
  <c r="S29" i="79" s="1"/>
  <c r="U28" i="79"/>
  <c r="T28" i="79"/>
  <c r="R28" i="79"/>
  <c r="Q28" i="79"/>
  <c r="S28" i="79" s="1"/>
  <c r="U27" i="79"/>
  <c r="T27" i="79"/>
  <c r="R27" i="79"/>
  <c r="Q27" i="79"/>
  <c r="U26" i="79"/>
  <c r="T26" i="79"/>
  <c r="R26" i="79"/>
  <c r="Q26" i="79"/>
  <c r="S26" i="79" s="1"/>
  <c r="U25" i="79"/>
  <c r="T25" i="79"/>
  <c r="R25" i="79"/>
  <c r="Q25" i="79"/>
  <c r="U24" i="79"/>
  <c r="T24" i="79"/>
  <c r="R24" i="79"/>
  <c r="Q24" i="79"/>
  <c r="S24" i="79" s="1"/>
  <c r="U23" i="79"/>
  <c r="T23" i="79"/>
  <c r="R23" i="79"/>
  <c r="Q23" i="79"/>
  <c r="S23" i="79" s="1"/>
  <c r="U22" i="79"/>
  <c r="T22" i="79"/>
  <c r="R22" i="79"/>
  <c r="S22" i="79" s="1"/>
  <c r="Q22" i="79"/>
  <c r="U21" i="79"/>
  <c r="T21" i="79"/>
  <c r="R21" i="79"/>
  <c r="Q21" i="79"/>
  <c r="S21" i="79" s="1"/>
  <c r="U20" i="79"/>
  <c r="T20" i="79"/>
  <c r="S20" i="79"/>
  <c r="R20" i="79"/>
  <c r="Q20" i="79"/>
  <c r="U19" i="79"/>
  <c r="T19" i="79"/>
  <c r="R19" i="79"/>
  <c r="Q19" i="79"/>
  <c r="U18" i="79"/>
  <c r="T18" i="79"/>
  <c r="R18" i="79"/>
  <c r="Q18" i="79"/>
  <c r="S18" i="79" s="1"/>
  <c r="U17" i="79"/>
  <c r="T17" i="79"/>
  <c r="R17" i="79"/>
  <c r="S17" i="79" s="1"/>
  <c r="Q17" i="79"/>
  <c r="U16" i="79"/>
  <c r="T16" i="79"/>
  <c r="R16" i="79"/>
  <c r="Q16" i="79"/>
  <c r="S16" i="79" s="1"/>
  <c r="U15" i="79"/>
  <c r="T15" i="79"/>
  <c r="R15" i="79"/>
  <c r="Q15" i="79"/>
  <c r="U14" i="79"/>
  <c r="T14" i="79"/>
  <c r="R14" i="79"/>
  <c r="Q14" i="79"/>
  <c r="S14" i="79" s="1"/>
  <c r="U13" i="79"/>
  <c r="T13" i="79"/>
  <c r="R13" i="79"/>
  <c r="Q13" i="79"/>
  <c r="S13" i="79" s="1"/>
  <c r="U12" i="79"/>
  <c r="T12" i="79"/>
  <c r="R12" i="79"/>
  <c r="Q12" i="79"/>
  <c r="S12" i="79" s="1"/>
  <c r="U11" i="79"/>
  <c r="T11" i="79"/>
  <c r="R11" i="79"/>
  <c r="S11" i="79" s="1"/>
  <c r="Q11" i="79"/>
  <c r="U10" i="79"/>
  <c r="T10" i="79"/>
  <c r="R10" i="79"/>
  <c r="Q10" i="79"/>
  <c r="S10" i="79" s="1"/>
  <c r="U9" i="79"/>
  <c r="T9" i="79"/>
  <c r="R9" i="79"/>
  <c r="Q9" i="79"/>
  <c r="U8" i="79"/>
  <c r="T8" i="79"/>
  <c r="R8" i="79"/>
  <c r="Q8" i="79"/>
  <c r="S8" i="79" s="1"/>
  <c r="U7" i="79"/>
  <c r="T7" i="79"/>
  <c r="R7" i="79"/>
  <c r="Q7" i="79"/>
  <c r="S7" i="79" s="1"/>
  <c r="U6" i="79"/>
  <c r="T6" i="79"/>
  <c r="R6" i="79"/>
  <c r="Q6" i="79"/>
  <c r="S6" i="79" s="1"/>
  <c r="U5" i="79"/>
  <c r="T5" i="79"/>
  <c r="R5" i="79"/>
  <c r="Q5" i="79"/>
  <c r="S5" i="79" s="1"/>
  <c r="U4" i="79"/>
  <c r="T4" i="79"/>
  <c r="R4" i="79"/>
  <c r="Q4" i="79"/>
  <c r="S4" i="79" s="1"/>
  <c r="U3" i="79"/>
  <c r="T3" i="79"/>
  <c r="R3" i="79"/>
  <c r="Q3" i="79"/>
  <c r="U2" i="79"/>
  <c r="T2" i="79"/>
  <c r="R2" i="79"/>
  <c r="S2" i="79" s="1"/>
  <c r="Q2" i="79"/>
  <c r="G36" i="101" l="1"/>
  <c r="G37" i="101" s="1"/>
  <c r="H15" i="98"/>
  <c r="H16" i="98"/>
  <c r="K29" i="98"/>
  <c r="E15" i="101"/>
  <c r="S19" i="79"/>
  <c r="S105" i="79"/>
  <c r="S147" i="79"/>
  <c r="S65" i="79"/>
  <c r="S129" i="79"/>
  <c r="S171" i="79"/>
  <c r="S153" i="79"/>
  <c r="K67" i="81"/>
  <c r="S41" i="79"/>
  <c r="S43" i="79"/>
  <c r="S107" i="79"/>
  <c r="S3" i="79"/>
  <c r="S25" i="79"/>
  <c r="S67" i="79"/>
  <c r="S27" i="79"/>
  <c r="S91" i="79"/>
  <c r="S113" i="79"/>
  <c r="S155" i="79"/>
  <c r="S177" i="79"/>
  <c r="G22" i="101"/>
  <c r="S83" i="79"/>
  <c r="S169" i="79"/>
  <c r="E16" i="101"/>
  <c r="S89" i="79"/>
  <c r="S131" i="79"/>
  <c r="S49" i="79"/>
  <c r="S9" i="79"/>
  <c r="S31" i="79"/>
  <c r="S51" i="79"/>
  <c r="S53" i="79"/>
  <c r="S64" i="79"/>
  <c r="S73" i="79"/>
  <c r="S95" i="79"/>
  <c r="S115" i="79"/>
  <c r="S117" i="79"/>
  <c r="S128" i="79"/>
  <c r="S137" i="79"/>
  <c r="S159" i="79"/>
  <c r="S179" i="79"/>
  <c r="J16" i="101"/>
  <c r="E29" i="101"/>
  <c r="M15" i="98"/>
  <c r="M17" i="98" s="1"/>
  <c r="M16" i="98"/>
  <c r="E21" i="114"/>
  <c r="G21" i="114" s="1"/>
  <c r="K13" i="95"/>
  <c r="E16" i="95"/>
  <c r="K21" i="95"/>
  <c r="S15" i="79"/>
  <c r="S35" i="79"/>
  <c r="S37" i="79"/>
  <c r="S48" i="79"/>
  <c r="S57" i="79"/>
  <c r="S79" i="79"/>
  <c r="S99" i="79"/>
  <c r="S101" i="79"/>
  <c r="S112" i="79"/>
  <c r="S121" i="79"/>
  <c r="S143" i="79"/>
  <c r="S163" i="79"/>
  <c r="S165" i="79"/>
  <c r="S176" i="79"/>
  <c r="M16" i="101"/>
  <c r="H29" i="101"/>
  <c r="E21" i="98"/>
  <c r="G21" i="98" s="1"/>
  <c r="J15" i="114"/>
  <c r="E67" i="81"/>
  <c r="R117" i="87"/>
  <c r="AF100" i="101"/>
  <c r="AF124" i="100"/>
  <c r="AN125" i="100"/>
  <c r="W17" i="111"/>
  <c r="AE17" i="111"/>
  <c r="H89" i="101"/>
  <c r="AH100" i="101"/>
  <c r="V114" i="101"/>
  <c r="F92" i="101"/>
  <c r="X17" i="111"/>
  <c r="AF17" i="111"/>
  <c r="H90" i="101"/>
  <c r="X107" i="101"/>
  <c r="Y107" i="101"/>
  <c r="AA107" i="101"/>
  <c r="W114" i="101"/>
  <c r="H92" i="101"/>
  <c r="AG114" i="101"/>
  <c r="AG17" i="111"/>
  <c r="M16" i="114"/>
  <c r="K28" i="114"/>
  <c r="K30" i="114" s="1"/>
  <c r="E15" i="114"/>
  <c r="E28" i="114"/>
  <c r="E30" i="114" s="1"/>
  <c r="G41" i="114"/>
  <c r="G46" i="114" s="1"/>
  <c r="E22" i="114"/>
  <c r="G22" i="114" s="1"/>
  <c r="G23" i="114" s="1"/>
  <c r="H28" i="114"/>
  <c r="M15" i="114"/>
  <c r="E16" i="114"/>
  <c r="H29" i="114"/>
  <c r="H122" i="98"/>
  <c r="E28" i="98"/>
  <c r="H29" i="98"/>
  <c r="R122" i="98"/>
  <c r="L123" i="98"/>
  <c r="E22" i="98"/>
  <c r="H28" i="98"/>
  <c r="H120" i="98"/>
  <c r="G41" i="98"/>
  <c r="G46" i="98" s="1"/>
  <c r="R120" i="98"/>
  <c r="E15" i="98"/>
  <c r="E16" i="98"/>
  <c r="L121" i="98"/>
  <c r="M83" i="98"/>
  <c r="F84" i="98"/>
  <c r="P84" i="98"/>
  <c r="I85" i="98"/>
  <c r="C86" i="98"/>
  <c r="M86" i="98"/>
  <c r="F120" i="98"/>
  <c r="Q120" i="98"/>
  <c r="K121" i="98"/>
  <c r="F122" i="98"/>
  <c r="Q122" i="98"/>
  <c r="K123" i="98"/>
  <c r="E29" i="98"/>
  <c r="E83" i="98"/>
  <c r="O83" i="98"/>
  <c r="H84" i="98"/>
  <c r="R84" i="98"/>
  <c r="L85" i="98"/>
  <c r="E86" i="98"/>
  <c r="P86" i="98"/>
  <c r="I120" i="98"/>
  <c r="C121" i="98"/>
  <c r="N121" i="98"/>
  <c r="I122" i="98"/>
  <c r="C123" i="98"/>
  <c r="N123" i="98"/>
  <c r="F83" i="98"/>
  <c r="P83" i="98"/>
  <c r="I84" i="98"/>
  <c r="C85" i="98"/>
  <c r="M85" i="98"/>
  <c r="G86" i="98"/>
  <c r="R86" i="98"/>
  <c r="J120" i="98"/>
  <c r="D121" i="98"/>
  <c r="P121" i="98"/>
  <c r="J122" i="98"/>
  <c r="D123" i="98"/>
  <c r="P123" i="98"/>
  <c r="G83" i="98"/>
  <c r="Q83" i="98"/>
  <c r="J84" i="98"/>
  <c r="D85" i="98"/>
  <c r="O85" i="98"/>
  <c r="H86" i="98"/>
  <c r="S86" i="98"/>
  <c r="K120" i="98"/>
  <c r="F121" i="98"/>
  <c r="Q121" i="98"/>
  <c r="AJ121" i="98" s="1"/>
  <c r="K122" i="98"/>
  <c r="F123" i="98"/>
  <c r="Y120" i="98" s="1"/>
  <c r="Q123" i="98"/>
  <c r="H83" i="98"/>
  <c r="R83" i="98"/>
  <c r="L84" i="98"/>
  <c r="F85" i="98"/>
  <c r="P85" i="98"/>
  <c r="J86" i="98"/>
  <c r="L120" i="98"/>
  <c r="H121" i="98"/>
  <c r="R121" i="98"/>
  <c r="L122" i="98"/>
  <c r="H123" i="98"/>
  <c r="R123" i="98"/>
  <c r="I83" i="98"/>
  <c r="I90" i="98" s="1"/>
  <c r="S83" i="98"/>
  <c r="N84" i="98"/>
  <c r="G85" i="98"/>
  <c r="Q85" i="98"/>
  <c r="K86" i="98"/>
  <c r="C120" i="98"/>
  <c r="N120" i="98"/>
  <c r="I121" i="98"/>
  <c r="C122" i="98"/>
  <c r="N122" i="98"/>
  <c r="I123" i="98"/>
  <c r="G22" i="98"/>
  <c r="G23" i="98" s="1"/>
  <c r="K28" i="98"/>
  <c r="J83" i="98"/>
  <c r="E84" i="98"/>
  <c r="O84" i="98"/>
  <c r="H85" i="98"/>
  <c r="S85" i="98"/>
  <c r="P92" i="98" s="1"/>
  <c r="D120" i="98"/>
  <c r="P120" i="98"/>
  <c r="J121" i="98"/>
  <c r="D122" i="98"/>
  <c r="W122" i="98" s="1"/>
  <c r="P122" i="98"/>
  <c r="AI123" i="98" s="1"/>
  <c r="J123" i="98"/>
  <c r="AC121" i="98" s="1"/>
  <c r="J17" i="101"/>
  <c r="M17" i="101"/>
  <c r="G21" i="101"/>
  <c r="E17" i="101"/>
  <c r="H15" i="101"/>
  <c r="K28" i="101"/>
  <c r="P100" i="101"/>
  <c r="P101" i="101"/>
  <c r="P102" i="101"/>
  <c r="P103" i="101"/>
  <c r="K107" i="101"/>
  <c r="K108" i="101"/>
  <c r="K109" i="101"/>
  <c r="K110" i="101"/>
  <c r="F114" i="101"/>
  <c r="F115" i="101"/>
  <c r="F116" i="101"/>
  <c r="F117" i="101"/>
  <c r="L124" i="101"/>
  <c r="C83" i="101"/>
  <c r="N83" i="101"/>
  <c r="G84" i="101"/>
  <c r="R84" i="101"/>
  <c r="L85" i="101"/>
  <c r="R100" i="101"/>
  <c r="R101" i="101"/>
  <c r="R102" i="101"/>
  <c r="R103" i="101"/>
  <c r="M107" i="101"/>
  <c r="M108" i="101"/>
  <c r="M109" i="101"/>
  <c r="M110" i="101"/>
  <c r="I114" i="101"/>
  <c r="I115" i="101"/>
  <c r="I116" i="101"/>
  <c r="I117" i="101"/>
  <c r="D121" i="101"/>
  <c r="O121" i="101"/>
  <c r="J122" i="101"/>
  <c r="AC122" i="101" s="1"/>
  <c r="D123" i="101"/>
  <c r="O123" i="101"/>
  <c r="O124" i="101"/>
  <c r="H16" i="101"/>
  <c r="K29" i="101"/>
  <c r="K89" i="101"/>
  <c r="E100" i="101"/>
  <c r="E101" i="101"/>
  <c r="X102" i="101" s="1"/>
  <c r="E102" i="101"/>
  <c r="E103" i="101"/>
  <c r="N107" i="101"/>
  <c r="N108" i="101"/>
  <c r="N109" i="101"/>
  <c r="N110" i="101"/>
  <c r="K114" i="101"/>
  <c r="K115" i="101"/>
  <c r="K116" i="101"/>
  <c r="K117" i="101"/>
  <c r="F121" i="101"/>
  <c r="Q121" i="101"/>
  <c r="K122" i="101"/>
  <c r="F123" i="101"/>
  <c r="Q123" i="101"/>
  <c r="Q124" i="101"/>
  <c r="AJ124" i="101" s="1"/>
  <c r="L82" i="101"/>
  <c r="F83" i="101"/>
  <c r="P83" i="101"/>
  <c r="J84" i="101"/>
  <c r="D85" i="101"/>
  <c r="N85" i="101"/>
  <c r="G100" i="101"/>
  <c r="G101" i="101"/>
  <c r="Z102" i="101" s="1"/>
  <c r="G102" i="101"/>
  <c r="G103" i="101"/>
  <c r="P107" i="101"/>
  <c r="AI109" i="101" s="1"/>
  <c r="P108" i="101"/>
  <c r="P109" i="101"/>
  <c r="P110" i="101"/>
  <c r="L114" i="101"/>
  <c r="L115" i="101"/>
  <c r="AE115" i="101" s="1"/>
  <c r="L116" i="101"/>
  <c r="L117" i="101"/>
  <c r="G121" i="101"/>
  <c r="Z124" i="101" s="1"/>
  <c r="R121" i="101"/>
  <c r="L122" i="101"/>
  <c r="G123" i="101"/>
  <c r="R123" i="101"/>
  <c r="R124" i="101"/>
  <c r="AK124" i="101" s="1"/>
  <c r="H50" i="106"/>
  <c r="I30" i="106" s="1"/>
  <c r="I36" i="106"/>
  <c r="I26" i="106"/>
  <c r="I44" i="106"/>
  <c r="I9" i="106"/>
  <c r="I49" i="106"/>
  <c r="I11" i="106"/>
  <c r="I24" i="106"/>
  <c r="I40" i="106"/>
  <c r="I34" i="106"/>
  <c r="I18" i="106"/>
  <c r="I28" i="106"/>
  <c r="I42" i="106"/>
  <c r="I32" i="106"/>
  <c r="D50" i="106"/>
  <c r="R26" i="108"/>
  <c r="X69" i="108"/>
  <c r="D74" i="102"/>
  <c r="D102" i="102"/>
  <c r="M76" i="102"/>
  <c r="AD51" i="111"/>
  <c r="AD59" i="111"/>
  <c r="V14" i="111"/>
  <c r="AD71" i="111"/>
  <c r="V59" i="111"/>
  <c r="AD14" i="111"/>
  <c r="AD34" i="111"/>
  <c r="AA70" i="111"/>
  <c r="AI70" i="111"/>
  <c r="AG75" i="111"/>
  <c r="AB77" i="111"/>
  <c r="AJ77" i="111"/>
  <c r="AA78" i="111"/>
  <c r="AI78" i="111"/>
  <c r="K14" i="95"/>
  <c r="E21" i="95"/>
  <c r="E30" i="95"/>
  <c r="K31" i="95"/>
  <c r="E38" i="95"/>
  <c r="K16" i="95"/>
  <c r="E31" i="95"/>
  <c r="K32" i="95"/>
  <c r="V39" i="111"/>
  <c r="V9" i="111"/>
  <c r="AD32" i="111"/>
  <c r="AD38" i="111"/>
  <c r="AD39" i="111"/>
  <c r="AD9" i="111"/>
  <c r="V32" i="111"/>
  <c r="Z70" i="111"/>
  <c r="AH70" i="111"/>
  <c r="Y71" i="111"/>
  <c r="AA74" i="111"/>
  <c r="AA77" i="111"/>
  <c r="AH78" i="111"/>
  <c r="E10" i="88"/>
  <c r="N11" i="88"/>
  <c r="N12" i="88"/>
  <c r="N13" i="88"/>
  <c r="E12" i="88"/>
  <c r="E13" i="88"/>
  <c r="E14" i="88"/>
  <c r="E16" i="88"/>
  <c r="K11" i="88"/>
  <c r="K15" i="88"/>
  <c r="E9" i="88"/>
  <c r="K13" i="88"/>
  <c r="E7" i="88"/>
  <c r="K6" i="88"/>
  <c r="E15" i="84"/>
  <c r="F15" i="84" s="1"/>
  <c r="E18" i="84"/>
  <c r="F18" i="84" s="1"/>
  <c r="F13" i="84"/>
  <c r="E32" i="95"/>
  <c r="K33" i="95"/>
  <c r="K40" i="95"/>
  <c r="E6" i="95"/>
  <c r="K8" i="95"/>
  <c r="E10" i="95"/>
  <c r="E26" i="95"/>
  <c r="K27" i="95"/>
  <c r="K35" i="95"/>
  <c r="E36" i="95"/>
  <c r="E39" i="95"/>
  <c r="K26" i="95"/>
  <c r="E33" i="95"/>
  <c r="E40" i="95"/>
  <c r="W54" i="111"/>
  <c r="AE54" i="111"/>
  <c r="AD8" i="111"/>
  <c r="V31" i="111"/>
  <c r="V58" i="111"/>
  <c r="V8" i="111"/>
  <c r="AD31" i="111"/>
  <c r="AD58" i="111"/>
  <c r="Z77" i="111"/>
  <c r="AE124" i="100"/>
  <c r="AM124" i="100"/>
  <c r="AE17" i="110"/>
  <c r="W66" i="108"/>
  <c r="F58" i="81"/>
  <c r="I86" i="81"/>
  <c r="Y45" i="102"/>
  <c r="O68" i="108"/>
  <c r="F82" i="81"/>
  <c r="X27" i="110"/>
  <c r="K58" i="81"/>
  <c r="F78" i="81"/>
  <c r="G90" i="81"/>
  <c r="C45" i="102"/>
  <c r="D45" i="102"/>
  <c r="W47" i="111"/>
  <c r="AE47" i="111"/>
  <c r="AG29" i="111"/>
  <c r="X32" i="111"/>
  <c r="AK33" i="111"/>
  <c r="Y37" i="111"/>
  <c r="AG37" i="111"/>
  <c r="Z29" i="111"/>
  <c r="AH29" i="111"/>
  <c r="AA54" i="111"/>
  <c r="AD15" i="111"/>
  <c r="AD7" i="111"/>
  <c r="AF30" i="111"/>
  <c r="AG30" i="111"/>
  <c r="AI21" i="111"/>
  <c r="Y30" i="111"/>
  <c r="AH19" i="111"/>
  <c r="AI26" i="111"/>
  <c r="AK27" i="111"/>
  <c r="AA29" i="111"/>
  <c r="AI29" i="111"/>
  <c r="Z30" i="111"/>
  <c r="AH30" i="111"/>
  <c r="AB70" i="111"/>
  <c r="AK77" i="111"/>
  <c r="AB78" i="111"/>
  <c r="AJ78" i="111"/>
  <c r="AJ60" i="111"/>
  <c r="X13" i="111"/>
  <c r="AB15" i="111"/>
  <c r="AJ15" i="111"/>
  <c r="X30" i="111"/>
  <c r="AA8" i="111"/>
  <c r="E28" i="95"/>
  <c r="K29" i="95"/>
  <c r="K37" i="95"/>
  <c r="K19" i="95"/>
  <c r="K6" i="95"/>
  <c r="E20" i="95"/>
  <c r="E27" i="95"/>
  <c r="K28" i="95"/>
  <c r="K36" i="95"/>
  <c r="K10" i="95"/>
  <c r="E8" i="95"/>
  <c r="K9" i="95"/>
  <c r="E12" i="95"/>
  <c r="E13" i="95"/>
  <c r="E14" i="95"/>
  <c r="K20" i="95"/>
  <c r="AE65" i="111"/>
  <c r="AB76" i="111"/>
  <c r="AE15" i="111"/>
  <c r="W67" i="111"/>
  <c r="W15" i="111"/>
  <c r="AD35" i="111"/>
  <c r="AF57" i="111"/>
  <c r="Z65" i="111"/>
  <c r="AF69" i="111"/>
  <c r="AC70" i="111"/>
  <c r="AK70" i="111"/>
  <c r="AC78" i="111"/>
  <c r="AK78" i="111"/>
  <c r="Y15" i="111"/>
  <c r="AA65" i="111"/>
  <c r="AI65" i="111"/>
  <c r="W78" i="111"/>
  <c r="AA10" i="111"/>
  <c r="X20" i="111"/>
  <c r="AB65" i="111"/>
  <c r="AJ65" i="111"/>
  <c r="AG31" i="111"/>
  <c r="AB33" i="111"/>
  <c r="AJ33" i="111"/>
  <c r="AK48" i="111"/>
  <c r="AB49" i="111"/>
  <c r="AC65" i="111"/>
  <c r="AA67" i="111"/>
  <c r="AB56" i="100"/>
  <c r="Y167" i="100"/>
  <c r="AC206" i="100"/>
  <c r="AF13" i="100"/>
  <c r="AA28" i="100"/>
  <c r="AF38" i="100"/>
  <c r="AN38" i="100"/>
  <c r="AE40" i="100"/>
  <c r="AM40" i="100"/>
  <c r="AK137" i="100"/>
  <c r="O117" i="87"/>
  <c r="I117" i="87"/>
  <c r="H117" i="87"/>
  <c r="P117" i="87"/>
  <c r="F117" i="87"/>
  <c r="N117" i="87"/>
  <c r="D117" i="87"/>
  <c r="L117" i="87"/>
  <c r="E21" i="84"/>
  <c r="F21" i="84" s="1"/>
  <c r="E12" i="84"/>
  <c r="F12" i="84" s="1"/>
  <c r="E16" i="84"/>
  <c r="F16" i="84" s="1"/>
  <c r="E19" i="84"/>
  <c r="F19" i="84" s="1"/>
  <c r="E8" i="84"/>
  <c r="F8" i="84" s="1"/>
  <c r="E14" i="84"/>
  <c r="F14" i="84" s="1"/>
  <c r="E34" i="95"/>
  <c r="E11" i="95"/>
  <c r="K7" i="95"/>
  <c r="K34" i="95"/>
  <c r="K39" i="95"/>
  <c r="K12" i="95"/>
  <c r="K17" i="95"/>
  <c r="K18" i="95"/>
  <c r="E35" i="95"/>
  <c r="K38" i="95"/>
  <c r="E7" i="95"/>
  <c r="Z48" i="111"/>
  <c r="AH48" i="111"/>
  <c r="Y56" i="111"/>
  <c r="AG56" i="111"/>
  <c r="Z56" i="111"/>
  <c r="AH56" i="111"/>
  <c r="W58" i="111"/>
  <c r="AF59" i="111"/>
  <c r="AE67" i="111"/>
  <c r="V20" i="111"/>
  <c r="AD20" i="111"/>
  <c r="AF7" i="111"/>
  <c r="AB21" i="111"/>
  <c r="AJ21" i="111"/>
  <c r="AB39" i="111"/>
  <c r="AJ39" i="111"/>
  <c r="W7" i="111"/>
  <c r="AE7" i="111"/>
  <c r="AK8" i="111"/>
  <c r="AJ9" i="111"/>
  <c r="W30" i="111"/>
  <c r="AE30" i="111"/>
  <c r="AB32" i="111"/>
  <c r="AJ32" i="111"/>
  <c r="W37" i="111"/>
  <c r="AE37" i="111"/>
  <c r="AH38" i="111"/>
  <c r="AK39" i="111"/>
  <c r="Z47" i="111"/>
  <c r="AB48" i="111"/>
  <c r="AJ48" i="111"/>
  <c r="AA56" i="111"/>
  <c r="AF67" i="111"/>
  <c r="AB56" i="111"/>
  <c r="AJ56" i="111"/>
  <c r="AB61" i="111"/>
  <c r="AG13" i="111"/>
  <c r="W39" i="111"/>
  <c r="Z67" i="111"/>
  <c r="AH67" i="111"/>
  <c r="Y13" i="111"/>
  <c r="AE32" i="111"/>
  <c r="AK40" i="111"/>
  <c r="Z15" i="111"/>
  <c r="AJ20" i="111"/>
  <c r="AJ29" i="111"/>
  <c r="AB58" i="111"/>
  <c r="W65" i="111"/>
  <c r="AB67" i="111"/>
  <c r="W21" i="111"/>
  <c r="W32" i="111"/>
  <c r="AH15" i="111"/>
  <c r="AB20" i="111"/>
  <c r="AB29" i="111"/>
  <c r="AA37" i="111"/>
  <c r="AB7" i="111"/>
  <c r="AJ7" i="111"/>
  <c r="AA15" i="111"/>
  <c r="AI15" i="111"/>
  <c r="AB30" i="111"/>
  <c r="AJ30" i="111"/>
  <c r="AG48" i="111"/>
  <c r="AI51" i="111"/>
  <c r="AB59" i="111"/>
  <c r="Z60" i="111"/>
  <c r="Z21" i="100"/>
  <c r="AN37" i="100"/>
  <c r="Z120" i="100"/>
  <c r="AD11" i="100"/>
  <c r="AL11" i="100"/>
  <c r="AD182" i="100"/>
  <c r="S191" i="100"/>
  <c r="AN191" i="100" s="1"/>
  <c r="AE197" i="100"/>
  <c r="AM198" i="100"/>
  <c r="AD198" i="100"/>
  <c r="Z202" i="100"/>
  <c r="AH202" i="100"/>
  <c r="AF207" i="100"/>
  <c r="AN205" i="100"/>
  <c r="AH21" i="100"/>
  <c r="AB80" i="100"/>
  <c r="AI116" i="100"/>
  <c r="Y184" i="100"/>
  <c r="AG181" i="100"/>
  <c r="AN182" i="100"/>
  <c r="AK205" i="100"/>
  <c r="AD17" i="100"/>
  <c r="AF28" i="100"/>
  <c r="AN28" i="100"/>
  <c r="AB32" i="100"/>
  <c r="AJ32" i="100"/>
  <c r="AE74" i="100"/>
  <c r="AM74" i="100"/>
  <c r="AE149" i="100"/>
  <c r="AM157" i="100"/>
  <c r="AD162" i="100"/>
  <c r="AL162" i="100"/>
  <c r="AL108" i="100"/>
  <c r="AA157" i="100"/>
  <c r="AI157" i="100"/>
  <c r="AF168" i="100"/>
  <c r="AB41" i="100"/>
  <c r="AJ41" i="100"/>
  <c r="Z43" i="100"/>
  <c r="AH43" i="100"/>
  <c r="H30" i="98"/>
  <c r="K30" i="98"/>
  <c r="G23" i="101"/>
  <c r="J17" i="98"/>
  <c r="O73" i="105"/>
  <c r="C24" i="105"/>
  <c r="P25" i="105"/>
  <c r="AF47" i="102"/>
  <c r="W25" i="105"/>
  <c r="F45" i="105"/>
  <c r="M66" i="105"/>
  <c r="AD66" i="109"/>
  <c r="AG34" i="108"/>
  <c r="Y24" i="110"/>
  <c r="AJ33" i="110"/>
  <c r="M24" i="105"/>
  <c r="J24" i="110"/>
  <c r="C57" i="81"/>
  <c r="L73" i="102"/>
  <c r="X89" i="102"/>
  <c r="P26" i="105"/>
  <c r="M48" i="105"/>
  <c r="E67" i="105"/>
  <c r="AF67" i="109"/>
  <c r="AC25" i="110"/>
  <c r="F57" i="81"/>
  <c r="C74" i="105"/>
  <c r="P45" i="110"/>
  <c r="H74" i="105"/>
  <c r="AI10" i="108"/>
  <c r="AD47" i="110"/>
  <c r="C15" i="81"/>
  <c r="N75" i="105"/>
  <c r="AC18" i="109"/>
  <c r="Y66" i="109"/>
  <c r="P13" i="108"/>
  <c r="I34" i="108"/>
  <c r="U24" i="110"/>
  <c r="AH33" i="110"/>
  <c r="AJ48" i="110"/>
  <c r="Q73" i="102"/>
  <c r="M68" i="105"/>
  <c r="AB68" i="109"/>
  <c r="AG25" i="110"/>
  <c r="K57" i="81"/>
  <c r="I27" i="108"/>
  <c r="H38" i="108"/>
  <c r="Q45" i="110"/>
  <c r="L48" i="110"/>
  <c r="V17" i="102"/>
  <c r="J90" i="102"/>
  <c r="AA66" i="108"/>
  <c r="AF69" i="108"/>
  <c r="H18" i="110"/>
  <c r="AI67" i="102"/>
  <c r="V38" i="108"/>
  <c r="Q18" i="110"/>
  <c r="I46" i="110"/>
  <c r="P48" i="110"/>
  <c r="J12" i="81"/>
  <c r="G52" i="107"/>
  <c r="J73" i="107"/>
  <c r="AB66" i="108"/>
  <c r="Y82" i="102"/>
  <c r="E13" i="107"/>
  <c r="AB53" i="107"/>
  <c r="AB69" i="109"/>
  <c r="P29" i="108" a="1"/>
  <c r="X38" i="108"/>
  <c r="AF55" i="108"/>
  <c r="V67" i="108"/>
  <c r="H39" i="110"/>
  <c r="N46" i="110"/>
  <c r="C74" i="81"/>
  <c r="AJ18" i="102"/>
  <c r="AF38" i="102"/>
  <c r="AB55" i="107"/>
  <c r="Z39" i="108"/>
  <c r="AI67" i="108"/>
  <c r="Z27" i="110"/>
  <c r="J41" i="110"/>
  <c r="O46" i="110"/>
  <c r="C58" i="81"/>
  <c r="P46" i="110"/>
  <c r="P74" i="109"/>
  <c r="AG40" i="108"/>
  <c r="AG47" i="107"/>
  <c r="AG41" i="108"/>
  <c r="AA68" i="108"/>
  <c r="L47" i="110"/>
  <c r="X52" i="110"/>
  <c r="D23" i="81"/>
  <c r="O34" i="102"/>
  <c r="Q61" i="102"/>
  <c r="I87" i="102"/>
  <c r="AI47" i="107"/>
  <c r="H25" i="108"/>
  <c r="AJ68" i="108"/>
  <c r="Q17" i="110"/>
  <c r="J45" i="110"/>
  <c r="P47" i="110"/>
  <c r="AH54" i="110"/>
  <c r="V24" i="102"/>
  <c r="AJ24" i="102"/>
  <c r="AI25" i="102"/>
  <c r="AI26" i="102"/>
  <c r="AH27" i="102"/>
  <c r="G53" i="105"/>
  <c r="L59" i="105"/>
  <c r="AJ41" i="107"/>
  <c r="U32" i="109"/>
  <c r="G76" i="109"/>
  <c r="R76" i="108"/>
  <c r="D40" i="110"/>
  <c r="AG47" i="110"/>
  <c r="H32" i="81"/>
  <c r="I39" i="81"/>
  <c r="I46" i="105"/>
  <c r="AH53" i="105"/>
  <c r="O60" i="105"/>
  <c r="C68" i="109"/>
  <c r="I76" i="109"/>
  <c r="C94" i="81"/>
  <c r="D100" i="81"/>
  <c r="AE24" i="102"/>
  <c r="AC25" i="102"/>
  <c r="AE26" i="102"/>
  <c r="AB27" i="102"/>
  <c r="C76" i="105"/>
  <c r="AC13" i="107"/>
  <c r="I19" i="109"/>
  <c r="AG32" i="109"/>
  <c r="X45" i="109"/>
  <c r="D41" i="108"/>
  <c r="U52" i="108"/>
  <c r="AF19" i="110"/>
  <c r="AB24" i="110"/>
  <c r="AA26" i="110"/>
  <c r="L47" i="81"/>
  <c r="AE40" i="102"/>
  <c r="AE46" i="102"/>
  <c r="AD87" i="102"/>
  <c r="AA96" i="102"/>
  <c r="F66" i="109"/>
  <c r="I68" i="109"/>
  <c r="E73" i="109"/>
  <c r="AJ31" i="108"/>
  <c r="Z20" i="110"/>
  <c r="AG24" i="110"/>
  <c r="AF26" i="110"/>
  <c r="AC32" i="110"/>
  <c r="J38" i="110"/>
  <c r="N40" i="110"/>
  <c r="L53" i="110"/>
  <c r="AE59" i="110"/>
  <c r="C86" i="81"/>
  <c r="U19" i="102"/>
  <c r="X24" i="102"/>
  <c r="U25" i="102"/>
  <c r="U26" i="102"/>
  <c r="U27" i="102"/>
  <c r="AI27" i="102"/>
  <c r="Q40" i="102"/>
  <c r="Q87" i="102"/>
  <c r="AH94" i="102"/>
  <c r="AA67" i="108"/>
  <c r="L69" i="108"/>
  <c r="E38" i="110"/>
  <c r="H40" i="110"/>
  <c r="AH43" i="110" a="1"/>
  <c r="AH43" i="110" s="1"/>
  <c r="H53" i="110"/>
  <c r="D52" i="81"/>
  <c r="AD19" i="102"/>
  <c r="Y24" i="102"/>
  <c r="X25" i="102"/>
  <c r="Y26" i="102"/>
  <c r="W27" i="102"/>
  <c r="N47" i="105"/>
  <c r="U54" i="105"/>
  <c r="R60" i="105"/>
  <c r="H73" i="105"/>
  <c r="D76" i="105"/>
  <c r="D54" i="107"/>
  <c r="AH32" i="109"/>
  <c r="W52" i="108"/>
  <c r="K66" i="108"/>
  <c r="AC67" i="108"/>
  <c r="Q69" i="108"/>
  <c r="AD20" i="102"/>
  <c r="Z24" i="102"/>
  <c r="Y25" i="102"/>
  <c r="AA26" i="102"/>
  <c r="X27" i="102"/>
  <c r="L47" i="102"/>
  <c r="R60" i="102"/>
  <c r="I73" i="102"/>
  <c r="AC80" i="102"/>
  <c r="M89" i="102"/>
  <c r="W97" i="102"/>
  <c r="AF13" i="105"/>
  <c r="H25" i="105"/>
  <c r="AC54" i="105"/>
  <c r="N73" i="105"/>
  <c r="G76" i="105"/>
  <c r="AF33" i="107"/>
  <c r="E54" i="107"/>
  <c r="U33" i="109"/>
  <c r="AG46" i="109"/>
  <c r="L66" i="109"/>
  <c r="P68" i="109"/>
  <c r="P73" i="109"/>
  <c r="J24" i="108"/>
  <c r="AD38" i="108"/>
  <c r="AI41" i="108"/>
  <c r="U53" i="108"/>
  <c r="U66" i="108"/>
  <c r="AG67" i="108"/>
  <c r="W69" i="108"/>
  <c r="X25" i="110"/>
  <c r="AI26" i="110"/>
  <c r="W33" i="110"/>
  <c r="N38" i="110"/>
  <c r="C41" i="110"/>
  <c r="L45" i="110"/>
  <c r="J47" i="110"/>
  <c r="AA48" i="110"/>
  <c r="V61" i="110"/>
  <c r="H17" i="81"/>
  <c r="D82" i="81"/>
  <c r="G86" i="81"/>
  <c r="F90" i="81"/>
  <c r="AC24" i="102"/>
  <c r="AB25" i="102"/>
  <c r="AB26" i="102"/>
  <c r="Y27" i="102"/>
  <c r="U47" i="102"/>
  <c r="J55" i="105"/>
  <c r="AA34" i="109"/>
  <c r="N66" i="109"/>
  <c r="Q68" i="109"/>
  <c r="M74" i="109"/>
  <c r="O39" i="108"/>
  <c r="AE55" i="108"/>
  <c r="Z25" i="110"/>
  <c r="AJ26" i="110"/>
  <c r="P38" i="110"/>
  <c r="H41" i="110"/>
  <c r="AG48" i="110"/>
  <c r="L54" i="110"/>
  <c r="W31" i="109"/>
  <c r="Q40" i="108"/>
  <c r="K55" i="110"/>
  <c r="J19" i="81"/>
  <c r="F51" i="81"/>
  <c r="G64" i="81"/>
  <c r="D74" i="81"/>
  <c r="D83" i="81"/>
  <c r="F87" i="81"/>
  <c r="Z17" i="102"/>
  <c r="Y22" i="102"/>
  <c r="AF24" i="102"/>
  <c r="AE25" i="102"/>
  <c r="AG26" i="102"/>
  <c r="AE27" i="102"/>
  <c r="R90" i="102"/>
  <c r="AA10" i="107"/>
  <c r="AG25" i="107"/>
  <c r="Y39" i="107"/>
  <c r="K69" i="109"/>
  <c r="G75" i="109"/>
  <c r="M39" i="110"/>
  <c r="O41" i="110"/>
  <c r="C32" i="81"/>
  <c r="C39" i="81"/>
  <c r="X18" i="102"/>
  <c r="U24" i="102"/>
  <c r="AH24" i="102"/>
  <c r="AG25" i="102"/>
  <c r="AH26" i="102"/>
  <c r="AF27" i="102"/>
  <c r="AE38" i="102"/>
  <c r="AA67" i="102"/>
  <c r="L74" i="102"/>
  <c r="AJ52" i="105"/>
  <c r="I74" i="105"/>
  <c r="AI25" i="107"/>
  <c r="AH39" i="107"/>
  <c r="AB17" i="109"/>
  <c r="AH31" i="109"/>
  <c r="G67" i="109"/>
  <c r="Z69" i="109"/>
  <c r="O75" i="109"/>
  <c r="Z40" i="108"/>
  <c r="AI66" i="108"/>
  <c r="AD68" i="108"/>
  <c r="O74" i="108"/>
  <c r="X24" i="110"/>
  <c r="AI25" i="110"/>
  <c r="AJ27" i="110"/>
  <c r="P36" i="110" a="1"/>
  <c r="P36" i="110" s="1"/>
  <c r="R39" i="110"/>
  <c r="M46" i="110"/>
  <c r="AE47" i="110"/>
  <c r="N55" i="110"/>
  <c r="H8" i="81"/>
  <c r="G32" i="81"/>
  <c r="F39" i="81"/>
  <c r="G51" i="81"/>
  <c r="D80" i="81"/>
  <c r="E111" i="81"/>
  <c r="AL17" i="100"/>
  <c r="AL39" i="100"/>
  <c r="W120" i="98"/>
  <c r="AD15" i="100"/>
  <c r="AN17" i="100"/>
  <c r="AB20" i="100"/>
  <c r="AJ20" i="100"/>
  <c r="AA21" i="100"/>
  <c r="AI21" i="100"/>
  <c r="AE33" i="100"/>
  <c r="AM33" i="100"/>
  <c r="AB36" i="100"/>
  <c r="AJ36" i="100"/>
  <c r="C89" i="101"/>
  <c r="N89" i="101"/>
  <c r="AB121" i="101"/>
  <c r="C93" i="98"/>
  <c r="AD13" i="100"/>
  <c r="AL13" i="100"/>
  <c r="D89" i="101"/>
  <c r="AB27" i="100"/>
  <c r="AJ27" i="100"/>
  <c r="O89" i="101"/>
  <c r="F89" i="101"/>
  <c r="P89" i="101"/>
  <c r="P93" i="98"/>
  <c r="Y60" i="100"/>
  <c r="G89" i="101"/>
  <c r="Q89" i="101"/>
  <c r="Y36" i="100"/>
  <c r="AK64" i="100"/>
  <c r="AD122" i="98"/>
  <c r="AA12" i="100"/>
  <c r="AI12" i="100"/>
  <c r="AH71" i="100"/>
  <c r="Y72" i="100"/>
  <c r="AG72" i="100"/>
  <c r="AE110" i="100"/>
  <c r="AA136" i="100"/>
  <c r="AE159" i="100"/>
  <c r="AM159" i="100"/>
  <c r="AK16" i="111"/>
  <c r="AI33" i="111"/>
  <c r="AC75" i="111"/>
  <c r="AI109" i="100"/>
  <c r="AD19" i="100"/>
  <c r="AL19" i="100"/>
  <c r="AC20" i="100"/>
  <c r="AK20" i="100"/>
  <c r="Y24" i="100"/>
  <c r="AG32" i="100"/>
  <c r="AD35" i="100"/>
  <c r="AL35" i="100"/>
  <c r="AF67" i="100"/>
  <c r="AE105" i="100"/>
  <c r="AJ116" i="100"/>
  <c r="AH120" i="100"/>
  <c r="Z141" i="100"/>
  <c r="AN160" i="100"/>
  <c r="Z179" i="100"/>
  <c r="AM182" i="100"/>
  <c r="AA9" i="111"/>
  <c r="AI9" i="111"/>
  <c r="W12" i="111"/>
  <c r="AE12" i="111"/>
  <c r="W16" i="111"/>
  <c r="AE16" i="111"/>
  <c r="W26" i="111"/>
  <c r="AE26" i="111"/>
  <c r="X37" i="111"/>
  <c r="AG39" i="111"/>
  <c r="AI56" i="111"/>
  <c r="AC59" i="111"/>
  <c r="W69" i="111"/>
  <c r="AE69" i="111"/>
  <c r="AN108" i="100"/>
  <c r="AG167" i="100"/>
  <c r="AE175" i="100"/>
  <c r="AM173" i="100"/>
  <c r="AD176" i="100"/>
  <c r="AL174" i="100"/>
  <c r="AD211" i="100"/>
  <c r="AL211" i="100"/>
  <c r="X53" i="111"/>
  <c r="G93" i="98"/>
  <c r="R93" i="98"/>
  <c r="AF12" i="100"/>
  <c r="AN12" i="100"/>
  <c r="AE13" i="100"/>
  <c r="AM13" i="100"/>
  <c r="Y40" i="100"/>
  <c r="AB45" i="100"/>
  <c r="AJ45" i="100"/>
  <c r="Z47" i="100"/>
  <c r="AH47" i="100"/>
  <c r="AF63" i="100"/>
  <c r="AJ73" i="100"/>
  <c r="AK80" i="100"/>
  <c r="AJ120" i="100"/>
  <c r="AA166" i="100"/>
  <c r="AI166" i="100"/>
  <c r="AD170" i="100"/>
  <c r="AL170" i="100"/>
  <c r="AA188" i="100"/>
  <c r="AI188" i="100"/>
  <c r="AF199" i="100"/>
  <c r="W20" i="111"/>
  <c r="AE20" i="111"/>
  <c r="Y27" i="111"/>
  <c r="AF32" i="111"/>
  <c r="W33" i="111"/>
  <c r="AE33" i="111"/>
  <c r="AA36" i="111"/>
  <c r="AI36" i="111"/>
  <c r="Y46" i="111"/>
  <c r="AG46" i="111"/>
  <c r="Z52" i="111"/>
  <c r="AH52" i="111"/>
  <c r="Y53" i="111"/>
  <c r="AG53" i="111"/>
  <c r="W70" i="111"/>
  <c r="AE77" i="111"/>
  <c r="Z80" i="111"/>
  <c r="AH80" i="111"/>
  <c r="Z80" i="100"/>
  <c r="Y120" i="100"/>
  <c r="AI153" i="100"/>
  <c r="Y162" i="100"/>
  <c r="AG162" i="100"/>
  <c r="Z16" i="111"/>
  <c r="AH16" i="111"/>
  <c r="Z26" i="111"/>
  <c r="AH26" i="111"/>
  <c r="X33" i="111"/>
  <c r="AF33" i="111"/>
  <c r="AH34" i="111"/>
  <c r="Z46" i="111"/>
  <c r="AH46" i="111"/>
  <c r="Z53" i="111"/>
  <c r="AJ74" i="111"/>
  <c r="AE78" i="111"/>
  <c r="AA80" i="111"/>
  <c r="J93" i="98"/>
  <c r="AN21" i="100"/>
  <c r="AL23" i="100"/>
  <c r="AB25" i="100"/>
  <c r="AJ25" i="100"/>
  <c r="AA26" i="100"/>
  <c r="AI26" i="100"/>
  <c r="Z27" i="100"/>
  <c r="AH27" i="100"/>
  <c r="Y28" i="100"/>
  <c r="AG28" i="100"/>
  <c r="AD31" i="100"/>
  <c r="AL31" i="100"/>
  <c r="AA34" i="100"/>
  <c r="AF53" i="100"/>
  <c r="AN53" i="100"/>
  <c r="AB64" i="100"/>
  <c r="AJ64" i="100"/>
  <c r="AB106" i="100"/>
  <c r="AI108" i="100"/>
  <c r="AA161" i="100"/>
  <c r="AI161" i="100"/>
  <c r="AD165" i="100"/>
  <c r="AL165" i="100"/>
  <c r="AC166" i="100"/>
  <c r="AK166" i="100"/>
  <c r="X8" i="111"/>
  <c r="AF8" i="111"/>
  <c r="AK10" i="111"/>
  <c r="AA12" i="111"/>
  <c r="AI12" i="111"/>
  <c r="AF15" i="111"/>
  <c r="AI16" i="111"/>
  <c r="AK18" i="111"/>
  <c r="AK21" i="111"/>
  <c r="AA26" i="111"/>
  <c r="Z32" i="111"/>
  <c r="AH32" i="111"/>
  <c r="AA46" i="111"/>
  <c r="AI46" i="111"/>
  <c r="AH47" i="111"/>
  <c r="AK50" i="111"/>
  <c r="AA53" i="111"/>
  <c r="AI53" i="111"/>
  <c r="Y59" i="111"/>
  <c r="AG59" i="111"/>
  <c r="X78" i="111"/>
  <c r="AF78" i="111"/>
  <c r="AB80" i="111"/>
  <c r="AJ80" i="111"/>
  <c r="AI28" i="100"/>
  <c r="AA41" i="100"/>
  <c r="AI41" i="100"/>
  <c r="AF44" i="100"/>
  <c r="AN44" i="100"/>
  <c r="AC48" i="100"/>
  <c r="AA60" i="100"/>
  <c r="AI60" i="100"/>
  <c r="Z61" i="100"/>
  <c r="AH61" i="100"/>
  <c r="AL63" i="100"/>
  <c r="AH80" i="100"/>
  <c r="AI107" i="100"/>
  <c r="AA110" i="100"/>
  <c r="AI131" i="100"/>
  <c r="AK132" i="100"/>
  <c r="Y137" i="100"/>
  <c r="AB163" i="100"/>
  <c r="AJ161" i="100"/>
  <c r="AA164" i="100"/>
  <c r="AI162" i="100"/>
  <c r="Z163" i="100"/>
  <c r="AH163" i="100"/>
  <c r="Y163" i="100"/>
  <c r="AE165" i="100"/>
  <c r="AM165" i="100"/>
  <c r="AJ176" i="100"/>
  <c r="AL204" i="100"/>
  <c r="X9" i="111"/>
  <c r="AB12" i="111"/>
  <c r="AJ12" i="111"/>
  <c r="AB16" i="111"/>
  <c r="AJ16" i="111"/>
  <c r="Z20" i="111"/>
  <c r="AH20" i="111"/>
  <c r="AB26" i="111"/>
  <c r="AJ26" i="111"/>
  <c r="AA32" i="111"/>
  <c r="AI32" i="111"/>
  <c r="Z33" i="111"/>
  <c r="AH33" i="111"/>
  <c r="AC41" i="111"/>
  <c r="AB46" i="111"/>
  <c r="AJ46" i="111"/>
  <c r="AF49" i="111"/>
  <c r="AJ53" i="111"/>
  <c r="AC57" i="111"/>
  <c r="AK57" i="111"/>
  <c r="Z59" i="111"/>
  <c r="AH59" i="111"/>
  <c r="AF15" i="100"/>
  <c r="AN15" i="100"/>
  <c r="AB21" i="100"/>
  <c r="AJ21" i="100"/>
  <c r="AB26" i="100"/>
  <c r="AJ26" i="100"/>
  <c r="AN29" i="100"/>
  <c r="AE30" i="100"/>
  <c r="AM30" i="100"/>
  <c r="AM54" i="100"/>
  <c r="AJ56" i="100"/>
  <c r="Y62" i="100"/>
  <c r="AG62" i="100"/>
  <c r="AB73" i="100"/>
  <c r="AI106" i="100"/>
  <c r="Y108" i="100"/>
  <c r="AN113" i="100"/>
  <c r="AD112" i="100"/>
  <c r="AM128" i="100"/>
  <c r="Z121" i="101"/>
  <c r="AK121" i="101"/>
  <c r="AE122" i="101"/>
  <c r="J90" i="98"/>
  <c r="L93" i="98"/>
  <c r="AG122" i="98"/>
  <c r="AK11" i="100"/>
  <c r="Y14" i="100"/>
  <c r="AG14" i="100"/>
  <c r="AM14" i="100"/>
  <c r="AC21" i="100"/>
  <c r="AK21" i="100"/>
  <c r="Z23" i="100"/>
  <c r="AH23" i="100"/>
  <c r="AF24" i="100"/>
  <c r="Y30" i="100"/>
  <c r="AG30" i="100"/>
  <c r="AC32" i="100"/>
  <c r="AK32" i="100"/>
  <c r="Z34" i="100"/>
  <c r="AH34" i="100"/>
  <c r="AJ37" i="100"/>
  <c r="AA44" i="100"/>
  <c r="AI44" i="100"/>
  <c r="AG44" i="100"/>
  <c r="AN45" i="100"/>
  <c r="AE46" i="100"/>
  <c r="AM46" i="100"/>
  <c r="AL47" i="100"/>
  <c r="AK48" i="100"/>
  <c r="AB57" i="100"/>
  <c r="AN63" i="100"/>
  <c r="AD65" i="100"/>
  <c r="AL65" i="100"/>
  <c r="AJ65" i="100"/>
  <c r="AA82" i="100"/>
  <c r="AI82" i="100"/>
  <c r="Y133" i="100"/>
  <c r="AF107" i="101"/>
  <c r="AC16" i="100"/>
  <c r="AK16" i="100"/>
  <c r="Z18" i="100"/>
  <c r="AH18" i="100"/>
  <c r="Y19" i="100"/>
  <c r="AG24" i="100"/>
  <c r="AL26" i="100"/>
  <c r="AC27" i="100"/>
  <c r="AK27" i="100"/>
  <c r="AD33" i="100"/>
  <c r="AL33" i="100"/>
  <c r="AJ33" i="100"/>
  <c r="AI34" i="100"/>
  <c r="Y35" i="100"/>
  <c r="AG35" i="100"/>
  <c r="AC37" i="100"/>
  <c r="AK37" i="100"/>
  <c r="Z39" i="100"/>
  <c r="AH39" i="100"/>
  <c r="AF40" i="100"/>
  <c r="Y46" i="100"/>
  <c r="AG46" i="100"/>
  <c r="AE48" i="100"/>
  <c r="AM48" i="100"/>
  <c r="AB49" i="100"/>
  <c r="AJ49" i="100"/>
  <c r="Z51" i="100"/>
  <c r="Y52" i="100"/>
  <c r="AG52" i="100"/>
  <c r="AJ57" i="100"/>
  <c r="AD59" i="100"/>
  <c r="AD67" i="100"/>
  <c r="AL67" i="100"/>
  <c r="AD71" i="100"/>
  <c r="AL71" i="100"/>
  <c r="AJ80" i="100"/>
  <c r="AC92" i="100"/>
  <c r="AK92" i="100"/>
  <c r="AI103" i="100"/>
  <c r="AI110" i="100"/>
  <c r="AJ111" i="100"/>
  <c r="AJ113" i="100"/>
  <c r="Y113" i="100"/>
  <c r="AI121" i="100"/>
  <c r="AA120" i="98"/>
  <c r="AK120" i="98"/>
  <c r="AD121" i="98"/>
  <c r="AD123" i="98"/>
  <c r="AC18" i="100"/>
  <c r="AK18" i="100"/>
  <c r="AI18" i="100"/>
  <c r="Z25" i="100"/>
  <c r="AH25" i="100"/>
  <c r="AG31" i="100"/>
  <c r="AG40" i="100"/>
  <c r="AD42" i="100"/>
  <c r="AL42" i="100"/>
  <c r="AC43" i="100"/>
  <c r="AK43" i="100"/>
  <c r="AN47" i="100"/>
  <c r="Z53" i="100"/>
  <c r="AH53" i="100"/>
  <c r="Z63" i="100"/>
  <c r="AH63" i="100"/>
  <c r="AK68" i="100"/>
  <c r="AB69" i="100"/>
  <c r="AA70" i="100"/>
  <c r="AI70" i="100"/>
  <c r="AC72" i="100"/>
  <c r="AK72" i="100"/>
  <c r="Y100" i="100"/>
  <c r="AG100" i="100"/>
  <c r="AB103" i="100"/>
  <c r="AJ103" i="100"/>
  <c r="AL106" i="100"/>
  <c r="AH108" i="100"/>
  <c r="Z113" i="100"/>
  <c r="R90" i="101"/>
  <c r="L92" i="101"/>
  <c r="AK12" i="100"/>
  <c r="AB13" i="100"/>
  <c r="AJ13" i="100"/>
  <c r="Z14" i="100"/>
  <c r="AH14" i="100"/>
  <c r="AG15" i="100"/>
  <c r="AB18" i="100"/>
  <c r="AJ18" i="100"/>
  <c r="AD22" i="100"/>
  <c r="AL22" i="100"/>
  <c r="AK23" i="100"/>
  <c r="Y25" i="100"/>
  <c r="AG25" i="100"/>
  <c r="AC28" i="100"/>
  <c r="AK28" i="100"/>
  <c r="Z41" i="100"/>
  <c r="AH41" i="100"/>
  <c r="Y47" i="100"/>
  <c r="AD47" i="100"/>
  <c r="AI58" i="100"/>
  <c r="AB62" i="100"/>
  <c r="AJ62" i="100"/>
  <c r="AA64" i="100"/>
  <c r="AI64" i="100"/>
  <c r="Z100" i="100"/>
  <c r="AH100" i="100"/>
  <c r="AC103" i="100"/>
  <c r="AK105" i="100"/>
  <c r="AI111" i="100"/>
  <c r="V123" i="98"/>
  <c r="Z15" i="100"/>
  <c r="AH15" i="100"/>
  <c r="AE17" i="100"/>
  <c r="AM17" i="100"/>
  <c r="AD29" i="100"/>
  <c r="AA32" i="100"/>
  <c r="AI32" i="100"/>
  <c r="AB37" i="100"/>
  <c r="Z37" i="100"/>
  <c r="AH37" i="100"/>
  <c r="AF37" i="100"/>
  <c r="AK39" i="100"/>
  <c r="AC44" i="100"/>
  <c r="AK44" i="100"/>
  <c r="Y48" i="100"/>
  <c r="AC51" i="100"/>
  <c r="AK51" i="100"/>
  <c r="AF80" i="100"/>
  <c r="AN80" i="100"/>
  <c r="AA85" i="100"/>
  <c r="AI85" i="100"/>
  <c r="AA107" i="100"/>
  <c r="AN105" i="100"/>
  <c r="AG107" i="100"/>
  <c r="AC111" i="100"/>
  <c r="AJ110" i="100"/>
  <c r="AE109" i="100"/>
  <c r="AM111" i="100"/>
  <c r="AC132" i="100"/>
  <c r="N93" i="98"/>
  <c r="AD120" i="98"/>
  <c r="Z11" i="100"/>
  <c r="AB11" i="100"/>
  <c r="AJ11" i="100"/>
  <c r="AA16" i="100"/>
  <c r="AI16" i="100"/>
  <c r="AF17" i="100"/>
  <c r="AF22" i="100"/>
  <c r="AN22" i="100"/>
  <c r="AE24" i="100"/>
  <c r="AM24" i="100"/>
  <c r="AA25" i="100"/>
  <c r="AI25" i="100"/>
  <c r="AF33" i="100"/>
  <c r="AN33" i="100"/>
  <c r="AD39" i="100"/>
  <c r="AD45" i="100"/>
  <c r="AB43" i="100"/>
  <c r="AJ43" i="100"/>
  <c r="AF49" i="100"/>
  <c r="AN49" i="100"/>
  <c r="AD51" i="100"/>
  <c r="AL51" i="100"/>
  <c r="AJ51" i="100"/>
  <c r="AE61" i="100"/>
  <c r="AM61" i="100"/>
  <c r="AD62" i="100"/>
  <c r="AL62" i="100"/>
  <c r="AC63" i="100"/>
  <c r="AK63" i="100"/>
  <c r="Z67" i="100"/>
  <c r="AH67" i="100"/>
  <c r="Z71" i="100"/>
  <c r="Y88" i="100"/>
  <c r="AG88" i="100"/>
  <c r="AH104" i="100"/>
  <c r="AC105" i="100"/>
  <c r="AA111" i="100"/>
  <c r="AK100" i="100"/>
  <c r="AF103" i="100"/>
  <c r="Y105" i="100"/>
  <c r="Y107" i="100"/>
  <c r="AE108" i="100"/>
  <c r="AC113" i="100"/>
  <c r="AJ114" i="100"/>
  <c r="AB119" i="100"/>
  <c r="AB118" i="100"/>
  <c r="AL118" i="100"/>
  <c r="AE120" i="100"/>
  <c r="AG122" i="100"/>
  <c r="AM122" i="100"/>
  <c r="AB128" i="100"/>
  <c r="AA129" i="100"/>
  <c r="AG129" i="100"/>
  <c r="Y139" i="100"/>
  <c r="AN136" i="100"/>
  <c r="AM141" i="100"/>
  <c r="AH142" i="100"/>
  <c r="AA155" i="100"/>
  <c r="AI155" i="100"/>
  <c r="AB165" i="100"/>
  <c r="AJ165" i="100"/>
  <c r="Z166" i="100"/>
  <c r="AH166" i="100"/>
  <c r="AM168" i="100"/>
  <c r="AA170" i="100"/>
  <c r="AI170" i="100"/>
  <c r="AD197" i="100"/>
  <c r="AL197" i="100"/>
  <c r="AC198" i="100"/>
  <c r="AK198" i="100"/>
  <c r="AB199" i="100"/>
  <c r="AM132" i="100"/>
  <c r="Z133" i="100"/>
  <c r="AI134" i="100"/>
  <c r="AG139" i="100"/>
  <c r="AF158" i="100"/>
  <c r="AN158" i="100"/>
  <c r="AD164" i="100"/>
  <c r="AL164" i="100"/>
  <c r="AG73" i="111"/>
  <c r="AA121" i="100"/>
  <c r="Y126" i="100"/>
  <c r="AN128" i="100"/>
  <c r="AH141" i="100"/>
  <c r="Z150" i="100"/>
  <c r="AH150" i="100"/>
  <c r="AD154" i="100"/>
  <c r="AL154" i="100"/>
  <c r="AB156" i="100"/>
  <c r="Y168" i="100"/>
  <c r="AG168" i="100"/>
  <c r="AK170" i="100"/>
  <c r="Y174" i="100"/>
  <c r="AG174" i="100"/>
  <c r="AH210" i="100"/>
  <c r="AN118" i="100"/>
  <c r="AI122" i="100"/>
  <c r="AE132" i="100"/>
  <c r="AI136" i="100"/>
  <c r="Z111" i="100"/>
  <c r="AK113" i="100"/>
  <c r="Y116" i="100"/>
  <c r="AD117" i="100"/>
  <c r="AJ117" i="100"/>
  <c r="AC130" i="100"/>
  <c r="AJ136" i="100"/>
  <c r="AD149" i="100"/>
  <c r="AL149" i="100"/>
  <c r="AC150" i="100"/>
  <c r="AK150" i="100"/>
  <c r="AB151" i="100"/>
  <c r="AC157" i="100"/>
  <c r="AF165" i="100"/>
  <c r="AC167" i="100"/>
  <c r="AF182" i="100"/>
  <c r="AN183" i="100"/>
  <c r="Y10" i="111"/>
  <c r="AG54" i="111"/>
  <c r="AC66" i="111"/>
  <c r="AL112" i="100"/>
  <c r="AK151" i="100"/>
  <c r="AI169" i="100"/>
  <c r="AC173" i="100"/>
  <c r="AK175" i="100"/>
  <c r="AH176" i="100"/>
  <c r="AF180" i="100"/>
  <c r="AI66" i="111"/>
  <c r="Y66" i="111"/>
  <c r="AK73" i="111"/>
  <c r="AG113" i="100"/>
  <c r="Z117" i="100"/>
  <c r="AF118" i="100"/>
  <c r="AI123" i="100"/>
  <c r="AK121" i="100"/>
  <c r="AF128" i="100"/>
  <c r="AE130" i="100"/>
  <c r="AK130" i="100"/>
  <c r="AD133" i="100"/>
  <c r="AA135" i="100"/>
  <c r="AL142" i="100"/>
  <c r="AF151" i="100"/>
  <c r="AN151" i="100"/>
  <c r="AB155" i="100"/>
  <c r="AJ155" i="100"/>
  <c r="Z154" i="100"/>
  <c r="AH154" i="100"/>
  <c r="Y155" i="100"/>
  <c r="AG155" i="100"/>
  <c r="AE157" i="100"/>
  <c r="AI164" i="100"/>
  <c r="AI165" i="100"/>
  <c r="AA169" i="100"/>
  <c r="Y170" i="100"/>
  <c r="AG170" i="100"/>
  <c r="Y179" i="100"/>
  <c r="AC181" i="100"/>
  <c r="AB181" i="100"/>
  <c r="AJ184" i="100"/>
  <c r="AI73" i="111"/>
  <c r="AA73" i="111"/>
  <c r="Z106" i="100"/>
  <c r="AM106" i="100"/>
  <c r="AB108" i="100"/>
  <c r="AB114" i="100"/>
  <c r="AA116" i="100"/>
  <c r="AE136" i="100"/>
  <c r="AM136" i="100"/>
  <c r="AD158" i="100"/>
  <c r="AL158" i="100"/>
  <c r="AE162" i="100"/>
  <c r="AM162" i="100"/>
  <c r="AB164" i="100"/>
  <c r="AB169" i="100"/>
  <c r="AJ169" i="100"/>
  <c r="AN177" i="100"/>
  <c r="Y187" i="100"/>
  <c r="W38" i="111"/>
  <c r="AE38" i="111"/>
  <c r="AF188" i="100"/>
  <c r="AN185" i="100"/>
  <c r="AN208" i="100"/>
  <c r="AD209" i="100"/>
  <c r="AE21" i="111"/>
  <c r="X40" i="111"/>
  <c r="X47" i="111"/>
  <c r="AF47" i="111"/>
  <c r="X50" i="111"/>
  <c r="W51" i="111"/>
  <c r="AE51" i="111"/>
  <c r="X54" i="111"/>
  <c r="AF54" i="111"/>
  <c r="AC55" i="111"/>
  <c r="X72" i="111"/>
  <c r="W73" i="111"/>
  <c r="AE73" i="111"/>
  <c r="Z192" i="100"/>
  <c r="Y198" i="100"/>
  <c r="AG198" i="100"/>
  <c r="AC201" i="100"/>
  <c r="AK201" i="100"/>
  <c r="Z203" i="100"/>
  <c r="AH203" i="100"/>
  <c r="AE205" i="100"/>
  <c r="AM207" i="100"/>
  <c r="AE212" i="100"/>
  <c r="AM211" i="100"/>
  <c r="X10" i="111"/>
  <c r="AF10" i="111"/>
  <c r="AJ11" i="111"/>
  <c r="X27" i="111"/>
  <c r="AF27" i="111"/>
  <c r="AA35" i="111"/>
  <c r="Y47" i="111"/>
  <c r="AG47" i="111"/>
  <c r="X51" i="111"/>
  <c r="AF51" i="111"/>
  <c r="AB55" i="111"/>
  <c r="X66" i="111"/>
  <c r="AF66" i="111"/>
  <c r="AE188" i="100"/>
  <c r="AM188" i="100"/>
  <c r="Z193" i="100"/>
  <c r="W31" i="111"/>
  <c r="AE31" i="111"/>
  <c r="Y35" i="111"/>
  <c r="Z38" i="111"/>
  <c r="AG55" i="111"/>
  <c r="AC56" i="111"/>
  <c r="AK56" i="111"/>
  <c r="AI58" i="111"/>
  <c r="Z69" i="111"/>
  <c r="AH69" i="111"/>
  <c r="Y73" i="111"/>
  <c r="Z186" i="100"/>
  <c r="AH186" i="100"/>
  <c r="Z194" i="100"/>
  <c r="AE203" i="100"/>
  <c r="AM201" i="100"/>
  <c r="AG205" i="100"/>
  <c r="AG209" i="100"/>
  <c r="X7" i="111"/>
  <c r="Z10" i="111"/>
  <c r="AH10" i="111"/>
  <c r="Z27" i="111"/>
  <c r="AH27" i="111"/>
  <c r="Z36" i="111"/>
  <c r="AI40" i="111"/>
  <c r="AA47" i="111"/>
  <c r="AI47" i="111"/>
  <c r="Z51" i="111"/>
  <c r="AH51" i="111"/>
  <c r="AI54" i="111"/>
  <c r="AF55" i="111"/>
  <c r="Y57" i="111"/>
  <c r="AG57" i="111"/>
  <c r="X65" i="111"/>
  <c r="AF65" i="111"/>
  <c r="Z66" i="111"/>
  <c r="AA69" i="111"/>
  <c r="Z73" i="111"/>
  <c r="AH73" i="111"/>
  <c r="Z75" i="111"/>
  <c r="AH75" i="111"/>
  <c r="AC178" i="100"/>
  <c r="AK178" i="100"/>
  <c r="AB179" i="100"/>
  <c r="AJ178" i="100"/>
  <c r="AB185" i="100"/>
  <c r="Z187" i="100"/>
  <c r="I191" i="100"/>
  <c r="AD191" i="100" s="1"/>
  <c r="H194" i="100"/>
  <c r="AC193" i="100" s="1"/>
  <c r="AJ200" i="100"/>
  <c r="AC207" i="100"/>
  <c r="AK14" i="111"/>
  <c r="AC15" i="111"/>
  <c r="AK15" i="111"/>
  <c r="X16" i="111"/>
  <c r="AF16" i="111"/>
  <c r="AA18" i="111"/>
  <c r="AI27" i="111"/>
  <c r="W29" i="111"/>
  <c r="AE29" i="111"/>
  <c r="AC30" i="111"/>
  <c r="AK30" i="111"/>
  <c r="AB38" i="111"/>
  <c r="AJ38" i="111"/>
  <c r="AB40" i="111"/>
  <c r="AJ40" i="111"/>
  <c r="W46" i="111"/>
  <c r="AE46" i="111"/>
  <c r="AB47" i="111"/>
  <c r="AJ47" i="111"/>
  <c r="AE48" i="111"/>
  <c r="AB50" i="111"/>
  <c r="AJ50" i="111"/>
  <c r="W53" i="111"/>
  <c r="AE53" i="111"/>
  <c r="AB54" i="111"/>
  <c r="AJ54" i="111"/>
  <c r="W56" i="111"/>
  <c r="AE56" i="111"/>
  <c r="Z57" i="111"/>
  <c r="AH57" i="111"/>
  <c r="Y65" i="111"/>
  <c r="AG65" i="111"/>
  <c r="AA75" i="111"/>
  <c r="AI75" i="111"/>
  <c r="X77" i="111"/>
  <c r="AF161" i="100"/>
  <c r="AN161" i="100"/>
  <c r="AK163" i="100"/>
  <c r="AE166" i="100"/>
  <c r="Z169" i="100"/>
  <c r="AH169" i="100"/>
  <c r="AE170" i="100"/>
  <c r="AA174" i="100"/>
  <c r="AI174" i="100"/>
  <c r="AE177" i="100"/>
  <c r="AM177" i="100"/>
  <c r="AA182" i="100"/>
  <c r="AI182" i="100"/>
  <c r="AA187" i="100"/>
  <c r="R191" i="100"/>
  <c r="AM191" i="100" s="1"/>
  <c r="AG203" i="100"/>
  <c r="AM205" i="100"/>
  <c r="Z7" i="111"/>
  <c r="AH7" i="111"/>
  <c r="AF9" i="111"/>
  <c r="AB10" i="111"/>
  <c r="AJ10" i="111"/>
  <c r="Y12" i="111"/>
  <c r="AG12" i="111"/>
  <c r="Y26" i="111"/>
  <c r="AG26" i="111"/>
  <c r="AB27" i="111"/>
  <c r="AJ27" i="111"/>
  <c r="Y28" i="111"/>
  <c r="AG28" i="111"/>
  <c r="Y32" i="111"/>
  <c r="AG32" i="111"/>
  <c r="AA34" i="111"/>
  <c r="AI34" i="111"/>
  <c r="Z35" i="111"/>
  <c r="AH35" i="111"/>
  <c r="X46" i="111"/>
  <c r="AF46" i="111"/>
  <c r="X48" i="111"/>
  <c r="AF48" i="111"/>
  <c r="X49" i="111"/>
  <c r="AC54" i="111"/>
  <c r="AK54" i="111"/>
  <c r="X56" i="111"/>
  <c r="AF56" i="111"/>
  <c r="AA57" i="111"/>
  <c r="AI57" i="111"/>
  <c r="Y60" i="111"/>
  <c r="AG60" i="111"/>
  <c r="AH65" i="111"/>
  <c r="AI68" i="111"/>
  <c r="AB73" i="111"/>
  <c r="AJ73" i="111"/>
  <c r="AH74" i="111"/>
  <c r="Y77" i="111"/>
  <c r="AG77" i="111"/>
  <c r="AL29" i="100"/>
  <c r="AL27" i="100"/>
  <c r="AG108" i="101"/>
  <c r="AD116" i="101"/>
  <c r="K92" i="101"/>
  <c r="Z19" i="100"/>
  <c r="AH19" i="100"/>
  <c r="AE36" i="100"/>
  <c r="AE38" i="100"/>
  <c r="AM36" i="100"/>
  <c r="AM38" i="100"/>
  <c r="AC36" i="100"/>
  <c r="AK36" i="100"/>
  <c r="AL45" i="100"/>
  <c r="AL43" i="100"/>
  <c r="AB123" i="98"/>
  <c r="AD55" i="100"/>
  <c r="AD57" i="100"/>
  <c r="AD58" i="100"/>
  <c r="AD115" i="101"/>
  <c r="N90" i="98"/>
  <c r="Q90" i="98"/>
  <c r="AI107" i="101"/>
  <c r="I89" i="101"/>
  <c r="AA101" i="101"/>
  <c r="AA102" i="101"/>
  <c r="AA103" i="101"/>
  <c r="AA121" i="98"/>
  <c r="AK121" i="98"/>
  <c r="AD26" i="100"/>
  <c r="AD23" i="100"/>
  <c r="AA42" i="100"/>
  <c r="AI42" i="100"/>
  <c r="AD43" i="100"/>
  <c r="Z59" i="100"/>
  <c r="AH59" i="100"/>
  <c r="AI101" i="101"/>
  <c r="AI102" i="101"/>
  <c r="AC39" i="100"/>
  <c r="AC40" i="100"/>
  <c r="M90" i="101"/>
  <c r="Z103" i="101"/>
  <c r="Z123" i="101"/>
  <c r="N90" i="101"/>
  <c r="E90" i="101"/>
  <c r="M92" i="101"/>
  <c r="V122" i="98"/>
  <c r="AG16" i="100"/>
  <c r="Y20" i="100"/>
  <c r="AC23" i="100"/>
  <c r="AC24" i="100"/>
  <c r="AN40" i="100"/>
  <c r="AN41" i="100"/>
  <c r="AF61" i="100"/>
  <c r="AN61" i="100"/>
  <c r="K90" i="101"/>
  <c r="I92" i="101"/>
  <c r="X103" i="101"/>
  <c r="AG110" i="101"/>
  <c r="C90" i="101"/>
  <c r="C92" i="101"/>
  <c r="D92" i="101"/>
  <c r="AF101" i="101"/>
  <c r="AF102" i="101"/>
  <c r="AF103" i="101"/>
  <c r="AJ120" i="98"/>
  <c r="Y12" i="100"/>
  <c r="AN13" i="100"/>
  <c r="AD14" i="100"/>
  <c r="AL14" i="100"/>
  <c r="Y17" i="100"/>
  <c r="AG17" i="100"/>
  <c r="AF25" i="100"/>
  <c r="Y31" i="100"/>
  <c r="Y32" i="100"/>
  <c r="Z35" i="100"/>
  <c r="AH35" i="100"/>
  <c r="Y44" i="100"/>
  <c r="E92" i="101"/>
  <c r="P92" i="101"/>
  <c r="AH101" i="101"/>
  <c r="AH102" i="101"/>
  <c r="AH103" i="101"/>
  <c r="AA108" i="101"/>
  <c r="AA109" i="101"/>
  <c r="AA110" i="101"/>
  <c r="W115" i="101"/>
  <c r="W116" i="101"/>
  <c r="W117" i="101"/>
  <c r="AE121" i="101"/>
  <c r="Z122" i="101"/>
  <c r="AE123" i="101"/>
  <c r="AC124" i="101"/>
  <c r="C92" i="98"/>
  <c r="Y122" i="98"/>
  <c r="AJ122" i="98"/>
  <c r="AC11" i="100"/>
  <c r="AC12" i="100"/>
  <c r="AL15" i="100"/>
  <c r="AB16" i="100"/>
  <c r="AJ16" i="100"/>
  <c r="AK24" i="100"/>
  <c r="AB29" i="100"/>
  <c r="AJ29" i="100"/>
  <c r="Z31" i="100"/>
  <c r="AH31" i="100"/>
  <c r="AA50" i="100"/>
  <c r="AI50" i="100"/>
  <c r="AE20" i="100"/>
  <c r="AE22" i="100"/>
  <c r="AK101" i="101"/>
  <c r="AK102" i="101"/>
  <c r="AK103" i="101"/>
  <c r="AF108" i="101"/>
  <c r="AF109" i="101"/>
  <c r="AF110" i="101"/>
  <c r="AB115" i="101"/>
  <c r="AB116" i="101"/>
  <c r="AB117" i="101"/>
  <c r="W123" i="101"/>
  <c r="AH123" i="101"/>
  <c r="AH124" i="101"/>
  <c r="R90" i="98"/>
  <c r="AA13" i="100"/>
  <c r="AI13" i="100"/>
  <c r="AB17" i="100"/>
  <c r="AJ17" i="100"/>
  <c r="AA18" i="100"/>
  <c r="AD27" i="100"/>
  <c r="AB33" i="100"/>
  <c r="AF41" i="100"/>
  <c r="AG47" i="100"/>
  <c r="AG48" i="100"/>
  <c r="AB51" i="100"/>
  <c r="AM20" i="100"/>
  <c r="AM22" i="100"/>
  <c r="AL57" i="100"/>
  <c r="AL58" i="100"/>
  <c r="AL55" i="100"/>
  <c r="AG109" i="101"/>
  <c r="AD117" i="101"/>
  <c r="AJ123" i="101"/>
  <c r="H90" i="98"/>
  <c r="Y15" i="100"/>
  <c r="Y16" i="100"/>
  <c r="AG19" i="100"/>
  <c r="AG20" i="100"/>
  <c r="AN24" i="100"/>
  <c r="AN25" i="100"/>
  <c r="AK40" i="100"/>
  <c r="AE21" i="100"/>
  <c r="AM21" i="100"/>
  <c r="Z22" i="100"/>
  <c r="AH22" i="100"/>
  <c r="AC26" i="100"/>
  <c r="AK26" i="100"/>
  <c r="AF23" i="100"/>
  <c r="AN23" i="100"/>
  <c r="AA29" i="100"/>
  <c r="AI29" i="100"/>
  <c r="AF29" i="100"/>
  <c r="AD30" i="100"/>
  <c r="AL30" i="100"/>
  <c r="Y33" i="100"/>
  <c r="AG33" i="100"/>
  <c r="AB34" i="100"/>
  <c r="AJ34" i="100"/>
  <c r="AG36" i="100"/>
  <c r="AE37" i="100"/>
  <c r="AM37" i="100"/>
  <c r="Z38" i="100"/>
  <c r="AH38" i="100"/>
  <c r="AC42" i="100"/>
  <c r="AK42" i="100"/>
  <c r="AF39" i="100"/>
  <c r="AN39" i="100"/>
  <c r="AA45" i="100"/>
  <c r="AI45" i="100"/>
  <c r="AF45" i="100"/>
  <c r="AD46" i="100"/>
  <c r="AL46" i="100"/>
  <c r="AA48" i="100"/>
  <c r="AI48" i="100"/>
  <c r="AF56" i="100"/>
  <c r="AB60" i="100"/>
  <c r="AJ60" i="100"/>
  <c r="AB89" i="100"/>
  <c r="AF89" i="100"/>
  <c r="AJ89" i="100"/>
  <c r="AN89" i="100"/>
  <c r="AB92" i="100"/>
  <c r="AJ92" i="100"/>
  <c r="AA98" i="100"/>
  <c r="AI98" i="100"/>
  <c r="AF115" i="100"/>
  <c r="AF113" i="100"/>
  <c r="V108" i="101"/>
  <c r="AG116" i="101"/>
  <c r="AG117" i="101"/>
  <c r="AB123" i="101"/>
  <c r="W124" i="101"/>
  <c r="M90" i="98"/>
  <c r="AA122" i="98"/>
  <c r="AK122" i="98"/>
  <c r="AJ123" i="98"/>
  <c r="AD49" i="100"/>
  <c r="AL49" i="100"/>
  <c r="Y49" i="100"/>
  <c r="AG49" i="100"/>
  <c r="AB50" i="100"/>
  <c r="AJ50" i="100"/>
  <c r="Y51" i="100"/>
  <c r="AG51" i="100"/>
  <c r="AE53" i="100"/>
  <c r="AM53" i="100"/>
  <c r="AB54" i="100"/>
  <c r="AJ54" i="100"/>
  <c r="AB59" i="100"/>
  <c r="AE62" i="100"/>
  <c r="AI66" i="100"/>
  <c r="AF98" i="100"/>
  <c r="AN98" i="100"/>
  <c r="AB83" i="100"/>
  <c r="AF83" i="100"/>
  <c r="AJ83" i="100"/>
  <c r="AN83" i="100"/>
  <c r="AA84" i="100"/>
  <c r="AE84" i="100"/>
  <c r="AI84" i="100"/>
  <c r="AM84" i="100"/>
  <c r="AA86" i="100"/>
  <c r="AI86" i="100"/>
  <c r="AA99" i="100"/>
  <c r="AI99" i="100"/>
  <c r="AF105" i="100"/>
  <c r="AL105" i="100"/>
  <c r="AL104" i="100"/>
  <c r="AF112" i="100"/>
  <c r="AH113" i="100"/>
  <c r="AH112" i="100"/>
  <c r="AB115" i="100"/>
  <c r="V109" i="101"/>
  <c r="V110" i="101"/>
  <c r="AG115" i="101"/>
  <c r="O92" i="101"/>
  <c r="L89" i="101"/>
  <c r="F90" i="101"/>
  <c r="P90" i="101"/>
  <c r="N92" i="101"/>
  <c r="AC101" i="101"/>
  <c r="AC102" i="101"/>
  <c r="AC103" i="101"/>
  <c r="X108" i="101"/>
  <c r="X109" i="101"/>
  <c r="X110" i="101"/>
  <c r="AJ115" i="101"/>
  <c r="AJ116" i="101"/>
  <c r="AJ117" i="101"/>
  <c r="AC121" i="101"/>
  <c r="W122" i="101"/>
  <c r="AH122" i="101"/>
  <c r="AC123" i="101"/>
  <c r="C90" i="98"/>
  <c r="D93" i="98"/>
  <c r="AA123" i="98"/>
  <c r="AK123" i="98"/>
  <c r="AE12" i="100"/>
  <c r="AM12" i="100"/>
  <c r="Z13" i="100"/>
  <c r="AH13" i="100"/>
  <c r="AC13" i="100"/>
  <c r="AK13" i="100"/>
  <c r="AF14" i="100"/>
  <c r="AN14" i="100"/>
  <c r="AC15" i="100"/>
  <c r="AK15" i="100"/>
  <c r="AF16" i="100"/>
  <c r="AN16" i="100"/>
  <c r="AA17" i="100"/>
  <c r="AI17" i="100"/>
  <c r="AD18" i="100"/>
  <c r="AL18" i="100"/>
  <c r="AA20" i="100"/>
  <c r="AI20" i="100"/>
  <c r="AD21" i="100"/>
  <c r="AL21" i="100"/>
  <c r="Y22" i="100"/>
  <c r="AG22" i="100"/>
  <c r="AB19" i="100"/>
  <c r="AJ19" i="100"/>
  <c r="Y23" i="100"/>
  <c r="AG23" i="100"/>
  <c r="AB24" i="100"/>
  <c r="AJ24" i="100"/>
  <c r="AE25" i="100"/>
  <c r="AM25" i="100"/>
  <c r="Z26" i="100"/>
  <c r="AH26" i="100"/>
  <c r="AE28" i="100"/>
  <c r="AM28" i="100"/>
  <c r="Z29" i="100"/>
  <c r="AH29" i="100"/>
  <c r="AC29" i="100"/>
  <c r="AK29" i="100"/>
  <c r="AF30" i="100"/>
  <c r="AN30" i="100"/>
  <c r="AC31" i="100"/>
  <c r="AK31" i="100"/>
  <c r="AF32" i="100"/>
  <c r="AN32" i="100"/>
  <c r="AA33" i="100"/>
  <c r="AI33" i="100"/>
  <c r="AD34" i="100"/>
  <c r="AL34" i="100"/>
  <c r="AA36" i="100"/>
  <c r="AI36" i="100"/>
  <c r="AD37" i="100"/>
  <c r="AL37" i="100"/>
  <c r="Y38" i="100"/>
  <c r="AG38" i="100"/>
  <c r="AB35" i="100"/>
  <c r="AJ35" i="100"/>
  <c r="Y39" i="100"/>
  <c r="AG39" i="100"/>
  <c r="AB40" i="100"/>
  <c r="AJ40" i="100"/>
  <c r="AE41" i="100"/>
  <c r="AM41" i="100"/>
  <c r="Z42" i="100"/>
  <c r="AH42" i="100"/>
  <c r="AE44" i="100"/>
  <c r="AM44" i="100"/>
  <c r="Z45" i="100"/>
  <c r="AH45" i="100"/>
  <c r="AC45" i="100"/>
  <c r="AK45" i="100"/>
  <c r="AF46" i="100"/>
  <c r="AN46" i="100"/>
  <c r="AC47" i="100"/>
  <c r="AK47" i="100"/>
  <c r="AF55" i="100"/>
  <c r="AN56" i="100"/>
  <c r="AD61" i="100"/>
  <c r="AL61" i="100"/>
  <c r="AA61" i="100"/>
  <c r="AI61" i="100"/>
  <c r="AF62" i="100"/>
  <c r="AN62" i="100"/>
  <c r="AA66" i="100"/>
  <c r="AE99" i="100"/>
  <c r="AM99" i="100"/>
  <c r="Z98" i="100"/>
  <c r="AH98" i="100"/>
  <c r="AG82" i="100"/>
  <c r="AC85" i="100"/>
  <c r="AK85" i="100"/>
  <c r="AA87" i="100"/>
  <c r="AI87" i="100"/>
  <c r="Z88" i="100"/>
  <c r="AH88" i="100"/>
  <c r="AC98" i="100"/>
  <c r="AK98" i="100"/>
  <c r="AD103" i="100"/>
  <c r="AK103" i="100"/>
  <c r="Z104" i="100"/>
  <c r="AM105" i="100"/>
  <c r="AA106" i="100"/>
  <c r="AG117" i="100"/>
  <c r="Y108" i="101"/>
  <c r="Y109" i="101"/>
  <c r="Y110" i="101"/>
  <c r="V115" i="101"/>
  <c r="V116" i="101"/>
  <c r="V117" i="101"/>
  <c r="AJ122" i="101"/>
  <c r="AB124" i="101"/>
  <c r="O90" i="98"/>
  <c r="AF48" i="100"/>
  <c r="AN48" i="100"/>
  <c r="AA49" i="100"/>
  <c r="AI49" i="100"/>
  <c r="AD50" i="100"/>
  <c r="AL50" i="100"/>
  <c r="AA52" i="100"/>
  <c r="AI52" i="100"/>
  <c r="AB52" i="100"/>
  <c r="AJ52" i="100"/>
  <c r="Y54" i="100"/>
  <c r="AG54" i="100"/>
  <c r="AD54" i="100"/>
  <c r="AL54" i="100"/>
  <c r="AE57" i="100"/>
  <c r="AC59" i="100"/>
  <c r="AK59" i="100"/>
  <c r="AN67" i="100"/>
  <c r="AA92" i="100"/>
  <c r="AI92" i="100"/>
  <c r="Z82" i="100"/>
  <c r="AH82" i="100"/>
  <c r="Y83" i="100"/>
  <c r="AC83" i="100"/>
  <c r="AG83" i="100"/>
  <c r="AK83" i="100"/>
  <c r="AB84" i="100"/>
  <c r="AF84" i="100"/>
  <c r="AJ84" i="100"/>
  <c r="AN84" i="100"/>
  <c r="AE97" i="100"/>
  <c r="AM97" i="100"/>
  <c r="AC99" i="100"/>
  <c r="AK99" i="100"/>
  <c r="AB100" i="100"/>
  <c r="AJ100" i="100"/>
  <c r="AG102" i="100"/>
  <c r="AH106" i="100"/>
  <c r="AD108" i="100"/>
  <c r="Y109" i="100"/>
  <c r="Y112" i="100"/>
  <c r="F90" i="98"/>
  <c r="P90" i="98"/>
  <c r="V120" i="98"/>
  <c r="AG120" i="98"/>
  <c r="Y11" i="100"/>
  <c r="AG11" i="100"/>
  <c r="AB12" i="100"/>
  <c r="AJ12" i="100"/>
  <c r="AG12" i="100"/>
  <c r="AE14" i="100"/>
  <c r="AE16" i="100"/>
  <c r="AM16" i="100"/>
  <c r="Z17" i="100"/>
  <c r="AH17" i="100"/>
  <c r="AC19" i="100"/>
  <c r="AK19" i="100"/>
  <c r="AF20" i="100"/>
  <c r="AN20" i="100"/>
  <c r="AF21" i="100"/>
  <c r="AA24" i="100"/>
  <c r="AI24" i="100"/>
  <c r="AD25" i="100"/>
  <c r="AL25" i="100"/>
  <c r="Y27" i="100"/>
  <c r="AG27" i="100"/>
  <c r="AB28" i="100"/>
  <c r="AJ28" i="100"/>
  <c r="AE29" i="100"/>
  <c r="AM29" i="100"/>
  <c r="Z30" i="100"/>
  <c r="AH30" i="100"/>
  <c r="AE32" i="100"/>
  <c r="AM32" i="100"/>
  <c r="Z33" i="100"/>
  <c r="AH33" i="100"/>
  <c r="AC34" i="100"/>
  <c r="AK34" i="100"/>
  <c r="AF31" i="100"/>
  <c r="AN31" i="100"/>
  <c r="AC35" i="100"/>
  <c r="AK35" i="100"/>
  <c r="AF36" i="100"/>
  <c r="AN36" i="100"/>
  <c r="AA37" i="100"/>
  <c r="AI37" i="100"/>
  <c r="AD38" i="100"/>
  <c r="AL38" i="100"/>
  <c r="AA40" i="100"/>
  <c r="AI40" i="100"/>
  <c r="AD41" i="100"/>
  <c r="AL41" i="100"/>
  <c r="Y41" i="100"/>
  <c r="AG41" i="100"/>
  <c r="AB42" i="100"/>
  <c r="AJ42" i="100"/>
  <c r="Y43" i="100"/>
  <c r="AG43" i="100"/>
  <c r="AB44" i="100"/>
  <c r="AJ44" i="100"/>
  <c r="AE45" i="100"/>
  <c r="AM45" i="100"/>
  <c r="Z46" i="100"/>
  <c r="AH46" i="100"/>
  <c r="AG57" i="100"/>
  <c r="AL59" i="100"/>
  <c r="AJ59" i="100"/>
  <c r="AM62" i="100"/>
  <c r="Z65" i="100"/>
  <c r="AC68" i="100"/>
  <c r="AF90" i="100"/>
  <c r="AN90" i="100"/>
  <c r="AB97" i="100"/>
  <c r="AJ97" i="100"/>
  <c r="AC87" i="100"/>
  <c r="AK87" i="100"/>
  <c r="AB88" i="100"/>
  <c r="AJ88" i="100"/>
  <c r="Z90" i="100"/>
  <c r="AH90" i="100"/>
  <c r="AF92" i="100"/>
  <c r="AN92" i="100"/>
  <c r="AE98" i="100"/>
  <c r="AM98" i="100"/>
  <c r="AC100" i="100"/>
  <c r="AK111" i="100"/>
  <c r="AF110" i="100"/>
  <c r="AI103" i="101"/>
  <c r="AD108" i="101"/>
  <c r="AD109" i="101"/>
  <c r="AD110" i="101"/>
  <c r="Y115" i="101"/>
  <c r="Y116" i="101"/>
  <c r="Y117" i="101"/>
  <c r="AB122" i="101"/>
  <c r="AE124" i="101"/>
  <c r="V121" i="98"/>
  <c r="Z49" i="100"/>
  <c r="AH49" i="100"/>
  <c r="AC50" i="100"/>
  <c r="AK50" i="100"/>
  <c r="AF47" i="100"/>
  <c r="AN50" i="100"/>
  <c r="AH51" i="100"/>
  <c r="AD53" i="100"/>
  <c r="AL53" i="100"/>
  <c r="AA53" i="100"/>
  <c r="AI53" i="100"/>
  <c r="AF54" i="100"/>
  <c r="AN54" i="100"/>
  <c r="AN55" i="100"/>
  <c r="AM57" i="100"/>
  <c r="AE60" i="100"/>
  <c r="Y63" i="100"/>
  <c r="AG63" i="100"/>
  <c r="Y65" i="100"/>
  <c r="AJ69" i="100"/>
  <c r="AB82" i="100"/>
  <c r="AJ82" i="100"/>
  <c r="Z83" i="100"/>
  <c r="AD83" i="100"/>
  <c r="AH83" i="100"/>
  <c r="AL83" i="100"/>
  <c r="Y84" i="100"/>
  <c r="AC84" i="100"/>
  <c r="AG84" i="100"/>
  <c r="AK84" i="100"/>
  <c r="AE86" i="100"/>
  <c r="AM86" i="100"/>
  <c r="Y103" i="100"/>
  <c r="AG103" i="100"/>
  <c r="AN109" i="100"/>
  <c r="AJ115" i="100"/>
  <c r="AB65" i="100"/>
  <c r="Y99" i="100"/>
  <c r="Y80" i="100"/>
  <c r="AC97" i="100"/>
  <c r="AG99" i="100"/>
  <c r="AG80" i="100"/>
  <c r="AK97" i="100"/>
  <c r="AD92" i="100"/>
  <c r="AL92" i="100"/>
  <c r="Y85" i="100"/>
  <c r="AG85" i="100"/>
  <c r="AE87" i="100"/>
  <c r="AM87" i="100"/>
  <c r="AD88" i="100"/>
  <c r="AL88" i="100"/>
  <c r="AB90" i="100"/>
  <c r="AJ90" i="100"/>
  <c r="Z92" i="100"/>
  <c r="AH92" i="100"/>
  <c r="Z103" i="100"/>
  <c r="AN103" i="100"/>
  <c r="AJ106" i="100"/>
  <c r="AD106" i="100"/>
  <c r="AB111" i="100"/>
  <c r="AK114" i="100"/>
  <c r="AH11" i="100"/>
  <c r="AB48" i="100"/>
  <c r="AJ48" i="100"/>
  <c r="AE49" i="100"/>
  <c r="AM49" i="100"/>
  <c r="Z50" i="100"/>
  <c r="AH50" i="100"/>
  <c r="AE52" i="100"/>
  <c r="AM52" i="100"/>
  <c r="AF52" i="100"/>
  <c r="AN52" i="100"/>
  <c r="AC53" i="100"/>
  <c r="AK53" i="100"/>
  <c r="Z54" i="100"/>
  <c r="AH54" i="100"/>
  <c r="AE54" i="100"/>
  <c r="Y59" i="100"/>
  <c r="AG59" i="100"/>
  <c r="AG60" i="100"/>
  <c r="AD63" i="100"/>
  <c r="AC64" i="100"/>
  <c r="AA65" i="100"/>
  <c r="AI65" i="100"/>
  <c r="AF66" i="100"/>
  <c r="AN66" i="100"/>
  <c r="AF73" i="100"/>
  <c r="AN73" i="100"/>
  <c r="AC80" i="100"/>
  <c r="AE85" i="100"/>
  <c r="AM85" i="100"/>
  <c r="AD89" i="100"/>
  <c r="AL89" i="100"/>
  <c r="AA83" i="100"/>
  <c r="AI83" i="100"/>
  <c r="Z84" i="100"/>
  <c r="AH84" i="100"/>
  <c r="AA97" i="100"/>
  <c r="AI97" i="100"/>
  <c r="AA103" i="100"/>
  <c r="AD105" i="100"/>
  <c r="AD104" i="100"/>
  <c r="AE106" i="100"/>
  <c r="AG111" i="100"/>
  <c r="AN110" i="100"/>
  <c r="AA112" i="100"/>
  <c r="AF114" i="100"/>
  <c r="Y117" i="100"/>
  <c r="AG65" i="100"/>
  <c r="AD66" i="100"/>
  <c r="AL66" i="100"/>
  <c r="AA68" i="100"/>
  <c r="AI68" i="100"/>
  <c r="AB68" i="100"/>
  <c r="AJ68" i="100"/>
  <c r="Y69" i="100"/>
  <c r="AG69" i="100"/>
  <c r="AD70" i="100"/>
  <c r="AL70" i="100"/>
  <c r="AA72" i="100"/>
  <c r="AI72" i="100"/>
  <c r="AD73" i="100"/>
  <c r="AL73" i="100"/>
  <c r="Y73" i="100"/>
  <c r="AG73" i="100"/>
  <c r="AB71" i="100"/>
  <c r="AJ71" i="100"/>
  <c r="AG105" i="100"/>
  <c r="AD107" i="100"/>
  <c r="AL107" i="100"/>
  <c r="Y110" i="100"/>
  <c r="AA115" i="100"/>
  <c r="AM119" i="100"/>
  <c r="AB123" i="100"/>
  <c r="AA128" i="100"/>
  <c r="AE131" i="100"/>
  <c r="AA89" i="100"/>
  <c r="AE89" i="100"/>
  <c r="AI89" i="100"/>
  <c r="AM89" i="100"/>
  <c r="AA91" i="100"/>
  <c r="AI91" i="100"/>
  <c r="AB94" i="100"/>
  <c r="AF94" i="100"/>
  <c r="AJ94" i="100"/>
  <c r="AN94" i="100"/>
  <c r="AA95" i="100"/>
  <c r="AE95" i="100"/>
  <c r="AI95" i="100"/>
  <c r="AM95" i="100"/>
  <c r="Z96" i="100"/>
  <c r="AD96" i="100"/>
  <c r="AH96" i="100"/>
  <c r="AL96" i="100"/>
  <c r="AB101" i="100"/>
  <c r="AF100" i="100"/>
  <c r="AJ101" i="100"/>
  <c r="AN100" i="100"/>
  <c r="AA102" i="100"/>
  <c r="AI102" i="100"/>
  <c r="AB109" i="100"/>
  <c r="AF109" i="100"/>
  <c r="AJ109" i="100"/>
  <c r="Y111" i="100"/>
  <c r="AH111" i="100"/>
  <c r="AG112" i="100"/>
  <c r="AK112" i="100"/>
  <c r="AG114" i="100"/>
  <c r="AK115" i="100"/>
  <c r="AE117" i="100"/>
  <c r="AB120" i="100"/>
  <c r="AL120" i="100"/>
  <c r="AA122" i="100"/>
  <c r="AC121" i="100"/>
  <c r="AK129" i="100"/>
  <c r="Y130" i="100"/>
  <c r="AE133" i="100"/>
  <c r="AC67" i="100"/>
  <c r="AK67" i="100"/>
  <c r="AD69" i="100"/>
  <c r="AL69" i="100"/>
  <c r="AA69" i="100"/>
  <c r="AI69" i="100"/>
  <c r="AF70" i="100"/>
  <c r="AN70" i="100"/>
  <c r="AC71" i="100"/>
  <c r="AK71" i="100"/>
  <c r="AF72" i="100"/>
  <c r="AN72" i="100"/>
  <c r="AA73" i="100"/>
  <c r="AI73" i="100"/>
  <c r="AD74" i="100"/>
  <c r="AL74" i="100"/>
  <c r="AH103" i="100"/>
  <c r="AL103" i="100"/>
  <c r="Y104" i="100"/>
  <c r="AC107" i="100"/>
  <c r="AG104" i="100"/>
  <c r="AK107" i="100"/>
  <c r="Y106" i="100"/>
  <c r="AC106" i="100"/>
  <c r="AG106" i="100"/>
  <c r="AK106" i="100"/>
  <c r="AF107" i="100"/>
  <c r="AN107" i="100"/>
  <c r="AA108" i="100"/>
  <c r="AM110" i="100"/>
  <c r="AA113" i="100"/>
  <c r="AE114" i="100"/>
  <c r="AI113" i="100"/>
  <c r="AM114" i="100"/>
  <c r="AC114" i="100"/>
  <c r="AL114" i="100"/>
  <c r="AB117" i="100"/>
  <c r="AF119" i="100"/>
  <c r="AF116" i="100"/>
  <c r="AN117" i="100"/>
  <c r="AK117" i="100"/>
  <c r="AF117" i="100"/>
  <c r="AJ118" i="100"/>
  <c r="AI119" i="100"/>
  <c r="AA131" i="100"/>
  <c r="AC91" i="100"/>
  <c r="AK91" i="100"/>
  <c r="Z93" i="100"/>
  <c r="AD93" i="100"/>
  <c r="AH93" i="100"/>
  <c r="AL93" i="100"/>
  <c r="Y94" i="100"/>
  <c r="AC94" i="100"/>
  <c r="AG94" i="100"/>
  <c r="AK94" i="100"/>
  <c r="AB95" i="100"/>
  <c r="AF95" i="100"/>
  <c r="AJ95" i="100"/>
  <c r="AN95" i="100"/>
  <c r="AA96" i="100"/>
  <c r="AE96" i="100"/>
  <c r="AI96" i="100"/>
  <c r="AM96" i="100"/>
  <c r="Y102" i="100"/>
  <c r="AC101" i="100"/>
  <c r="AG101" i="100"/>
  <c r="AK101" i="100"/>
  <c r="AB102" i="100"/>
  <c r="AF102" i="100"/>
  <c r="AJ102" i="100"/>
  <c r="AN102" i="100"/>
  <c r="AB105" i="100"/>
  <c r="AJ105" i="100"/>
  <c r="AE111" i="100"/>
  <c r="Z112" i="100"/>
  <c r="Y114" i="100"/>
  <c r="AH114" i="100"/>
  <c r="AC115" i="100"/>
  <c r="AA117" i="100"/>
  <c r="AH118" i="100"/>
  <c r="AJ119" i="100"/>
  <c r="AM120" i="100"/>
  <c r="AJ121" i="100"/>
  <c r="AC122" i="100"/>
  <c r="AL122" i="100"/>
  <c r="AJ123" i="100"/>
  <c r="AC128" i="100"/>
  <c r="AA130" i="100"/>
  <c r="AG128" i="100"/>
  <c r="AM130" i="100"/>
  <c r="AM60" i="100"/>
  <c r="AF60" i="100"/>
  <c r="AN60" i="100"/>
  <c r="AC61" i="100"/>
  <c r="AK61" i="100"/>
  <c r="Z62" i="100"/>
  <c r="AH62" i="100"/>
  <c r="AE64" i="100"/>
  <c r="AM64" i="100"/>
  <c r="AF64" i="100"/>
  <c r="AN64" i="100"/>
  <c r="AC66" i="100"/>
  <c r="AK66" i="100"/>
  <c r="Z66" i="100"/>
  <c r="AH66" i="100"/>
  <c r="AE68" i="100"/>
  <c r="AM68" i="100"/>
  <c r="AF68" i="100"/>
  <c r="AN68" i="100"/>
  <c r="AC70" i="100"/>
  <c r="AK70" i="100"/>
  <c r="Z70" i="100"/>
  <c r="AH70" i="100"/>
  <c r="AE72" i="100"/>
  <c r="AM72" i="100"/>
  <c r="Z73" i="100"/>
  <c r="AH73" i="100"/>
  <c r="AC74" i="100"/>
  <c r="AK74" i="100"/>
  <c r="AF74" i="100"/>
  <c r="AN74" i="100"/>
  <c r="Z107" i="100"/>
  <c r="AH107" i="100"/>
  <c r="AD114" i="100"/>
  <c r="AL117" i="100"/>
  <c r="Y118" i="100"/>
  <c r="AD118" i="100"/>
  <c r="AE119" i="100"/>
  <c r="AD120" i="100"/>
  <c r="AN120" i="100"/>
  <c r="Y123" i="100"/>
  <c r="AI128" i="100"/>
  <c r="AI132" i="100"/>
  <c r="AA133" i="100"/>
  <c r="AE134" i="100"/>
  <c r="AI135" i="100"/>
  <c r="Y89" i="100"/>
  <c r="AC89" i="100"/>
  <c r="AG89" i="100"/>
  <c r="AK89" i="100"/>
  <c r="AE91" i="100"/>
  <c r="AM91" i="100"/>
  <c r="AA93" i="100"/>
  <c r="AI93" i="100"/>
  <c r="Z94" i="100"/>
  <c r="AD94" i="100"/>
  <c r="AH94" i="100"/>
  <c r="AL94" i="100"/>
  <c r="Z101" i="100"/>
  <c r="AD101" i="100"/>
  <c r="AH101" i="100"/>
  <c r="AL101" i="100"/>
  <c r="AC102" i="100"/>
  <c r="AK102" i="100"/>
  <c r="AH109" i="100"/>
  <c r="AB110" i="100"/>
  <c r="AI112" i="100"/>
  <c r="Z114" i="100"/>
  <c r="AN114" i="100"/>
  <c r="AM115" i="100"/>
  <c r="AM117" i="100"/>
  <c r="Z118" i="100"/>
  <c r="AB121" i="100"/>
  <c r="AK122" i="100"/>
  <c r="AI130" i="100"/>
  <c r="AM131" i="100"/>
  <c r="AM133" i="100"/>
  <c r="AA134" i="100"/>
  <c r="AH65" i="100"/>
  <c r="AE65" i="100"/>
  <c r="AM65" i="100"/>
  <c r="AB66" i="100"/>
  <c r="AJ66" i="100"/>
  <c r="Y67" i="100"/>
  <c r="AG67" i="100"/>
  <c r="Z69" i="100"/>
  <c r="AH69" i="100"/>
  <c r="AE69" i="100"/>
  <c r="AM69" i="100"/>
  <c r="AB70" i="100"/>
  <c r="AJ70" i="100"/>
  <c r="Y74" i="100"/>
  <c r="AG74" i="100"/>
  <c r="AB72" i="100"/>
  <c r="AJ72" i="100"/>
  <c r="AE73" i="100"/>
  <c r="AM73" i="100"/>
  <c r="Z74" i="100"/>
  <c r="AH74" i="100"/>
  <c r="AB107" i="100"/>
  <c r="AJ107" i="100"/>
  <c r="AN115" i="100"/>
  <c r="Z116" i="100"/>
  <c r="AD116" i="100"/>
  <c r="AH119" i="100"/>
  <c r="AL116" i="100"/>
  <c r="AC117" i="100"/>
  <c r="AH117" i="100"/>
  <c r="AA119" i="100"/>
  <c r="AG120" i="100"/>
  <c r="Y122" i="100"/>
  <c r="AK125" i="100"/>
  <c r="AK126" i="100"/>
  <c r="AE128" i="100"/>
  <c r="AJ128" i="100"/>
  <c r="AA132" i="100"/>
  <c r="Z89" i="100"/>
  <c r="AH89" i="100"/>
  <c r="Y91" i="100"/>
  <c r="AG91" i="100"/>
  <c r="AB93" i="100"/>
  <c r="AF93" i="100"/>
  <c r="AJ93" i="100"/>
  <c r="AN93" i="100"/>
  <c r="AA94" i="100"/>
  <c r="AI94" i="100"/>
  <c r="Z95" i="100"/>
  <c r="AD95" i="100"/>
  <c r="AH95" i="100"/>
  <c r="AL95" i="100"/>
  <c r="Y96" i="100"/>
  <c r="AC96" i="100"/>
  <c r="AG96" i="100"/>
  <c r="AK96" i="100"/>
  <c r="AA101" i="100"/>
  <c r="AE100" i="100"/>
  <c r="AI101" i="100"/>
  <c r="AM100" i="100"/>
  <c r="Z102" i="100"/>
  <c r="AD102" i="100"/>
  <c r="AH102" i="100"/>
  <c r="AL102" i="100"/>
  <c r="Z105" i="100"/>
  <c r="AH105" i="100"/>
  <c r="AA109" i="100"/>
  <c r="AB113" i="100"/>
  <c r="AJ112" i="100"/>
  <c r="AE115" i="100"/>
  <c r="AI117" i="100"/>
  <c r="AF120" i="100"/>
  <c r="Z122" i="100"/>
  <c r="AK128" i="100"/>
  <c r="Y129" i="100"/>
  <c r="AE129" i="100"/>
  <c r="AI133" i="100"/>
  <c r="AA138" i="100"/>
  <c r="AI138" i="100"/>
  <c r="AD122" i="100"/>
  <c r="AA123" i="100"/>
  <c r="AE121" i="100"/>
  <c r="AI120" i="100"/>
  <c r="AM123" i="100"/>
  <c r="Z129" i="100"/>
  <c r="AD129" i="100"/>
  <c r="AH129" i="100"/>
  <c r="AL129" i="100"/>
  <c r="AG133" i="100"/>
  <c r="AK133" i="100"/>
  <c r="AK135" i="100"/>
  <c r="AA139" i="100"/>
  <c r="AI139" i="100"/>
  <c r="AB136" i="100"/>
  <c r="AC138" i="100"/>
  <c r="AK138" i="100"/>
  <c r="AI129" i="100"/>
  <c r="AM129" i="100"/>
  <c r="AH133" i="100"/>
  <c r="AL133" i="100"/>
  <c r="AK134" i="100"/>
  <c r="AC135" i="100"/>
  <c r="AC139" i="100"/>
  <c r="AC136" i="100"/>
  <c r="AC143" i="100"/>
  <c r="Y131" i="100"/>
  <c r="AC131" i="100"/>
  <c r="AK131" i="100"/>
  <c r="AB132" i="100"/>
  <c r="AF132" i="100"/>
  <c r="AJ132" i="100"/>
  <c r="AN132" i="100"/>
  <c r="Y134" i="100"/>
  <c r="AC134" i="100"/>
  <c r="AG132" i="100"/>
  <c r="Y135" i="100"/>
  <c r="AM135" i="100"/>
  <c r="AE138" i="100"/>
  <c r="AM138" i="100"/>
  <c r="AC118" i="100"/>
  <c r="AG118" i="100"/>
  <c r="AG123" i="100"/>
  <c r="AK123" i="100"/>
  <c r="AK136" i="100"/>
  <c r="Z137" i="100"/>
  <c r="AD137" i="100"/>
  <c r="AH137" i="100"/>
  <c r="AL137" i="100"/>
  <c r="AM121" i="100"/>
  <c r="AF125" i="100"/>
  <c r="AE135" i="100"/>
  <c r="Y138" i="100"/>
  <c r="AG138" i="100"/>
  <c r="Y142" i="100"/>
  <c r="AE123" i="100"/>
  <c r="AM134" i="100"/>
  <c r="AF136" i="100"/>
  <c r="AA137" i="100"/>
  <c r="AE137" i="100"/>
  <c r="AI137" i="100"/>
  <c r="AM137" i="100"/>
  <c r="Z142" i="100"/>
  <c r="AF142" i="100"/>
  <c r="AC151" i="100"/>
  <c r="AC171" i="100"/>
  <c r="AC170" i="100"/>
  <c r="Z171" i="100"/>
  <c r="AH171" i="100"/>
  <c r="Y171" i="100"/>
  <c r="AE173" i="100"/>
  <c r="AD174" i="100"/>
  <c r="AK143" i="100"/>
  <c r="AA156" i="100"/>
  <c r="AI156" i="100"/>
  <c r="AJ156" i="100"/>
  <c r="AK159" i="100"/>
  <c r="AA160" i="100"/>
  <c r="AG163" i="100"/>
  <c r="AD167" i="100"/>
  <c r="AL167" i="100"/>
  <c r="AA168" i="100"/>
  <c r="AI168" i="100"/>
  <c r="AE174" i="100"/>
  <c r="AM174" i="100"/>
  <c r="Y178" i="100"/>
  <c r="AN142" i="100"/>
  <c r="AE152" i="100"/>
  <c r="AM152" i="100"/>
  <c r="AJ151" i="100"/>
  <c r="AG151" i="100"/>
  <c r="AB154" i="100"/>
  <c r="AJ154" i="100"/>
  <c r="Z161" i="100"/>
  <c r="AH161" i="100"/>
  <c r="AJ163" i="100"/>
  <c r="AD166" i="100"/>
  <c r="AM170" i="100"/>
  <c r="AM169" i="100"/>
  <c r="AB171" i="100"/>
  <c r="AH172" i="100"/>
  <c r="Y173" i="100"/>
  <c r="AG173" i="100"/>
  <c r="AK176" i="100"/>
  <c r="AH178" i="100"/>
  <c r="AE180" i="100"/>
  <c r="Z140" i="100"/>
  <c r="AH140" i="100"/>
  <c r="AL140" i="100"/>
  <c r="AD143" i="100"/>
  <c r="AL143" i="100"/>
  <c r="AM149" i="100"/>
  <c r="AF150" i="100"/>
  <c r="AN150" i="100"/>
  <c r="AF152" i="100"/>
  <c r="AF155" i="100"/>
  <c r="AN155" i="100"/>
  <c r="AD156" i="100"/>
  <c r="AC160" i="100"/>
  <c r="AK157" i="100"/>
  <c r="AC163" i="100"/>
  <c r="AL166" i="100"/>
  <c r="AF167" i="100"/>
  <c r="AN167" i="100"/>
  <c r="AG142" i="100"/>
  <c r="AM143" i="100"/>
  <c r="AD151" i="100"/>
  <c r="AL151" i="100"/>
  <c r="AN152" i="100"/>
  <c r="AL156" i="100"/>
  <c r="AD163" i="100"/>
  <c r="AL163" i="100"/>
  <c r="Z164" i="100"/>
  <c r="AH164" i="100"/>
  <c r="AD171" i="100"/>
  <c r="AL171" i="100"/>
  <c r="AB172" i="100"/>
  <c r="AJ172" i="100"/>
  <c r="AI173" i="100"/>
  <c r="AM142" i="100"/>
  <c r="AC149" i="100"/>
  <c r="AK149" i="100"/>
  <c r="AD150" i="100"/>
  <c r="AE151" i="100"/>
  <c r="AM151" i="100"/>
  <c r="Y153" i="100"/>
  <c r="AD157" i="100"/>
  <c r="Y159" i="100"/>
  <c r="Z162" i="100"/>
  <c r="AH162" i="100"/>
  <c r="AJ164" i="100"/>
  <c r="AN165" i="100"/>
  <c r="AN168" i="100"/>
  <c r="Z167" i="100"/>
  <c r="AH167" i="100"/>
  <c r="AE168" i="100"/>
  <c r="Z170" i="100"/>
  <c r="AH170" i="100"/>
  <c r="AL141" i="100"/>
  <c r="AA150" i="100"/>
  <c r="AI150" i="100"/>
  <c r="AL150" i="100"/>
  <c r="AC152" i="100"/>
  <c r="AK152" i="100"/>
  <c r="Z153" i="100"/>
  <c r="AH153" i="100"/>
  <c r="AF154" i="100"/>
  <c r="AN154" i="100"/>
  <c r="Y156" i="100"/>
  <c r="AG153" i="100"/>
  <c r="AC159" i="100"/>
  <c r="AF163" i="100"/>
  <c r="AN163" i="100"/>
  <c r="AK167" i="100"/>
  <c r="AL172" i="100"/>
  <c r="Z143" i="100"/>
  <c r="AH143" i="100"/>
  <c r="AD152" i="100"/>
  <c r="AL152" i="100"/>
  <c r="AA153" i="100"/>
  <c r="Y154" i="100"/>
  <c r="AG154" i="100"/>
  <c r="Z156" i="100"/>
  <c r="AH156" i="100"/>
  <c r="AF160" i="100"/>
  <c r="AG159" i="100"/>
  <c r="AE161" i="100"/>
  <c r="AM161" i="100"/>
  <c r="AA165" i="100"/>
  <c r="AM166" i="100"/>
  <c r="AE169" i="100"/>
  <c r="AA175" i="100"/>
  <c r="AI175" i="100"/>
  <c r="AE154" i="100"/>
  <c r="AM154" i="100"/>
  <c r="Z155" i="100"/>
  <c r="AH155" i="100"/>
  <c r="AE156" i="100"/>
  <c r="AM156" i="100"/>
  <c r="AE160" i="100"/>
  <c r="AM160" i="100"/>
  <c r="AC161" i="100"/>
  <c r="AK161" i="100"/>
  <c r="AF162" i="100"/>
  <c r="AN162" i="100"/>
  <c r="AA163" i="100"/>
  <c r="AI163" i="100"/>
  <c r="AC164" i="100"/>
  <c r="AK164" i="100"/>
  <c r="Y165" i="100"/>
  <c r="AG165" i="100"/>
  <c r="AB166" i="100"/>
  <c r="AJ166" i="100"/>
  <c r="AE167" i="100"/>
  <c r="AM167" i="100"/>
  <c r="AE171" i="100"/>
  <c r="AM171" i="100"/>
  <c r="AA172" i="100"/>
  <c r="AI172" i="100"/>
  <c r="Z173" i="100"/>
  <c r="AH173" i="100"/>
  <c r="AF174" i="100"/>
  <c r="AN174" i="100"/>
  <c r="AA176" i="100"/>
  <c r="AI176" i="100"/>
  <c r="AA177" i="100"/>
  <c r="AI179" i="100"/>
  <c r="AA179" i="100"/>
  <c r="AD181" i="100"/>
  <c r="AL181" i="100"/>
  <c r="AE182" i="100"/>
  <c r="AM181" i="100"/>
  <c r="AD184" i="100"/>
  <c r="AC185" i="100"/>
  <c r="AK186" i="100"/>
  <c r="AA186" i="100"/>
  <c r="AI185" i="100"/>
  <c r="AE187" i="100"/>
  <c r="Z189" i="100"/>
  <c r="Y189" i="100"/>
  <c r="Y196" i="100"/>
  <c r="AF197" i="100"/>
  <c r="AN198" i="100"/>
  <c r="Y199" i="100"/>
  <c r="AG199" i="100"/>
  <c r="AF200" i="100"/>
  <c r="AN200" i="100"/>
  <c r="AD201" i="100"/>
  <c r="AL201" i="100"/>
  <c r="AJ205" i="100"/>
  <c r="Y206" i="100"/>
  <c r="AG206" i="100"/>
  <c r="AH11" i="111"/>
  <c r="Y180" i="100"/>
  <c r="AE184" i="100"/>
  <c r="AM184" i="100"/>
  <c r="AD187" i="100"/>
  <c r="AL187" i="100"/>
  <c r="AB186" i="100"/>
  <c r="AI186" i="100"/>
  <c r="AC203" i="100"/>
  <c r="AK202" i="100"/>
  <c r="AL157" i="100"/>
  <c r="AD159" i="100"/>
  <c r="AL159" i="100"/>
  <c r="AE164" i="100"/>
  <c r="AM164" i="100"/>
  <c r="Z168" i="100"/>
  <c r="AH168" i="100"/>
  <c r="AC169" i="100"/>
  <c r="AK169" i="100"/>
  <c r="AF170" i="100"/>
  <c r="AN170" i="100"/>
  <c r="AK172" i="100"/>
  <c r="AB176" i="100"/>
  <c r="AJ173" i="100"/>
  <c r="Z174" i="100"/>
  <c r="AH174" i="100"/>
  <c r="AD175" i="100"/>
  <c r="AL176" i="100"/>
  <c r="AC176" i="100"/>
  <c r="Z177" i="100"/>
  <c r="AH177" i="100"/>
  <c r="AF177" i="100"/>
  <c r="AN180" i="100"/>
  <c r="AC182" i="100"/>
  <c r="AK182" i="100"/>
  <c r="AE186" i="100"/>
  <c r="AM186" i="100"/>
  <c r="AC186" i="100"/>
  <c r="AD188" i="100"/>
  <c r="AL188" i="100"/>
  <c r="AF204" i="100"/>
  <c r="AN204" i="100"/>
  <c r="AD202" i="100"/>
  <c r="AA204" i="100"/>
  <c r="AI201" i="100"/>
  <c r="AD208" i="100"/>
  <c r="AD205" i="100"/>
  <c r="W14" i="111"/>
  <c r="AE14" i="111"/>
  <c r="AG178" i="100"/>
  <c r="AA180" i="100"/>
  <c r="AI180" i="100"/>
  <c r="J190" i="100"/>
  <c r="AE191" i="100" s="1"/>
  <c r="Y192" i="100"/>
  <c r="AG197" i="100"/>
  <c r="AE198" i="100"/>
  <c r="AE202" i="100"/>
  <c r="AM202" i="100"/>
  <c r="Z204" i="100"/>
  <c r="AH204" i="100"/>
  <c r="Z9" i="111"/>
  <c r="AH9" i="111"/>
  <c r="Z13" i="111"/>
  <c r="AF159" i="100"/>
  <c r="AN159" i="100"/>
  <c r="AA158" i="100"/>
  <c r="AI158" i="100"/>
  <c r="Y161" i="100"/>
  <c r="AG161" i="100"/>
  <c r="AB162" i="100"/>
  <c r="AJ162" i="100"/>
  <c r="AE163" i="100"/>
  <c r="AM163" i="100"/>
  <c r="Y164" i="100"/>
  <c r="AG164" i="100"/>
  <c r="AC165" i="100"/>
  <c r="AK165" i="100"/>
  <c r="AF166" i="100"/>
  <c r="AN166" i="100"/>
  <c r="AA167" i="100"/>
  <c r="AI167" i="100"/>
  <c r="AA171" i="100"/>
  <c r="AI171" i="100"/>
  <c r="AJ174" i="100"/>
  <c r="AF175" i="100"/>
  <c r="AE176" i="100"/>
  <c r="AM176" i="100"/>
  <c r="AB177" i="100"/>
  <c r="AE179" i="100"/>
  <c r="Z183" i="100"/>
  <c r="AH183" i="100"/>
  <c r="Y181" i="100"/>
  <c r="AA183" i="100"/>
  <c r="AH184" i="100"/>
  <c r="AI187" i="100"/>
  <c r="K190" i="100"/>
  <c r="AF191" i="100" s="1"/>
  <c r="AM197" i="100"/>
  <c r="AF198" i="100"/>
  <c r="AK203" i="100"/>
  <c r="AG14" i="111"/>
  <c r="AB167" i="100"/>
  <c r="AJ167" i="100"/>
  <c r="AC168" i="100"/>
  <c r="AK168" i="100"/>
  <c r="AF172" i="100"/>
  <c r="AN169" i="100"/>
  <c r="AJ171" i="100"/>
  <c r="AG175" i="100"/>
  <c r="AC177" i="100"/>
  <c r="AK177" i="100"/>
  <c r="AA178" i="100"/>
  <c r="AI177" i="100"/>
  <c r="AI178" i="100"/>
  <c r="AJ181" i="100"/>
  <c r="AA184" i="100"/>
  <c r="AI184" i="100"/>
  <c r="Z185" i="100"/>
  <c r="AH185" i="100"/>
  <c r="AF185" i="100"/>
  <c r="AN188" i="100"/>
  <c r="AB187" i="100"/>
  <c r="AJ186" i="100"/>
  <c r="Y188" i="100"/>
  <c r="L190" i="100"/>
  <c r="AG189" i="100" s="1"/>
  <c r="AC197" i="100"/>
  <c r="AK199" i="100"/>
  <c r="AD203" i="100"/>
  <c r="AL203" i="100"/>
  <c r="AJ204" i="100"/>
  <c r="AB207" i="100"/>
  <c r="AJ207" i="100"/>
  <c r="Y210" i="100"/>
  <c r="AG211" i="100"/>
  <c r="AG210" i="100"/>
  <c r="Y18" i="111"/>
  <c r="AC158" i="100"/>
  <c r="AK158" i="100"/>
  <c r="AD160" i="100"/>
  <c r="AL160" i="100"/>
  <c r="AD168" i="100"/>
  <c r="AL168" i="100"/>
  <c r="Y169" i="100"/>
  <c r="AG169" i="100"/>
  <c r="AB170" i="100"/>
  <c r="AJ170" i="100"/>
  <c r="AC172" i="100"/>
  <c r="AK171" i="100"/>
  <c r="Y172" i="100"/>
  <c r="AG172" i="100"/>
  <c r="AF173" i="100"/>
  <c r="AN173" i="100"/>
  <c r="Z175" i="100"/>
  <c r="AH175" i="100"/>
  <c r="AD179" i="100"/>
  <c r="AL179" i="100"/>
  <c r="AB178" i="100"/>
  <c r="AD180" i="100"/>
  <c r="AL180" i="100"/>
  <c r="Y182" i="100"/>
  <c r="AG182" i="100"/>
  <c r="Y186" i="100"/>
  <c r="AG186" i="100"/>
  <c r="M190" i="100"/>
  <c r="AH191" i="100" s="1"/>
  <c r="Q191" i="100"/>
  <c r="AL191" i="100" s="1"/>
  <c r="P195" i="100"/>
  <c r="AK195" i="100" s="1"/>
  <c r="Z198" i="100"/>
  <c r="AH198" i="100"/>
  <c r="AE199" i="100"/>
  <c r="AM199" i="100"/>
  <c r="AD200" i="100"/>
  <c r="AB203" i="100"/>
  <c r="AJ201" i="100"/>
  <c r="AM203" i="100"/>
  <c r="AK204" i="100"/>
  <c r="AE206" i="100"/>
  <c r="AM206" i="100"/>
  <c r="AA208" i="100"/>
  <c r="AI208" i="100"/>
  <c r="AM180" i="100"/>
  <c r="AC184" i="100"/>
  <c r="AE200" i="100"/>
  <c r="AM200" i="100"/>
  <c r="Y11" i="111"/>
  <c r="AG11" i="111"/>
  <c r="W13" i="111"/>
  <c r="AH13" i="111"/>
  <c r="AE13" i="111"/>
  <c r="AI18" i="111"/>
  <c r="AD210" i="100"/>
  <c r="AA11" i="111"/>
  <c r="AI11" i="111"/>
  <c r="AA13" i="111"/>
  <c r="AI13" i="111"/>
  <c r="X18" i="111"/>
  <c r="AF18" i="111"/>
  <c r="AJ28" i="111"/>
  <c r="X34" i="111"/>
  <c r="AF34" i="111"/>
  <c r="Z34" i="111"/>
  <c r="Z205" i="100"/>
  <c r="AH208" i="100"/>
  <c r="AB211" i="100"/>
  <c r="AJ211" i="100"/>
  <c r="AI212" i="100"/>
  <c r="AK6" i="111"/>
  <c r="AC7" i="111"/>
  <c r="AK7" i="111"/>
  <c r="AI8" i="111"/>
  <c r="Y9" i="111"/>
  <c r="AG9" i="111"/>
  <c r="Z12" i="111"/>
  <c r="AH12" i="111"/>
  <c r="AB13" i="111"/>
  <c r="AJ13" i="111"/>
  <c r="AB14" i="111"/>
  <c r="AJ14" i="111"/>
  <c r="X15" i="111"/>
  <c r="AC19" i="111"/>
  <c r="AK19" i="111"/>
  <c r="AC20" i="111"/>
  <c r="AK20" i="111"/>
  <c r="AH28" i="111"/>
  <c r="AC29" i="111"/>
  <c r="AK29" i="111"/>
  <c r="Y36" i="111"/>
  <c r="AG36" i="111"/>
  <c r="AF37" i="111"/>
  <c r="AC38" i="111"/>
  <c r="AK38" i="111"/>
  <c r="AE39" i="111"/>
  <c r="AJ49" i="111"/>
  <c r="Y55" i="111"/>
  <c r="AC58" i="111"/>
  <c r="AK58" i="111"/>
  <c r="AH60" i="111"/>
  <c r="AC74" i="111"/>
  <c r="AK74" i="111"/>
  <c r="Y75" i="111"/>
  <c r="AB212" i="100"/>
  <c r="AC11" i="111"/>
  <c r="AK11" i="111"/>
  <c r="AC13" i="111"/>
  <c r="AK13" i="111"/>
  <c r="Z18" i="111"/>
  <c r="AH18" i="111"/>
  <c r="AJ19" i="111"/>
  <c r="X21" i="111"/>
  <c r="AF21" i="111"/>
  <c r="Z31" i="111"/>
  <c r="AH31" i="111"/>
  <c r="AH36" i="111"/>
  <c r="AC49" i="111"/>
  <c r="AK49" i="111"/>
  <c r="X68" i="111"/>
  <c r="AF68" i="111"/>
  <c r="AF206" i="100"/>
  <c r="AN206" i="100"/>
  <c r="AD207" i="100"/>
  <c r="AL207" i="100"/>
  <c r="AB9" i="111"/>
  <c r="AI10" i="111"/>
  <c r="AC12" i="111"/>
  <c r="AK12" i="111"/>
  <c r="AG15" i="111"/>
  <c r="AB18" i="111"/>
  <c r="AJ18" i="111"/>
  <c r="AF20" i="111"/>
  <c r="Z21" i="111"/>
  <c r="AH21" i="111"/>
  <c r="AC26" i="111"/>
  <c r="AK26" i="111"/>
  <c r="AA27" i="111"/>
  <c r="X29" i="111"/>
  <c r="AF29" i="111"/>
  <c r="AB31" i="111"/>
  <c r="AJ31" i="111"/>
  <c r="AB34" i="111"/>
  <c r="AJ34" i="111"/>
  <c r="X35" i="111"/>
  <c r="AF35" i="111"/>
  <c r="AJ36" i="111"/>
  <c r="AI37" i="111"/>
  <c r="X38" i="111"/>
  <c r="AF38" i="111"/>
  <c r="AA51" i="111"/>
  <c r="AC60" i="111"/>
  <c r="AK60" i="111"/>
  <c r="AG66" i="111"/>
  <c r="AJ70" i="111"/>
  <c r="X74" i="111"/>
  <c r="AB75" i="111"/>
  <c r="AJ75" i="111"/>
  <c r="AC208" i="100"/>
  <c r="AK208" i="100"/>
  <c r="AD212" i="100"/>
  <c r="AL212" i="100"/>
  <c r="AA210" i="100"/>
  <c r="AI210" i="100"/>
  <c r="Y7" i="111"/>
  <c r="AG7" i="111"/>
  <c r="AC9" i="111"/>
  <c r="AK9" i="111"/>
  <c r="AF13" i="111"/>
  <c r="AG19" i="111"/>
  <c r="Y20" i="111"/>
  <c r="AG20" i="111"/>
  <c r="AA28" i="111"/>
  <c r="AI28" i="111"/>
  <c r="Y29" i="111"/>
  <c r="AK31" i="111"/>
  <c r="AC34" i="111"/>
  <c r="AK34" i="111"/>
  <c r="AK35" i="111"/>
  <c r="AC36" i="111"/>
  <c r="AK36" i="111"/>
  <c r="Y74" i="111"/>
  <c r="AG74" i="111"/>
  <c r="AI74" i="111"/>
  <c r="Y49" i="111"/>
  <c r="AG49" i="111"/>
  <c r="AH58" i="111"/>
  <c r="W60" i="111"/>
  <c r="AE60" i="111"/>
  <c r="AI69" i="111"/>
  <c r="Z74" i="111"/>
  <c r="Y207" i="100"/>
  <c r="AG207" i="100"/>
  <c r="AF209" i="100"/>
  <c r="AN209" i="100"/>
  <c r="AC210" i="100"/>
  <c r="AK209" i="100"/>
  <c r="AA7" i="111"/>
  <c r="AI7" i="111"/>
  <c r="W9" i="111"/>
  <c r="AE9" i="111"/>
  <c r="X12" i="111"/>
  <c r="AF12" i="111"/>
  <c r="Z14" i="111"/>
  <c r="AH14" i="111"/>
  <c r="AA19" i="111"/>
  <c r="AI19" i="111"/>
  <c r="AA20" i="111"/>
  <c r="AI20" i="111"/>
  <c r="X26" i="111"/>
  <c r="AF26" i="111"/>
  <c r="AC28" i="111"/>
  <c r="AK28" i="111"/>
  <c r="W34" i="111"/>
  <c r="AE34" i="111"/>
  <c r="AA38" i="111"/>
  <c r="AI38" i="111"/>
  <c r="X60" i="111"/>
  <c r="AF60" i="111"/>
  <c r="AB69" i="111"/>
  <c r="AJ69" i="111"/>
  <c r="AE70" i="111"/>
  <c r="W75" i="111"/>
  <c r="AE75" i="111"/>
  <c r="Z76" i="111"/>
  <c r="AH76" i="111"/>
  <c r="W49" i="111"/>
  <c r="AE49" i="111"/>
  <c r="Y51" i="111"/>
  <c r="AG51" i="111"/>
  <c r="AB57" i="111"/>
  <c r="AJ57" i="111"/>
  <c r="AE58" i="111"/>
  <c r="AC67" i="111"/>
  <c r="AK67" i="111"/>
  <c r="AC69" i="111"/>
  <c r="AK69" i="111"/>
  <c r="AC73" i="111"/>
  <c r="AB74" i="111"/>
  <c r="AK75" i="111"/>
  <c r="AA30" i="111"/>
  <c r="AI30" i="111"/>
  <c r="AC32" i="111"/>
  <c r="AK32" i="111"/>
  <c r="Y34" i="111"/>
  <c r="AG34" i="111"/>
  <c r="AI35" i="111"/>
  <c r="AB37" i="111"/>
  <c r="AJ37" i="111"/>
  <c r="Y38" i="111"/>
  <c r="AG38" i="111"/>
  <c r="AJ41" i="111"/>
  <c r="AC46" i="111"/>
  <c r="AK46" i="111"/>
  <c r="AC47" i="111"/>
  <c r="AK47" i="111"/>
  <c r="W48" i="111"/>
  <c r="Z49" i="111"/>
  <c r="AH49" i="111"/>
  <c r="AB51" i="111"/>
  <c r="AJ51" i="111"/>
  <c r="AK52" i="111"/>
  <c r="AC53" i="111"/>
  <c r="AK53" i="111"/>
  <c r="Y54" i="111"/>
  <c r="Z55" i="111"/>
  <c r="AH55" i="111"/>
  <c r="W57" i="111"/>
  <c r="AE57" i="111"/>
  <c r="Z58" i="111"/>
  <c r="AA60" i="111"/>
  <c r="AI60" i="111"/>
  <c r="AK65" i="111"/>
  <c r="AB66" i="111"/>
  <c r="AJ66" i="111"/>
  <c r="Z68" i="111"/>
  <c r="X69" i="111"/>
  <c r="X70" i="111"/>
  <c r="AF70" i="111"/>
  <c r="X73" i="111"/>
  <c r="AF73" i="111"/>
  <c r="AF76" i="111"/>
  <c r="AF77" i="111"/>
  <c r="Y78" i="111"/>
  <c r="AG78" i="111"/>
  <c r="Z79" i="111"/>
  <c r="AK80" i="111"/>
  <c r="AB35" i="111"/>
  <c r="AJ35" i="111"/>
  <c r="AC37" i="111"/>
  <c r="AK37" i="111"/>
  <c r="Z39" i="111"/>
  <c r="AH39" i="111"/>
  <c r="AE40" i="111"/>
  <c r="AA49" i="111"/>
  <c r="AI49" i="111"/>
  <c r="AC51" i="111"/>
  <c r="AK51" i="111"/>
  <c r="AH53" i="111"/>
  <c r="Z54" i="111"/>
  <c r="AH54" i="111"/>
  <c r="X57" i="111"/>
  <c r="AA58" i="111"/>
  <c r="AB60" i="111"/>
  <c r="X61" i="111"/>
  <c r="AF61" i="111"/>
  <c r="Y67" i="111"/>
  <c r="AG67" i="111"/>
  <c r="Y69" i="111"/>
  <c r="AG69" i="111"/>
  <c r="Y70" i="111"/>
  <c r="AG70" i="111"/>
  <c r="AF74" i="111"/>
  <c r="Z78" i="111"/>
  <c r="AE80" i="111"/>
  <c r="AG41" i="105"/>
  <c r="AC39" i="105"/>
  <c r="I39" i="109"/>
  <c r="H41" i="109"/>
  <c r="G40" i="109"/>
  <c r="F40" i="102"/>
  <c r="Y59" i="102"/>
  <c r="AE62" i="102"/>
  <c r="AH67" i="102"/>
  <c r="AE82" i="102"/>
  <c r="AI89" i="102"/>
  <c r="AC94" i="102"/>
  <c r="AG96" i="102"/>
  <c r="D19" i="105"/>
  <c r="I20" i="105"/>
  <c r="I32" i="105"/>
  <c r="J32" i="105"/>
  <c r="Z38" i="105"/>
  <c r="AE39" i="107"/>
  <c r="F45" i="107"/>
  <c r="P48" i="107"/>
  <c r="AC53" i="107"/>
  <c r="V24" i="109"/>
  <c r="AJ17" i="108"/>
  <c r="AE20" i="108"/>
  <c r="G25" i="108"/>
  <c r="D27" i="108"/>
  <c r="V41" i="110"/>
  <c r="AH38" i="110"/>
  <c r="AC38" i="110"/>
  <c r="AH38" i="105"/>
  <c r="C38" i="109"/>
  <c r="AJ39" i="110"/>
  <c r="X62" i="102"/>
  <c r="AB61" i="102"/>
  <c r="V59" i="102"/>
  <c r="AF61" i="102"/>
  <c r="O20" i="108"/>
  <c r="D20" i="108"/>
  <c r="AJ34" i="102"/>
  <c r="O13" i="107"/>
  <c r="L12" i="107"/>
  <c r="E12" i="107"/>
  <c r="O39" i="109"/>
  <c r="P22" i="108" a="1"/>
  <c r="O25" i="108"/>
  <c r="F53" i="108"/>
  <c r="AJ41" i="110"/>
  <c r="H24" i="81"/>
  <c r="F41" i="81"/>
  <c r="Y81" i="102"/>
  <c r="AB83" i="102"/>
  <c r="U88" i="102"/>
  <c r="V90" i="102"/>
  <c r="U95" i="102"/>
  <c r="AF97" i="102"/>
  <c r="G33" i="105"/>
  <c r="U41" i="105"/>
  <c r="N67" i="105"/>
  <c r="M67" i="105"/>
  <c r="F69" i="105"/>
  <c r="W26" i="109"/>
  <c r="E38" i="102"/>
  <c r="P41" i="102"/>
  <c r="U52" i="102"/>
  <c r="Y66" i="102"/>
  <c r="AB69" i="102"/>
  <c r="AC81" i="102"/>
  <c r="AC83" i="102"/>
  <c r="AE88" i="102"/>
  <c r="AD90" i="102"/>
  <c r="Z95" i="102"/>
  <c r="X10" i="105"/>
  <c r="F19" i="105"/>
  <c r="E34" i="105"/>
  <c r="D46" i="105"/>
  <c r="R45" i="105"/>
  <c r="R48" i="105"/>
  <c r="N69" i="105"/>
  <c r="U27" i="107"/>
  <c r="V52" i="107"/>
  <c r="AF26" i="109"/>
  <c r="AE54" i="107"/>
  <c r="AI52" i="107"/>
  <c r="AC54" i="107"/>
  <c r="AF52" i="107"/>
  <c r="AE25" i="109"/>
  <c r="AG59" i="102"/>
  <c r="AC97" i="102"/>
  <c r="X96" i="102"/>
  <c r="AB89" i="102"/>
  <c r="Y87" i="102"/>
  <c r="AF69" i="102"/>
  <c r="AH66" i="102"/>
  <c r="AA68" i="102"/>
  <c r="AE80" i="102"/>
  <c r="X83" i="102"/>
  <c r="AJ87" i="102"/>
  <c r="AI94" i="102"/>
  <c r="Z97" i="102"/>
  <c r="F11" i="105"/>
  <c r="F12" i="105"/>
  <c r="AB40" i="105"/>
  <c r="W41" i="107"/>
  <c r="AE40" i="107"/>
  <c r="AC38" i="107"/>
  <c r="Z40" i="107"/>
  <c r="AB38" i="107"/>
  <c r="Y40" i="107"/>
  <c r="AG25" i="109"/>
  <c r="O38" i="109"/>
  <c r="R27" i="108"/>
  <c r="J26" i="108"/>
  <c r="P24" i="108"/>
  <c r="Q27" i="108"/>
  <c r="E26" i="108"/>
  <c r="K24" i="108"/>
  <c r="I25" i="108"/>
  <c r="J27" i="108"/>
  <c r="Z41" i="110"/>
  <c r="Z20" i="102"/>
  <c r="P38" i="102"/>
  <c r="F47" i="102"/>
  <c r="AJ53" i="102"/>
  <c r="AF66" i="102"/>
  <c r="C103" i="102"/>
  <c r="I75" i="102"/>
  <c r="R76" i="102"/>
  <c r="AE81" i="102"/>
  <c r="AF88" i="102"/>
  <c r="AE90" i="102"/>
  <c r="AE95" i="102"/>
  <c r="AG10" i="105"/>
  <c r="R26" i="105"/>
  <c r="H26" i="105"/>
  <c r="J27" i="105"/>
  <c r="L34" i="105"/>
  <c r="L61" i="105"/>
  <c r="K62" i="105"/>
  <c r="G62" i="105"/>
  <c r="H66" i="105"/>
  <c r="P69" i="105"/>
  <c r="I10" i="107"/>
  <c r="K18" i="107"/>
  <c r="AI38" i="107"/>
  <c r="AD41" i="107"/>
  <c r="M46" i="107"/>
  <c r="AA52" i="107"/>
  <c r="U55" i="107"/>
  <c r="AC27" i="109"/>
  <c r="D48" i="109"/>
  <c r="N47" i="109"/>
  <c r="U55" i="109"/>
  <c r="D24" i="108"/>
  <c r="R25" i="108"/>
  <c r="AC40" i="110"/>
  <c r="P43" i="110" a="1"/>
  <c r="P43" i="110" s="1"/>
  <c r="E47" i="110"/>
  <c r="F61" i="110"/>
  <c r="P53" i="108"/>
  <c r="Q55" i="108"/>
  <c r="C52" i="108"/>
  <c r="P55" i="108"/>
  <c r="E41" i="102"/>
  <c r="W66" i="102"/>
  <c r="AC68" i="102"/>
  <c r="AH36" i="107"/>
  <c r="AG40" i="107"/>
  <c r="C46" i="107"/>
  <c r="V54" i="107"/>
  <c r="I76" i="108"/>
  <c r="L75" i="108"/>
  <c r="F10" i="110"/>
  <c r="AH31" i="110"/>
  <c r="AB32" i="110"/>
  <c r="W32" i="110"/>
  <c r="AA34" i="110"/>
  <c r="L20" i="102"/>
  <c r="R18" i="102"/>
  <c r="W17" i="107"/>
  <c r="AA20" i="107"/>
  <c r="V38" i="107"/>
  <c r="E46" i="107"/>
  <c r="R41" i="109"/>
  <c r="P25" i="108"/>
  <c r="W41" i="108"/>
  <c r="V39" i="108"/>
  <c r="AG39" i="108"/>
  <c r="I73" i="108"/>
  <c r="V31" i="110"/>
  <c r="AD34" i="110"/>
  <c r="V38" i="110"/>
  <c r="N48" i="110"/>
  <c r="E46" i="110"/>
  <c r="G45" i="110"/>
  <c r="M48" i="110"/>
  <c r="Q47" i="110"/>
  <c r="E45" i="110"/>
  <c r="R45" i="110"/>
  <c r="D47" i="110"/>
  <c r="Q54" i="110"/>
  <c r="P54" i="110"/>
  <c r="G52" i="110"/>
  <c r="N54" i="110"/>
  <c r="F52" i="110"/>
  <c r="F60" i="110"/>
  <c r="K25" i="81"/>
  <c r="H25" i="81"/>
  <c r="C17" i="102"/>
  <c r="AI48" i="102"/>
  <c r="V48" i="102"/>
  <c r="X45" i="102"/>
  <c r="AA61" i="102"/>
  <c r="X67" i="102"/>
  <c r="Q82" i="102"/>
  <c r="Q83" i="102"/>
  <c r="G81" i="102"/>
  <c r="K82" i="102"/>
  <c r="AJ95" i="102"/>
  <c r="AG12" i="105"/>
  <c r="D45" i="105"/>
  <c r="I66" i="105"/>
  <c r="E76" i="105"/>
  <c r="O76" i="105"/>
  <c r="C75" i="105"/>
  <c r="E73" i="105"/>
  <c r="M76" i="105"/>
  <c r="O74" i="105"/>
  <c r="D73" i="105"/>
  <c r="I75" i="105"/>
  <c r="M10" i="107"/>
  <c r="AA19" i="107"/>
  <c r="AJ38" i="107"/>
  <c r="AE41" i="107"/>
  <c r="V53" i="107"/>
  <c r="AA55" i="107"/>
  <c r="E24" i="108"/>
  <c r="K26" i="108"/>
  <c r="U40" i="108"/>
  <c r="M54" i="108"/>
  <c r="L74" i="108"/>
  <c r="AE31" i="110"/>
  <c r="Z46" i="110"/>
  <c r="AB47" i="110"/>
  <c r="AH46" i="110"/>
  <c r="AD46" i="110"/>
  <c r="AF45" i="110"/>
  <c r="H46" i="110"/>
  <c r="I47" i="110"/>
  <c r="I48" i="110"/>
  <c r="N52" i="110"/>
  <c r="J55" i="110"/>
  <c r="J23" i="81"/>
  <c r="E23" i="81"/>
  <c r="D25" i="81"/>
  <c r="AA55" i="105"/>
  <c r="Y33" i="109"/>
  <c r="O67" i="109"/>
  <c r="E69" i="109"/>
  <c r="C74" i="109"/>
  <c r="M67" i="108"/>
  <c r="Q68" i="108"/>
  <c r="AJ24" i="110"/>
  <c r="X26" i="110"/>
  <c r="AE27" i="110"/>
  <c r="E40" i="110"/>
  <c r="R41" i="110"/>
  <c r="L57" i="81"/>
  <c r="G80" i="81"/>
  <c r="I87" i="81"/>
  <c r="K87" i="81" s="1"/>
  <c r="G119" i="81"/>
  <c r="AD24" i="102"/>
  <c r="Z25" i="102"/>
  <c r="X26" i="102"/>
  <c r="AJ26" i="102"/>
  <c r="AG27" i="102"/>
  <c r="AE52" i="105"/>
  <c r="AG55" i="105"/>
  <c r="AA48" i="107"/>
  <c r="U31" i="109"/>
  <c r="Y34" i="109"/>
  <c r="Z67" i="109"/>
  <c r="G69" i="109"/>
  <c r="O67" i="108"/>
  <c r="X68" i="108"/>
  <c r="AD69" i="108"/>
  <c r="U25" i="110"/>
  <c r="Z26" i="110"/>
  <c r="G60" i="81"/>
  <c r="D114" i="81"/>
  <c r="C111" i="81"/>
  <c r="F111" i="81" s="1"/>
  <c r="I27" i="102"/>
  <c r="C27" i="102"/>
  <c r="I26" i="102"/>
  <c r="C69" i="102"/>
  <c r="M66" i="102"/>
  <c r="P68" i="102"/>
  <c r="G67" i="102"/>
  <c r="H67" i="102"/>
  <c r="AB104" i="102"/>
  <c r="Y104" i="102"/>
  <c r="AB103" i="102"/>
  <c r="AF102" i="102"/>
  <c r="V101" i="102"/>
  <c r="AI104" i="102"/>
  <c r="U104" i="102"/>
  <c r="W103" i="102"/>
  <c r="AA102" i="102"/>
  <c r="AD101" i="102"/>
  <c r="AE104" i="102"/>
  <c r="AI103" i="102"/>
  <c r="X102" i="102"/>
  <c r="AB101" i="102"/>
  <c r="U102" i="102"/>
  <c r="U103" i="102"/>
  <c r="AA104" i="102"/>
  <c r="AH67" i="110"/>
  <c r="E30" i="81"/>
  <c r="C30" i="81"/>
  <c r="K16" i="81"/>
  <c r="C16" i="81"/>
  <c r="AB10" i="102"/>
  <c r="AB12" i="102"/>
  <c r="AI41" i="102"/>
  <c r="AF39" i="102"/>
  <c r="AF41" i="102"/>
  <c r="AA40" i="102"/>
  <c r="U39" i="102"/>
  <c r="Z41" i="102"/>
  <c r="AA39" i="102"/>
  <c r="I52" i="102"/>
  <c r="C12" i="109"/>
  <c r="L10" i="109"/>
  <c r="D12" i="109"/>
  <c r="AE10" i="102"/>
  <c r="AG12" i="102"/>
  <c r="H25" i="102"/>
  <c r="I17" i="108"/>
  <c r="D19" i="108"/>
  <c r="C13" i="81"/>
  <c r="E13" i="81"/>
  <c r="V10" i="102"/>
  <c r="AH11" i="102"/>
  <c r="K34" i="102"/>
  <c r="E31" i="102"/>
  <c r="H76" i="107"/>
  <c r="R75" i="107"/>
  <c r="C76" i="107"/>
  <c r="D74" i="107"/>
  <c r="Q67" i="107"/>
  <c r="O76" i="107"/>
  <c r="L69" i="107"/>
  <c r="J74" i="107"/>
  <c r="M67" i="107"/>
  <c r="H73" i="107"/>
  <c r="F66" i="107"/>
  <c r="Q74" i="107"/>
  <c r="Q59" i="109"/>
  <c r="P60" i="109"/>
  <c r="J59" i="109"/>
  <c r="O61" i="109"/>
  <c r="P62" i="109"/>
  <c r="K60" i="109"/>
  <c r="G48" i="108"/>
  <c r="O48" i="108"/>
  <c r="N47" i="108"/>
  <c r="N45" i="108"/>
  <c r="R48" i="108"/>
  <c r="P46" i="108"/>
  <c r="D17" i="108"/>
  <c r="C19" i="108"/>
  <c r="AC101" i="102"/>
  <c r="AD102" i="102"/>
  <c r="AE103" i="102"/>
  <c r="AI20" i="105"/>
  <c r="AC17" i="105"/>
  <c r="AC46" i="105"/>
  <c r="H52" i="105"/>
  <c r="J54" i="105"/>
  <c r="C59" i="105"/>
  <c r="G60" i="105"/>
  <c r="P8" i="107"/>
  <c r="M11" i="107"/>
  <c r="AH26" i="107"/>
  <c r="AH24" i="107"/>
  <c r="AD27" i="107"/>
  <c r="AA27" i="107"/>
  <c r="Y24" i="107"/>
  <c r="Q32" i="107"/>
  <c r="F31" i="107"/>
  <c r="G34" i="107"/>
  <c r="M33" i="107"/>
  <c r="K48" i="109"/>
  <c r="D47" i="109"/>
  <c r="I45" i="109"/>
  <c r="E48" i="109"/>
  <c r="D46" i="109"/>
  <c r="F47" i="109"/>
  <c r="G45" i="109"/>
  <c r="P46" i="109"/>
  <c r="L48" i="109"/>
  <c r="V13" i="102"/>
  <c r="AF12" i="102"/>
  <c r="AJ10" i="102"/>
  <c r="AG11" i="102"/>
  <c r="AF13" i="102"/>
  <c r="P34" i="109"/>
  <c r="L32" i="109"/>
  <c r="H31" i="109"/>
  <c r="Q33" i="109"/>
  <c r="M32" i="109"/>
  <c r="C54" i="102"/>
  <c r="K54" i="102"/>
  <c r="P52" i="102"/>
  <c r="G52" i="102"/>
  <c r="O54" i="102"/>
  <c r="F13" i="108"/>
  <c r="J11" i="108"/>
  <c r="F10" i="108"/>
  <c r="M11" i="108"/>
  <c r="P20" i="108"/>
  <c r="H20" i="108"/>
  <c r="M19" i="108"/>
  <c r="H18" i="108"/>
  <c r="O17" i="108"/>
  <c r="C17" i="108"/>
  <c r="J20" i="108"/>
  <c r="L19" i="108"/>
  <c r="R18" i="108"/>
  <c r="E18" i="108"/>
  <c r="J17" i="108"/>
  <c r="E20" i="108"/>
  <c r="G19" i="108"/>
  <c r="L18" i="108"/>
  <c r="M17" i="108"/>
  <c r="P15" i="108" a="1"/>
  <c r="P15" i="108" s="1"/>
  <c r="N20" i="108"/>
  <c r="P19" i="108"/>
  <c r="D18" i="108"/>
  <c r="G17" i="108"/>
  <c r="L20" i="108"/>
  <c r="F19" i="108"/>
  <c r="F18" i="108"/>
  <c r="P18" i="108"/>
  <c r="R17" i="108"/>
  <c r="Q20" i="108"/>
  <c r="O19" i="108"/>
  <c r="N18" i="108"/>
  <c r="K17" i="108"/>
  <c r="K18" i="108"/>
  <c r="G20" i="108"/>
  <c r="G25" i="102"/>
  <c r="U27" i="105"/>
  <c r="AF27" i="105"/>
  <c r="AF24" i="105"/>
  <c r="X25" i="105"/>
  <c r="Q62" i="105"/>
  <c r="N62" i="105"/>
  <c r="Q61" i="105"/>
  <c r="E61" i="105"/>
  <c r="I60" i="105"/>
  <c r="M59" i="105"/>
  <c r="I62" i="105"/>
  <c r="J62" i="105"/>
  <c r="J61" i="105"/>
  <c r="K60" i="105"/>
  <c r="N59" i="105"/>
  <c r="C62" i="105"/>
  <c r="D61" i="105"/>
  <c r="F60" i="105"/>
  <c r="G59" i="105"/>
  <c r="O62" i="105"/>
  <c r="N61" i="105"/>
  <c r="Q60" i="105"/>
  <c r="C60" i="105"/>
  <c r="E59" i="105"/>
  <c r="Q59" i="105"/>
  <c r="G61" i="105"/>
  <c r="R62" i="105"/>
  <c r="Y41" i="102"/>
  <c r="H55" i="102"/>
  <c r="AA101" i="102"/>
  <c r="AB102" i="102"/>
  <c r="AD103" i="102"/>
  <c r="AJ104" i="102"/>
  <c r="R13" i="107"/>
  <c r="O12" i="107"/>
  <c r="E10" i="107"/>
  <c r="I13" i="107"/>
  <c r="G12" i="107"/>
  <c r="K11" i="107"/>
  <c r="L10" i="107"/>
  <c r="Q13" i="107"/>
  <c r="J12" i="107"/>
  <c r="H11" i="107"/>
  <c r="G13" i="107"/>
  <c r="R10" i="107"/>
  <c r="D13" i="107"/>
  <c r="O11" i="107"/>
  <c r="K10" i="107"/>
  <c r="I11" i="107"/>
  <c r="M13" i="107"/>
  <c r="G60" i="107"/>
  <c r="M59" i="107"/>
  <c r="J59" i="107"/>
  <c r="P61" i="107"/>
  <c r="D68" i="107"/>
  <c r="AC11" i="109"/>
  <c r="Z12" i="109"/>
  <c r="AE10" i="109"/>
  <c r="N61" i="109"/>
  <c r="U11" i="102"/>
  <c r="W13" i="102"/>
  <c r="I17" i="102"/>
  <c r="C20" i="102"/>
  <c r="J24" i="102"/>
  <c r="M25" i="102"/>
  <c r="J27" i="102"/>
  <c r="K32" i="102"/>
  <c r="AE41" i="102"/>
  <c r="AG52" i="102"/>
  <c r="W55" i="102"/>
  <c r="X60" i="102"/>
  <c r="U62" i="102"/>
  <c r="J80" i="102"/>
  <c r="AA26" i="105"/>
  <c r="R31" i="105"/>
  <c r="Q34" i="105"/>
  <c r="AC61" i="107"/>
  <c r="AG62" i="107"/>
  <c r="AH57" i="107"/>
  <c r="E68" i="107"/>
  <c r="G11" i="109"/>
  <c r="K27" i="109"/>
  <c r="R24" i="109"/>
  <c r="L27" i="109"/>
  <c r="G24" i="109"/>
  <c r="E26" i="109"/>
  <c r="I25" i="109"/>
  <c r="C27" i="109"/>
  <c r="O62" i="109"/>
  <c r="F12" i="108"/>
  <c r="L17" i="108"/>
  <c r="H19" i="108"/>
  <c r="G47" i="108"/>
  <c r="Y11" i="102"/>
  <c r="Z13" i="102"/>
  <c r="L24" i="102"/>
  <c r="R25" i="102"/>
  <c r="N27" i="102"/>
  <c r="M33" i="102"/>
  <c r="Z38" i="102"/>
  <c r="AJ41" i="102"/>
  <c r="C46" i="102"/>
  <c r="H53" i="102"/>
  <c r="C62" i="102"/>
  <c r="Q59" i="102"/>
  <c r="O62" i="102"/>
  <c r="AB60" i="102"/>
  <c r="AE101" i="102"/>
  <c r="AI102" i="102"/>
  <c r="AJ103" i="102"/>
  <c r="AH24" i="105"/>
  <c r="AB26" i="105"/>
  <c r="C32" i="105"/>
  <c r="G48" i="105"/>
  <c r="O48" i="105"/>
  <c r="M46" i="105"/>
  <c r="O47" i="105"/>
  <c r="I47" i="105"/>
  <c r="J45" i="105"/>
  <c r="F47" i="105"/>
  <c r="D59" i="105"/>
  <c r="J60" i="105"/>
  <c r="O61" i="105"/>
  <c r="R11" i="107"/>
  <c r="W24" i="107"/>
  <c r="Z34" i="107"/>
  <c r="W31" i="107"/>
  <c r="AA33" i="107"/>
  <c r="K60" i="107"/>
  <c r="E13" i="109"/>
  <c r="AH26" i="109"/>
  <c r="X25" i="109"/>
  <c r="AE27" i="109"/>
  <c r="U26" i="109"/>
  <c r="X24" i="109"/>
  <c r="Y25" i="109"/>
  <c r="U24" i="109"/>
  <c r="AB27" i="109"/>
  <c r="AG24" i="109"/>
  <c r="U27" i="109"/>
  <c r="L34" i="109"/>
  <c r="C39" i="109"/>
  <c r="L76" i="109"/>
  <c r="K75" i="109"/>
  <c r="P76" i="109"/>
  <c r="J75" i="109"/>
  <c r="L74" i="109"/>
  <c r="L73" i="109"/>
  <c r="R69" i="109"/>
  <c r="G68" i="109"/>
  <c r="M67" i="109"/>
  <c r="E66" i="109"/>
  <c r="J76" i="109"/>
  <c r="H75" i="109"/>
  <c r="E74" i="109"/>
  <c r="D73" i="109"/>
  <c r="H69" i="109"/>
  <c r="K68" i="109"/>
  <c r="N67" i="109"/>
  <c r="R66" i="109"/>
  <c r="C76" i="109"/>
  <c r="O74" i="109"/>
  <c r="O73" i="109"/>
  <c r="P69" i="109"/>
  <c r="R68" i="109"/>
  <c r="F67" i="109"/>
  <c r="I66" i="109"/>
  <c r="D76" i="109"/>
  <c r="K74" i="109"/>
  <c r="Q66" i="109"/>
  <c r="I75" i="109"/>
  <c r="R73" i="109"/>
  <c r="M69" i="109"/>
  <c r="N68" i="109"/>
  <c r="I67" i="109"/>
  <c r="G66" i="109"/>
  <c r="Q76" i="109"/>
  <c r="E75" i="109"/>
  <c r="J73" i="109"/>
  <c r="I69" i="109"/>
  <c r="E68" i="109"/>
  <c r="C67" i="109"/>
  <c r="C66" i="109"/>
  <c r="K67" i="109"/>
  <c r="I73" i="109"/>
  <c r="R75" i="109"/>
  <c r="G12" i="108"/>
  <c r="AH17" i="108"/>
  <c r="K19" i="108"/>
  <c r="C66" i="108"/>
  <c r="C67" i="108"/>
  <c r="C76" i="108"/>
  <c r="R73" i="108"/>
  <c r="F75" i="108"/>
  <c r="C73" i="108"/>
  <c r="I75" i="108"/>
  <c r="G73" i="108"/>
  <c r="P76" i="108"/>
  <c r="K74" i="108"/>
  <c r="Q73" i="108"/>
  <c r="E76" i="108"/>
  <c r="P71" i="108" a="1"/>
  <c r="H75" i="108"/>
  <c r="X69" i="110"/>
  <c r="AD68" i="110"/>
  <c r="AJ66" i="110"/>
  <c r="AF67" i="110"/>
  <c r="AE67" i="110"/>
  <c r="AC68" i="110"/>
  <c r="AH64" i="110" a="1"/>
  <c r="AE66" i="110"/>
  <c r="V69" i="110"/>
  <c r="AB68" i="110"/>
  <c r="G66" i="102"/>
  <c r="N69" i="102"/>
  <c r="Y101" i="102"/>
  <c r="Y102" i="102"/>
  <c r="AA103" i="102"/>
  <c r="AG104" i="102"/>
  <c r="R55" i="105"/>
  <c r="I52" i="105"/>
  <c r="K55" i="105"/>
  <c r="Q31" i="109"/>
  <c r="J45" i="108"/>
  <c r="M69" i="108"/>
  <c r="J68" i="108"/>
  <c r="E67" i="108"/>
  <c r="O66" i="108"/>
  <c r="N69" i="108"/>
  <c r="D68" i="108"/>
  <c r="L67" i="108"/>
  <c r="Q66" i="108"/>
  <c r="G69" i="108"/>
  <c r="L68" i="108"/>
  <c r="N67" i="108"/>
  <c r="M66" i="108"/>
  <c r="P64" i="108" a="1"/>
  <c r="P64" i="108" s="1"/>
  <c r="R69" i="108"/>
  <c r="C69" i="108"/>
  <c r="D67" i="108"/>
  <c r="G66" i="108"/>
  <c r="E69" i="108"/>
  <c r="R68" i="108"/>
  <c r="K67" i="108"/>
  <c r="K68" i="108"/>
  <c r="L66" i="108"/>
  <c r="O69" i="108"/>
  <c r="F68" i="108"/>
  <c r="R67" i="108"/>
  <c r="I66" i="108"/>
  <c r="C24" i="102"/>
  <c r="I32" i="102"/>
  <c r="AG39" i="102"/>
  <c r="H66" i="102"/>
  <c r="H54" i="105"/>
  <c r="E60" i="105"/>
  <c r="K61" i="105"/>
  <c r="AC11" i="102"/>
  <c r="AE13" i="102"/>
  <c r="P24" i="102"/>
  <c r="E34" i="102"/>
  <c r="AA38" i="102"/>
  <c r="Z40" i="102"/>
  <c r="Q47" i="102"/>
  <c r="G47" i="102"/>
  <c r="N48" i="102"/>
  <c r="N45" i="102"/>
  <c r="L46" i="102"/>
  <c r="G45" i="102"/>
  <c r="G46" i="102"/>
  <c r="AA62" i="102"/>
  <c r="Y61" i="102"/>
  <c r="U60" i="102"/>
  <c r="AF60" i="102"/>
  <c r="AF59" i="102"/>
  <c r="AF62" i="102"/>
  <c r="AE61" i="102"/>
  <c r="AC60" i="102"/>
  <c r="AA59" i="102"/>
  <c r="AE60" i="102"/>
  <c r="AB62" i="102"/>
  <c r="I68" i="102"/>
  <c r="U74" i="102"/>
  <c r="X75" i="102"/>
  <c r="AF74" i="102"/>
  <c r="AE76" i="102"/>
  <c r="W75" i="102"/>
  <c r="AJ101" i="102"/>
  <c r="AJ102" i="102"/>
  <c r="W104" i="102"/>
  <c r="AH39" i="105"/>
  <c r="Y39" i="105"/>
  <c r="AF41" i="105"/>
  <c r="U38" i="105"/>
  <c r="AG40" i="105"/>
  <c r="F59" i="105"/>
  <c r="N60" i="105"/>
  <c r="E62" i="105"/>
  <c r="G10" i="107"/>
  <c r="C12" i="107"/>
  <c r="AG24" i="107"/>
  <c r="Q61" i="107"/>
  <c r="U13" i="109"/>
  <c r="H32" i="109"/>
  <c r="Q34" i="109"/>
  <c r="M45" i="109"/>
  <c r="Q19" i="108"/>
  <c r="Z26" i="108"/>
  <c r="AB33" i="108"/>
  <c r="AG33" i="108"/>
  <c r="X31" i="108"/>
  <c r="AG32" i="108"/>
  <c r="Y32" i="108"/>
  <c r="X34" i="108"/>
  <c r="V31" i="108"/>
  <c r="AB31" i="108"/>
  <c r="AJ32" i="108"/>
  <c r="F55" i="108"/>
  <c r="Q53" i="108"/>
  <c r="N52" i="108"/>
  <c r="O54" i="108"/>
  <c r="H53" i="108"/>
  <c r="H54" i="108"/>
  <c r="O52" i="108"/>
  <c r="G55" i="108"/>
  <c r="M53" i="108"/>
  <c r="O55" i="108"/>
  <c r="N54" i="108"/>
  <c r="H52" i="108"/>
  <c r="D66" i="108"/>
  <c r="I67" i="108"/>
  <c r="G68" i="108"/>
  <c r="F69" i="108"/>
  <c r="AH41" i="110"/>
  <c r="AC41" i="110"/>
  <c r="V40" i="110"/>
  <c r="AC39" i="110"/>
  <c r="U38" i="110"/>
  <c r="AB40" i="110"/>
  <c r="AF39" i="110"/>
  <c r="AD41" i="110"/>
  <c r="X38" i="110"/>
  <c r="Z40" i="110"/>
  <c r="Z39" i="110"/>
  <c r="AE38" i="110"/>
  <c r="AF41" i="110"/>
  <c r="X41" i="110"/>
  <c r="AD40" i="110"/>
  <c r="AE39" i="110"/>
  <c r="AD38" i="110"/>
  <c r="AH36" i="110" a="1"/>
  <c r="Y40" i="110"/>
  <c r="W39" i="110"/>
  <c r="AB38" i="110"/>
  <c r="AC55" i="110"/>
  <c r="AD54" i="110"/>
  <c r="AJ53" i="110"/>
  <c r="AJ52" i="110"/>
  <c r="Z55" i="110"/>
  <c r="V54" i="110"/>
  <c r="Y53" i="110"/>
  <c r="Z52" i="110"/>
  <c r="AD52" i="110"/>
  <c r="AD55" i="110"/>
  <c r="AF53" i="110"/>
  <c r="AA54" i="110"/>
  <c r="AI52" i="110"/>
  <c r="AC52" i="110"/>
  <c r="AI53" i="110"/>
  <c r="L46" i="81"/>
  <c r="F46" i="81"/>
  <c r="D46" i="81"/>
  <c r="W66" i="110"/>
  <c r="W10" i="102"/>
  <c r="X12" i="102"/>
  <c r="N19" i="102"/>
  <c r="L19" i="102"/>
  <c r="R26" i="102"/>
  <c r="Z39" i="102"/>
  <c r="Z54" i="102"/>
  <c r="AE54" i="102"/>
  <c r="AI52" i="102"/>
  <c r="AG55" i="102"/>
  <c r="U55" i="102"/>
  <c r="Y53" i="102"/>
  <c r="AB54" i="102"/>
  <c r="P67" i="102"/>
  <c r="K69" i="102"/>
  <c r="J83" i="102"/>
  <c r="M80" i="102"/>
  <c r="F81" i="102"/>
  <c r="Y99" i="102"/>
  <c r="V102" i="102"/>
  <c r="Y103" i="102"/>
  <c r="AD104" i="102"/>
  <c r="AJ25" i="105"/>
  <c r="J34" i="105"/>
  <c r="F32" i="105"/>
  <c r="I33" i="105"/>
  <c r="K31" i="105"/>
  <c r="R32" i="105"/>
  <c r="E31" i="105"/>
  <c r="L33" i="105"/>
  <c r="J53" i="105"/>
  <c r="O59" i="105"/>
  <c r="F61" i="105"/>
  <c r="L62" i="105"/>
  <c r="M12" i="107"/>
  <c r="U26" i="107"/>
  <c r="G75" i="107"/>
  <c r="F31" i="109"/>
  <c r="C41" i="109"/>
  <c r="N39" i="109"/>
  <c r="G38" i="109"/>
  <c r="M41" i="109"/>
  <c r="J38" i="109"/>
  <c r="N40" i="109"/>
  <c r="F39" i="109"/>
  <c r="I41" i="109"/>
  <c r="H39" i="109"/>
  <c r="J40" i="109"/>
  <c r="L38" i="109"/>
  <c r="F40" i="109"/>
  <c r="O40" i="109"/>
  <c r="AI19" i="108"/>
  <c r="AH18" i="108"/>
  <c r="U18" i="108"/>
  <c r="AH15" i="108" a="1"/>
  <c r="AH15" i="108" s="1"/>
  <c r="AH19" i="108"/>
  <c r="O18" i="108"/>
  <c r="M20" i="108"/>
  <c r="AA33" i="108"/>
  <c r="G52" i="108"/>
  <c r="P54" i="108"/>
  <c r="N19" i="110"/>
  <c r="C19" i="110"/>
  <c r="K17" i="110"/>
  <c r="E20" i="110"/>
  <c r="E18" i="110"/>
  <c r="C17" i="110"/>
  <c r="C20" i="110"/>
  <c r="V39" i="110"/>
  <c r="AE40" i="110"/>
  <c r="AE41" i="110"/>
  <c r="Y67" i="110"/>
  <c r="M88" i="102"/>
  <c r="W11" i="105"/>
  <c r="H24" i="105"/>
  <c r="E27" i="105"/>
  <c r="U53" i="105"/>
  <c r="J27" i="107"/>
  <c r="Y47" i="109"/>
  <c r="F38" i="108"/>
  <c r="O41" i="108"/>
  <c r="AD66" i="108"/>
  <c r="AB68" i="108"/>
  <c r="AI69" i="108"/>
  <c r="H60" i="110"/>
  <c r="L62" i="110"/>
  <c r="L68" i="110"/>
  <c r="D38" i="81"/>
  <c r="V62" i="110"/>
  <c r="AJ62" i="110"/>
  <c r="V60" i="110"/>
  <c r="V59" i="110"/>
  <c r="AC60" i="110"/>
  <c r="AD62" i="110"/>
  <c r="D50" i="81"/>
  <c r="L50" i="81"/>
  <c r="I50" i="81"/>
  <c r="W24" i="102"/>
  <c r="AG24" i="102"/>
  <c r="W25" i="102"/>
  <c r="AH25" i="102"/>
  <c r="Z26" i="102"/>
  <c r="AC27" i="102"/>
  <c r="Y46" i="102"/>
  <c r="U81" i="102"/>
  <c r="AI82" i="102"/>
  <c r="F87" i="102"/>
  <c r="V88" i="102"/>
  <c r="AJ89" i="102"/>
  <c r="X94" i="102"/>
  <c r="W96" i="102"/>
  <c r="C26" i="105"/>
  <c r="N27" i="105"/>
  <c r="AI53" i="105"/>
  <c r="AC55" i="105"/>
  <c r="G69" i="105"/>
  <c r="C69" i="105"/>
  <c r="C67" i="105"/>
  <c r="Q67" i="105"/>
  <c r="H68" i="105"/>
  <c r="X18" i="107"/>
  <c r="M54" i="107"/>
  <c r="J53" i="107"/>
  <c r="F55" i="107"/>
  <c r="Q53" i="107"/>
  <c r="AI13" i="108"/>
  <c r="AF11" i="108"/>
  <c r="AG11" i="108"/>
  <c r="AF12" i="108"/>
  <c r="AE13" i="108"/>
  <c r="AJ66" i="108"/>
  <c r="X67" i="108"/>
  <c r="AE68" i="108"/>
  <c r="AA20" i="110"/>
  <c r="Y17" i="110"/>
  <c r="AI18" i="110"/>
  <c r="AH19" i="110"/>
  <c r="E17" i="81"/>
  <c r="F50" i="81"/>
  <c r="AJ45" i="102"/>
  <c r="I25" i="105"/>
  <c r="Y12" i="107"/>
  <c r="U11" i="107"/>
  <c r="AI10" i="107"/>
  <c r="H26" i="107"/>
  <c r="E24" i="107"/>
  <c r="J26" i="107"/>
  <c r="L18" i="109"/>
  <c r="O18" i="109"/>
  <c r="M20" i="109"/>
  <c r="I41" i="108"/>
  <c r="G40" i="108"/>
  <c r="E38" i="108"/>
  <c r="N40" i="108"/>
  <c r="D39" i="108"/>
  <c r="H41" i="108"/>
  <c r="I38" i="108"/>
  <c r="H39" i="108"/>
  <c r="AI48" i="108"/>
  <c r="AH43" i="108" a="1"/>
  <c r="W45" i="108"/>
  <c r="AH69" i="108"/>
  <c r="AJ69" i="108"/>
  <c r="Y69" i="108"/>
  <c r="AG68" i="108"/>
  <c r="W68" i="108"/>
  <c r="AE67" i="108"/>
  <c r="U67" i="108"/>
  <c r="AC66" i="108"/>
  <c r="AH64" i="108" a="1"/>
  <c r="AH64" i="108" s="1"/>
  <c r="AB69" i="108"/>
  <c r="AF68" i="108"/>
  <c r="U68" i="108"/>
  <c r="Y67" i="108"/>
  <c r="AF66" i="108"/>
  <c r="AA69" i="108"/>
  <c r="AC68" i="108"/>
  <c r="AD67" i="108"/>
  <c r="AG66" i="108"/>
  <c r="AG69" i="108"/>
  <c r="V68" i="108"/>
  <c r="AJ67" i="108"/>
  <c r="W67" i="108"/>
  <c r="Y66" i="108"/>
  <c r="X66" i="108"/>
  <c r="AF67" i="108"/>
  <c r="AC69" i="108"/>
  <c r="P22" i="110" a="1"/>
  <c r="P22" i="110" s="1"/>
  <c r="H27" i="110"/>
  <c r="H26" i="110"/>
  <c r="AB60" i="110"/>
  <c r="H34" i="81"/>
  <c r="E34" i="81"/>
  <c r="G103" i="81"/>
  <c r="E103" i="81"/>
  <c r="D103" i="81"/>
  <c r="C103" i="81"/>
  <c r="F74" i="105"/>
  <c r="K75" i="105"/>
  <c r="Q76" i="105"/>
  <c r="F48" i="107"/>
  <c r="J47" i="107"/>
  <c r="Q46" i="107"/>
  <c r="W55" i="107"/>
  <c r="AH50" i="107"/>
  <c r="W54" i="107"/>
  <c r="AG55" i="107"/>
  <c r="K52" i="110"/>
  <c r="P53" i="110"/>
  <c r="D76" i="81"/>
  <c r="C76" i="81"/>
  <c r="I76" i="81"/>
  <c r="D72" i="81"/>
  <c r="C72" i="81"/>
  <c r="J72" i="81"/>
  <c r="I72" i="81"/>
  <c r="K72" i="81" s="1"/>
  <c r="I73" i="105"/>
  <c r="P74" i="105"/>
  <c r="AA39" i="107"/>
  <c r="V41" i="107"/>
  <c r="K45" i="107"/>
  <c r="J48" i="107"/>
  <c r="X52" i="107"/>
  <c r="AJ53" i="107"/>
  <c r="AE68" i="109"/>
  <c r="U66" i="109"/>
  <c r="U33" i="110"/>
  <c r="AC31" i="110"/>
  <c r="AF34" i="110"/>
  <c r="AE32" i="110"/>
  <c r="U31" i="110"/>
  <c r="AJ32" i="110"/>
  <c r="R55" i="110"/>
  <c r="J52" i="110"/>
  <c r="G54" i="110"/>
  <c r="F55" i="110"/>
  <c r="L55" i="81"/>
  <c r="K55" i="81"/>
  <c r="AE40" i="108"/>
  <c r="AI38" i="108"/>
  <c r="AH38" i="108"/>
  <c r="V41" i="108"/>
  <c r="D13" i="110"/>
  <c r="D11" i="110"/>
  <c r="AG27" i="110"/>
  <c r="AB26" i="110"/>
  <c r="AF25" i="110"/>
  <c r="AF24" i="110"/>
  <c r="AI24" i="110"/>
  <c r="Q48" i="110"/>
  <c r="D48" i="110"/>
  <c r="M47" i="110"/>
  <c r="F46" i="110"/>
  <c r="M45" i="110"/>
  <c r="I45" i="110"/>
  <c r="D46" i="110"/>
  <c r="Q46" i="110"/>
  <c r="N47" i="110"/>
  <c r="H48" i="110"/>
  <c r="K39" i="81"/>
  <c r="F64" i="81"/>
  <c r="H64" i="81" s="1"/>
  <c r="D64" i="81"/>
  <c r="C107" i="81"/>
  <c r="D107" i="81"/>
  <c r="C70" i="81"/>
  <c r="C82" i="81"/>
  <c r="E82" i="81" s="1"/>
  <c r="D87" i="81"/>
  <c r="D90" i="81"/>
  <c r="C93" i="81"/>
  <c r="G74" i="81"/>
  <c r="I80" i="81"/>
  <c r="G82" i="81"/>
  <c r="D86" i="81"/>
  <c r="E86" i="81" s="1"/>
  <c r="I90" i="81"/>
  <c r="K90" i="81" s="1"/>
  <c r="E113" i="81"/>
  <c r="D123" i="81"/>
  <c r="R24" i="108"/>
  <c r="G26" i="108"/>
  <c r="O27" i="108"/>
  <c r="F39" i="110"/>
  <c r="C60" i="81"/>
  <c r="I82" i="81"/>
  <c r="K82" i="81" s="1"/>
  <c r="F86" i="81"/>
  <c r="H86" i="81" s="1"/>
  <c r="C101" i="81"/>
  <c r="G123" i="81"/>
  <c r="K9" i="88"/>
  <c r="H11" i="88"/>
  <c r="N15" i="88"/>
  <c r="N7" i="88"/>
  <c r="N14" i="88"/>
  <c r="H6" i="88"/>
  <c r="N9" i="88"/>
  <c r="H12" i="88"/>
  <c r="N16" i="88"/>
  <c r="N17" i="88"/>
  <c r="K19" i="88"/>
  <c r="H20" i="88"/>
  <c r="H21" i="88"/>
  <c r="N6" i="88"/>
  <c r="H19" i="88"/>
  <c r="E21" i="88"/>
  <c r="N8" i="88"/>
  <c r="H7" i="88"/>
  <c r="H8" i="88"/>
  <c r="N10" i="88"/>
  <c r="H14" i="88"/>
  <c r="N19" i="88"/>
  <c r="K20" i="88"/>
  <c r="K21" i="88"/>
  <c r="K14" i="88"/>
  <c r="AL124" i="100"/>
  <c r="AL126" i="100"/>
  <c r="Z124" i="100"/>
  <c r="Z126" i="100"/>
  <c r="AH124" i="100"/>
  <c r="AH126" i="100"/>
  <c r="AD124" i="100"/>
  <c r="AD126" i="100"/>
  <c r="M195" i="100"/>
  <c r="AH195" i="100" s="1"/>
  <c r="AF126" i="100"/>
  <c r="Z10" i="102"/>
  <c r="X11" i="102"/>
  <c r="W12" i="102"/>
  <c r="N18" i="102"/>
  <c r="G39" i="102"/>
  <c r="J45" i="102"/>
  <c r="I46" i="102"/>
  <c r="D59" i="102"/>
  <c r="D60" i="102"/>
  <c r="E61" i="102"/>
  <c r="H69" i="102"/>
  <c r="J68" i="102"/>
  <c r="M67" i="102"/>
  <c r="Q66" i="102"/>
  <c r="G69" i="102"/>
  <c r="E68" i="102"/>
  <c r="F67" i="102"/>
  <c r="E66" i="102"/>
  <c r="R69" i="102"/>
  <c r="E69" i="102"/>
  <c r="Q68" i="102"/>
  <c r="F69" i="102"/>
  <c r="C68" i="102"/>
  <c r="R67" i="102"/>
  <c r="E67" i="102"/>
  <c r="R66" i="102"/>
  <c r="Q67" i="102"/>
  <c r="P66" i="102"/>
  <c r="P64" i="102"/>
  <c r="P69" i="102"/>
  <c r="N68" i="102"/>
  <c r="K67" i="102"/>
  <c r="K66" i="102"/>
  <c r="O69" i="102"/>
  <c r="K68" i="102"/>
  <c r="I67" i="102"/>
  <c r="I66" i="102"/>
  <c r="H68" i="102"/>
  <c r="Q69" i="102"/>
  <c r="C74" i="102"/>
  <c r="C76" i="102"/>
  <c r="E94" i="102"/>
  <c r="G95" i="102"/>
  <c r="C96" i="102"/>
  <c r="E97" i="102"/>
  <c r="R20" i="105"/>
  <c r="O18" i="105"/>
  <c r="R17" i="105"/>
  <c r="O20" i="105"/>
  <c r="L19" i="105"/>
  <c r="I18" i="105"/>
  <c r="J17" i="105"/>
  <c r="E20" i="105"/>
  <c r="L17" i="105"/>
  <c r="D20" i="105"/>
  <c r="M18" i="105"/>
  <c r="K17" i="105"/>
  <c r="C20" i="105"/>
  <c r="K18" i="105"/>
  <c r="F17" i="105"/>
  <c r="Q19" i="105"/>
  <c r="F18" i="105"/>
  <c r="D17" i="105"/>
  <c r="K19" i="105"/>
  <c r="D18" i="105"/>
  <c r="C17" i="105"/>
  <c r="L20" i="105"/>
  <c r="I19" i="105"/>
  <c r="C18" i="105"/>
  <c r="K20" i="105"/>
  <c r="J94" i="102"/>
  <c r="H95" i="102"/>
  <c r="G96" i="102"/>
  <c r="I97" i="102"/>
  <c r="AK55" i="100"/>
  <c r="AK58" i="100"/>
  <c r="AK56" i="100"/>
  <c r="K94" i="102"/>
  <c r="K95" i="102"/>
  <c r="N96" i="102"/>
  <c r="J97" i="102"/>
  <c r="K13" i="102"/>
  <c r="J12" i="102"/>
  <c r="H11" i="102"/>
  <c r="G11" i="102"/>
  <c r="R10" i="102"/>
  <c r="E10" i="102"/>
  <c r="R13" i="102"/>
  <c r="Y57" i="100"/>
  <c r="AI13" i="102"/>
  <c r="AH13" i="102"/>
  <c r="Y13" i="102"/>
  <c r="AJ12" i="102"/>
  <c r="Z12" i="102"/>
  <c r="AB11" i="102"/>
  <c r="AD10" i="102"/>
  <c r="U10" i="102"/>
  <c r="AG13" i="102"/>
  <c r="X13" i="102"/>
  <c r="AH12" i="102"/>
  <c r="Y12" i="102"/>
  <c r="AJ11" i="102"/>
  <c r="Z11" i="102"/>
  <c r="AC10" i="102"/>
  <c r="AD13" i="102"/>
  <c r="U13" i="102"/>
  <c r="AE12" i="102"/>
  <c r="V12" i="102"/>
  <c r="AF11" i="102"/>
  <c r="W11" i="102"/>
  <c r="AH10" i="102"/>
  <c r="Y10" i="102"/>
  <c r="AC13" i="102"/>
  <c r="AD12" i="102"/>
  <c r="U12" i="102"/>
  <c r="AE11" i="102"/>
  <c r="V11" i="102"/>
  <c r="AG10" i="102"/>
  <c r="X10" i="102"/>
  <c r="Y8" i="102"/>
  <c r="AF10" i="102"/>
  <c r="AD11" i="102"/>
  <c r="AC12" i="102"/>
  <c r="AB13" i="102"/>
  <c r="O17" i="102"/>
  <c r="N20" i="102"/>
  <c r="I48" i="102"/>
  <c r="R48" i="102"/>
  <c r="F48" i="102"/>
  <c r="O47" i="102"/>
  <c r="E47" i="102"/>
  <c r="Q46" i="102"/>
  <c r="F46" i="102"/>
  <c r="Q45" i="102"/>
  <c r="F45" i="102"/>
  <c r="Q48" i="102"/>
  <c r="E48" i="102"/>
  <c r="N47" i="102"/>
  <c r="D47" i="102"/>
  <c r="O46" i="102"/>
  <c r="E46" i="102"/>
  <c r="O45" i="102"/>
  <c r="E45" i="102"/>
  <c r="O48" i="102"/>
  <c r="C48" i="102"/>
  <c r="M47" i="102"/>
  <c r="C47" i="102"/>
  <c r="N46" i="102"/>
  <c r="L48" i="102"/>
  <c r="K47" i="102"/>
  <c r="K46" i="102"/>
  <c r="L45" i="102"/>
  <c r="K48" i="102"/>
  <c r="J47" i="102"/>
  <c r="J46" i="102"/>
  <c r="K45" i="102"/>
  <c r="G48" i="102"/>
  <c r="E104" i="102"/>
  <c r="L104" i="102"/>
  <c r="O103" i="102"/>
  <c r="Q102" i="102"/>
  <c r="N76" i="102"/>
  <c r="D75" i="102"/>
  <c r="K74" i="102"/>
  <c r="C73" i="102"/>
  <c r="D104" i="102"/>
  <c r="R101" i="102"/>
  <c r="K76" i="102"/>
  <c r="N75" i="102"/>
  <c r="F73" i="102"/>
  <c r="G76" i="102"/>
  <c r="L75" i="102"/>
  <c r="Q74" i="102"/>
  <c r="Q101" i="102"/>
  <c r="I76" i="102"/>
  <c r="M75" i="102"/>
  <c r="D73" i="102"/>
  <c r="R103" i="102"/>
  <c r="O102" i="102"/>
  <c r="J101" i="102"/>
  <c r="Q103" i="102"/>
  <c r="M102" i="102"/>
  <c r="Q104" i="102"/>
  <c r="I103" i="102"/>
  <c r="L102" i="102"/>
  <c r="F101" i="102"/>
  <c r="G75" i="102"/>
  <c r="J74" i="102"/>
  <c r="O73" i="102"/>
  <c r="O104" i="102"/>
  <c r="G103" i="102"/>
  <c r="J102" i="102"/>
  <c r="E101" i="102"/>
  <c r="E74" i="102"/>
  <c r="N73" i="102"/>
  <c r="I90" i="102"/>
  <c r="I89" i="102"/>
  <c r="J88" i="102"/>
  <c r="J87" i="102"/>
  <c r="O90" i="102"/>
  <c r="K89" i="102"/>
  <c r="F88" i="102"/>
  <c r="D87" i="102"/>
  <c r="N90" i="102"/>
  <c r="J89" i="102"/>
  <c r="E88" i="102"/>
  <c r="K90" i="102"/>
  <c r="G89" i="102"/>
  <c r="C88" i="102"/>
  <c r="R87" i="102"/>
  <c r="E90" i="102"/>
  <c r="R88" i="102"/>
  <c r="N87" i="102"/>
  <c r="D90" i="102"/>
  <c r="O88" i="102"/>
  <c r="K87" i="102"/>
  <c r="L88" i="102"/>
  <c r="Q89" i="102"/>
  <c r="P94" i="102"/>
  <c r="R95" i="102"/>
  <c r="O96" i="102"/>
  <c r="I101" i="102"/>
  <c r="G104" i="102"/>
  <c r="F10" i="102"/>
  <c r="C19" i="102"/>
  <c r="C102" i="102"/>
  <c r="K104" i="102"/>
  <c r="J10" i="102"/>
  <c r="D11" i="102"/>
  <c r="K97" i="102"/>
  <c r="I96" i="102"/>
  <c r="P95" i="102"/>
  <c r="F95" i="102"/>
  <c r="M94" i="102"/>
  <c r="H97" i="102"/>
  <c r="M96" i="102"/>
  <c r="Q95" i="102"/>
  <c r="E95" i="102"/>
  <c r="I94" i="102"/>
  <c r="R97" i="102"/>
  <c r="G97" i="102"/>
  <c r="K96" i="102"/>
  <c r="O95" i="102"/>
  <c r="G94" i="102"/>
  <c r="Q97" i="102"/>
  <c r="F97" i="102"/>
  <c r="J96" i="102"/>
  <c r="N95" i="102"/>
  <c r="R94" i="102"/>
  <c r="F94" i="102"/>
  <c r="O97" i="102"/>
  <c r="R96" i="102"/>
  <c r="F96" i="102"/>
  <c r="J95" i="102"/>
  <c r="O94" i="102"/>
  <c r="C94" i="102"/>
  <c r="N97" i="102"/>
  <c r="P96" i="102"/>
  <c r="E96" i="102"/>
  <c r="I95" i="102"/>
  <c r="N94" i="102"/>
  <c r="M11" i="102"/>
  <c r="L12" i="102"/>
  <c r="E13" i="102"/>
  <c r="C18" i="102"/>
  <c r="X32" i="102"/>
  <c r="AJ31" i="102"/>
  <c r="K62" i="102"/>
  <c r="R62" i="102"/>
  <c r="C61" i="102"/>
  <c r="L60" i="102"/>
  <c r="O59" i="102"/>
  <c r="M62" i="102"/>
  <c r="N61" i="102"/>
  <c r="Q60" i="102"/>
  <c r="M59" i="102"/>
  <c r="M61" i="102"/>
  <c r="L59" i="102"/>
  <c r="F62" i="102"/>
  <c r="E59" i="102"/>
  <c r="G62" i="102"/>
  <c r="M60" i="102"/>
  <c r="F60" i="102"/>
  <c r="F61" i="102"/>
  <c r="P92" i="102"/>
  <c r="AC55" i="100"/>
  <c r="AC56" i="100"/>
  <c r="AC58" i="100"/>
  <c r="Z57" i="100"/>
  <c r="Z58" i="100"/>
  <c r="AH58" i="100"/>
  <c r="AH57" i="100"/>
  <c r="Z55" i="100"/>
  <c r="AB124" i="100"/>
  <c r="AB126" i="100"/>
  <c r="AN126" i="100"/>
  <c r="AN124" i="100"/>
  <c r="N12" i="102"/>
  <c r="H13" i="102"/>
  <c r="I20" i="102"/>
  <c r="H20" i="102"/>
  <c r="J19" i="102"/>
  <c r="J18" i="102"/>
  <c r="K17" i="102"/>
  <c r="G20" i="102"/>
  <c r="H19" i="102"/>
  <c r="I18" i="102"/>
  <c r="J17" i="102"/>
  <c r="Q20" i="102"/>
  <c r="P15" i="102"/>
  <c r="D18" i="102"/>
  <c r="AA57" i="100"/>
  <c r="Y194" i="100"/>
  <c r="E24" i="102"/>
  <c r="J25" i="102"/>
  <c r="O27" i="102"/>
  <c r="U38" i="102"/>
  <c r="AH38" i="102"/>
  <c r="AC39" i="102"/>
  <c r="U40" i="102"/>
  <c r="AI40" i="102"/>
  <c r="AA41" i="102"/>
  <c r="AA48" i="102"/>
  <c r="U48" i="102"/>
  <c r="AA47" i="102"/>
  <c r="AD45" i="102"/>
  <c r="AB46" i="102"/>
  <c r="AB47" i="102"/>
  <c r="AD48" i="102"/>
  <c r="M52" i="102"/>
  <c r="E53" i="102"/>
  <c r="Z53" i="102"/>
  <c r="P54" i="102"/>
  <c r="N55" i="102"/>
  <c r="AD62" i="102"/>
  <c r="AG61" i="102"/>
  <c r="W61" i="102"/>
  <c r="AA60" i="102"/>
  <c r="AC59" i="102"/>
  <c r="W59" i="102"/>
  <c r="AI59" i="102"/>
  <c r="V60" i="102"/>
  <c r="AG60" i="102"/>
  <c r="V61" i="102"/>
  <c r="AI61" i="102"/>
  <c r="V62" i="102"/>
  <c r="AG62" i="102"/>
  <c r="AB66" i="102"/>
  <c r="AC67" i="102"/>
  <c r="AE68" i="102"/>
  <c r="AG69" i="102"/>
  <c r="AG74" i="102"/>
  <c r="AB75" i="102"/>
  <c r="V76" i="102"/>
  <c r="E80" i="102"/>
  <c r="AF80" i="102"/>
  <c r="AA81" i="102"/>
  <c r="U82" i="102"/>
  <c r="F83" i="102"/>
  <c r="AE83" i="102"/>
  <c r="AE87" i="102"/>
  <c r="AG88" i="102"/>
  <c r="U89" i="102"/>
  <c r="W90" i="102"/>
  <c r="AF94" i="102"/>
  <c r="W95" i="102"/>
  <c r="AH96" i="102"/>
  <c r="AA97" i="102"/>
  <c r="W24" i="105"/>
  <c r="AI24" i="105"/>
  <c r="Y25" i="105"/>
  <c r="AC26" i="105"/>
  <c r="AG27" i="105"/>
  <c r="AC38" i="105"/>
  <c r="AF39" i="105"/>
  <c r="AH40" i="105"/>
  <c r="J52" i="105"/>
  <c r="M53" i="105"/>
  <c r="P54" i="105"/>
  <c r="P55" i="105"/>
  <c r="AF60" i="105"/>
  <c r="M20" i="107"/>
  <c r="I20" i="107"/>
  <c r="K19" i="107"/>
  <c r="L18" i="107"/>
  <c r="L17" i="107"/>
  <c r="E20" i="107"/>
  <c r="F19" i="107"/>
  <c r="E18" i="107"/>
  <c r="P18" i="107"/>
  <c r="K17" i="107"/>
  <c r="O20" i="107"/>
  <c r="O19" i="107"/>
  <c r="G18" i="107"/>
  <c r="F17" i="107"/>
  <c r="N20" i="107"/>
  <c r="I19" i="107"/>
  <c r="F18" i="107"/>
  <c r="K20" i="107"/>
  <c r="G19" i="107"/>
  <c r="P15" i="107"/>
  <c r="D20" i="107"/>
  <c r="P17" i="107"/>
  <c r="AA58" i="100"/>
  <c r="AA76" i="111"/>
  <c r="AI76" i="111"/>
  <c r="AH17" i="102"/>
  <c r="AA18" i="102"/>
  <c r="Y19" i="102"/>
  <c r="U20" i="102"/>
  <c r="F24" i="102"/>
  <c r="L25" i="102"/>
  <c r="G26" i="102"/>
  <c r="W38" i="102"/>
  <c r="AJ38" i="102"/>
  <c r="AE39" i="102"/>
  <c r="Y40" i="102"/>
  <c r="AJ40" i="102"/>
  <c r="AC41" i="102"/>
  <c r="Y43" i="102"/>
  <c r="AE45" i="102"/>
  <c r="AD46" i="102"/>
  <c r="AE47" i="102"/>
  <c r="AF48" i="102"/>
  <c r="O52" i="102"/>
  <c r="F53" i="102"/>
  <c r="AG53" i="102"/>
  <c r="O55" i="102"/>
  <c r="Y57" i="102"/>
  <c r="X59" i="102"/>
  <c r="AJ59" i="102"/>
  <c r="W60" i="102"/>
  <c r="AJ60" i="102"/>
  <c r="X61" i="102"/>
  <c r="AJ61" i="102"/>
  <c r="W62" i="102"/>
  <c r="AJ62" i="102"/>
  <c r="AC66" i="102"/>
  <c r="AG67" i="102"/>
  <c r="AG68" i="102"/>
  <c r="AH69" i="102"/>
  <c r="AJ75" i="102"/>
  <c r="X76" i="102"/>
  <c r="F80" i="102"/>
  <c r="AI80" i="102"/>
  <c r="AB81" i="102"/>
  <c r="X82" i="102"/>
  <c r="AJ83" i="102"/>
  <c r="AI87" i="102"/>
  <c r="AI88" i="102"/>
  <c r="V89" i="102"/>
  <c r="AA90" i="102"/>
  <c r="AG94" i="102"/>
  <c r="Y95" i="102"/>
  <c r="AJ96" i="102"/>
  <c r="G26" i="105"/>
  <c r="M25" i="105"/>
  <c r="Q24" i="105"/>
  <c r="R24" i="105"/>
  <c r="X24" i="105"/>
  <c r="AJ24" i="105"/>
  <c r="AA25" i="105"/>
  <c r="O26" i="105"/>
  <c r="AF26" i="105"/>
  <c r="R34" i="105"/>
  <c r="Q33" i="105"/>
  <c r="L32" i="105"/>
  <c r="L31" i="105"/>
  <c r="G34" i="105"/>
  <c r="D33" i="105"/>
  <c r="E32" i="105"/>
  <c r="J33" i="105"/>
  <c r="AG34" i="105"/>
  <c r="AG38" i="105"/>
  <c r="Q52" i="105"/>
  <c r="P53" i="105"/>
  <c r="Q54" i="105"/>
  <c r="Y11" i="107"/>
  <c r="E19" i="107"/>
  <c r="V32" i="107"/>
  <c r="AH27" i="105"/>
  <c r="X27" i="105"/>
  <c r="AJ26" i="105"/>
  <c r="Z26" i="105"/>
  <c r="AB25" i="105"/>
  <c r="AC24" i="105"/>
  <c r="AJ27" i="105"/>
  <c r="W27" i="105"/>
  <c r="AH26" i="105"/>
  <c r="W26" i="105"/>
  <c r="AG25" i="105"/>
  <c r="U25" i="105"/>
  <c r="AG24" i="105"/>
  <c r="Y24" i="105"/>
  <c r="AC25" i="105"/>
  <c r="AG26" i="105"/>
  <c r="Y27" i="105"/>
  <c r="H41" i="105"/>
  <c r="M40" i="105"/>
  <c r="K41" i="105"/>
  <c r="H40" i="105"/>
  <c r="I39" i="105"/>
  <c r="G38" i="105"/>
  <c r="F40" i="105"/>
  <c r="X59" i="105"/>
  <c r="G17" i="107"/>
  <c r="P19" i="107"/>
  <c r="AC32" i="107"/>
  <c r="Y34" i="107"/>
  <c r="AH22" i="105"/>
  <c r="Z24" i="105"/>
  <c r="AE25" i="105"/>
  <c r="AI26" i="105"/>
  <c r="AA27" i="105"/>
  <c r="AG33" i="105"/>
  <c r="W39" i="105"/>
  <c r="Y38" i="105"/>
  <c r="E39" i="105"/>
  <c r="U40" i="105"/>
  <c r="X41" i="105"/>
  <c r="I55" i="105"/>
  <c r="K54" i="105"/>
  <c r="R53" i="105"/>
  <c r="G52" i="105"/>
  <c r="G55" i="105"/>
  <c r="I54" i="105"/>
  <c r="K53" i="105"/>
  <c r="N52" i="105"/>
  <c r="AA59" i="105"/>
  <c r="AJ11" i="107"/>
  <c r="H17" i="107"/>
  <c r="Q19" i="107"/>
  <c r="AF32" i="107"/>
  <c r="AG20" i="109"/>
  <c r="V20" i="109"/>
  <c r="AC19" i="109"/>
  <c r="Y18" i="109"/>
  <c r="AF17" i="109"/>
  <c r="AA20" i="109"/>
  <c r="AF19" i="109"/>
  <c r="U19" i="109"/>
  <c r="Z18" i="109"/>
  <c r="AC17" i="109"/>
  <c r="AC20" i="109"/>
  <c r="AE19" i="109"/>
  <c r="AH18" i="109"/>
  <c r="U18" i="109"/>
  <c r="Y17" i="109"/>
  <c r="AD20" i="109"/>
  <c r="AD19" i="109"/>
  <c r="AE18" i="109"/>
  <c r="AH17" i="109"/>
  <c r="Z20" i="109"/>
  <c r="AB19" i="109"/>
  <c r="AD18" i="109"/>
  <c r="AG17" i="109"/>
  <c r="AF15" i="109"/>
  <c r="X20" i="109"/>
  <c r="X19" i="109"/>
  <c r="AA18" i="109"/>
  <c r="AA17" i="109"/>
  <c r="U20" i="109"/>
  <c r="W19" i="109"/>
  <c r="W18" i="109"/>
  <c r="Z17" i="109"/>
  <c r="V19" i="109"/>
  <c r="V18" i="109"/>
  <c r="X17" i="109"/>
  <c r="AH20" i="109"/>
  <c r="W17" i="109"/>
  <c r="AE20" i="109"/>
  <c r="AG19" i="109"/>
  <c r="AG18" i="109"/>
  <c r="Y20" i="109"/>
  <c r="M53" i="102"/>
  <c r="O194" i="100"/>
  <c r="AJ195" i="100" s="1"/>
  <c r="Z37" i="111"/>
  <c r="AC76" i="111"/>
  <c r="M24" i="102"/>
  <c r="M26" i="102"/>
  <c r="Y97" i="102"/>
  <c r="AI96" i="102"/>
  <c r="U96" i="102"/>
  <c r="AF95" i="102"/>
  <c r="Z94" i="102"/>
  <c r="X90" i="102"/>
  <c r="Y89" i="102"/>
  <c r="AC88" i="102"/>
  <c r="AA87" i="102"/>
  <c r="AI83" i="102"/>
  <c r="Z82" i="102"/>
  <c r="AI81" i="102"/>
  <c r="AB80" i="102"/>
  <c r="Z69" i="102"/>
  <c r="AB68" i="102"/>
  <c r="AF67" i="102"/>
  <c r="AG66" i="102"/>
  <c r="Y64" i="102"/>
  <c r="W68" i="102"/>
  <c r="W69" i="102"/>
  <c r="AF73" i="102"/>
  <c r="M83" i="102"/>
  <c r="P81" i="102"/>
  <c r="W80" i="102"/>
  <c r="O81" i="102"/>
  <c r="AJ81" i="102"/>
  <c r="AF82" i="102"/>
  <c r="Z83" i="102"/>
  <c r="V87" i="102"/>
  <c r="Y88" i="102"/>
  <c r="AD89" i="102"/>
  <c r="AG90" i="102"/>
  <c r="U94" i="102"/>
  <c r="AJ94" i="102"/>
  <c r="AH95" i="102"/>
  <c r="Y96" i="102"/>
  <c r="AJ97" i="102"/>
  <c r="P13" i="105"/>
  <c r="F13" i="105"/>
  <c r="F10" i="105"/>
  <c r="AA24" i="105"/>
  <c r="AF25" i="105"/>
  <c r="X26" i="105"/>
  <c r="AB27" i="105"/>
  <c r="F38" i="105"/>
  <c r="K39" i="105"/>
  <c r="X40" i="105"/>
  <c r="Y41" i="105"/>
  <c r="P50" i="105"/>
  <c r="E55" i="105"/>
  <c r="AJ13" i="107"/>
  <c r="Y13" i="107"/>
  <c r="AH12" i="107"/>
  <c r="U12" i="107"/>
  <c r="AD11" i="107"/>
  <c r="AC10" i="107"/>
  <c r="AA13" i="107"/>
  <c r="AE12" i="107"/>
  <c r="AH13" i="107"/>
  <c r="AJ12" i="107"/>
  <c r="Z11" i="107"/>
  <c r="AE10" i="107"/>
  <c r="AB13" i="107"/>
  <c r="AC12" i="107"/>
  <c r="AI11" i="107"/>
  <c r="Z10" i="107"/>
  <c r="Z13" i="107"/>
  <c r="AA12" i="107"/>
  <c r="AE11" i="107"/>
  <c r="Y10" i="107"/>
  <c r="V13" i="107"/>
  <c r="Z12" i="107"/>
  <c r="AC11" i="107"/>
  <c r="AJ10" i="107"/>
  <c r="V10" i="107"/>
  <c r="AI13" i="107"/>
  <c r="W12" i="107"/>
  <c r="AA11" i="107"/>
  <c r="AG10" i="107"/>
  <c r="AD12" i="107"/>
  <c r="Q17" i="107"/>
  <c r="AE34" i="107"/>
  <c r="X33" i="107"/>
  <c r="AE32" i="107"/>
  <c r="Z31" i="107"/>
  <c r="AF34" i="107"/>
  <c r="AI33" i="107"/>
  <c r="U33" i="107"/>
  <c r="Z32" i="107"/>
  <c r="AE31" i="107"/>
  <c r="AA34" i="107"/>
  <c r="AD33" i="107"/>
  <c r="AG32" i="107"/>
  <c r="U31" i="107"/>
  <c r="X34" i="107"/>
  <c r="Z33" i="107"/>
  <c r="AA32" i="107"/>
  <c r="AD31" i="107"/>
  <c r="V34" i="107"/>
  <c r="V33" i="107"/>
  <c r="Y32" i="107"/>
  <c r="AC31" i="107"/>
  <c r="AI34" i="107"/>
  <c r="W32" i="107"/>
  <c r="AA31" i="107"/>
  <c r="AC34" i="107"/>
  <c r="AE33" i="107"/>
  <c r="AI32" i="107"/>
  <c r="V31" i="107"/>
  <c r="AH34" i="107"/>
  <c r="U69" i="107"/>
  <c r="AI69" i="107"/>
  <c r="AB68" i="107"/>
  <c r="AI66" i="107"/>
  <c r="AG69" i="107"/>
  <c r="AG66" i="107"/>
  <c r="M55" i="102"/>
  <c r="K53" i="102"/>
  <c r="AB76" i="102"/>
  <c r="AA75" i="102"/>
  <c r="W73" i="102"/>
  <c r="Y73" i="102"/>
  <c r="AF76" i="102"/>
  <c r="AI57" i="100"/>
  <c r="AH37" i="111"/>
  <c r="H27" i="102"/>
  <c r="AB38" i="102"/>
  <c r="W39" i="102"/>
  <c r="AI39" i="102"/>
  <c r="AB40" i="102"/>
  <c r="U41" i="102"/>
  <c r="AH41" i="102"/>
  <c r="AJ55" i="102"/>
  <c r="AH55" i="102"/>
  <c r="X54" i="102"/>
  <c r="AH53" i="102"/>
  <c r="W52" i="102"/>
  <c r="Y50" i="102"/>
  <c r="AB52" i="102"/>
  <c r="P53" i="102"/>
  <c r="I54" i="102"/>
  <c r="AJ54" i="102"/>
  <c r="AA55" i="102"/>
  <c r="W76" i="111"/>
  <c r="AE76" i="111"/>
  <c r="O24" i="102"/>
  <c r="AB24" i="102"/>
  <c r="C25" i="102"/>
  <c r="V25" i="102"/>
  <c r="AF25" i="102"/>
  <c r="O26" i="102"/>
  <c r="AC26" i="102"/>
  <c r="I33" i="102"/>
  <c r="Y36" i="102"/>
  <c r="AC38" i="102"/>
  <c r="Y39" i="102"/>
  <c r="AJ39" i="102"/>
  <c r="AC40" i="102"/>
  <c r="X41" i="102"/>
  <c r="C52" i="102"/>
  <c r="AC52" i="102"/>
  <c r="U53" i="102"/>
  <c r="J54" i="102"/>
  <c r="C55" i="102"/>
  <c r="AE55" i="102"/>
  <c r="AE59" i="102"/>
  <c r="AD60" i="102"/>
  <c r="AC61" i="102"/>
  <c r="AC62" i="102"/>
  <c r="U66" i="102"/>
  <c r="W67" i="102"/>
  <c r="X68" i="102"/>
  <c r="AA69" i="102"/>
  <c r="AG73" i="102"/>
  <c r="Y74" i="102"/>
  <c r="P78" i="102"/>
  <c r="Z80" i="102"/>
  <c r="R81" i="102"/>
  <c r="I82" i="102"/>
  <c r="AH82" i="102"/>
  <c r="AA83" i="102"/>
  <c r="X87" i="102"/>
  <c r="AD88" i="102"/>
  <c r="AE89" i="102"/>
  <c r="AI90" i="102"/>
  <c r="W94" i="102"/>
  <c r="AI95" i="102"/>
  <c r="Z96" i="102"/>
  <c r="U97" i="102"/>
  <c r="AE13" i="105"/>
  <c r="AG11" i="105"/>
  <c r="W13" i="105"/>
  <c r="F24" i="105"/>
  <c r="AB24" i="105"/>
  <c r="R25" i="105"/>
  <c r="AH25" i="105"/>
  <c r="Y26" i="105"/>
  <c r="H27" i="105"/>
  <c r="AC27" i="105"/>
  <c r="I31" i="105"/>
  <c r="Q32" i="105"/>
  <c r="F34" i="105"/>
  <c r="M38" i="105"/>
  <c r="X39" i="105"/>
  <c r="Z40" i="105"/>
  <c r="AE41" i="105"/>
  <c r="F53" i="105"/>
  <c r="G54" i="105"/>
  <c r="F55" i="105"/>
  <c r="AH8" i="107"/>
  <c r="U10" i="107"/>
  <c r="AI12" i="107"/>
  <c r="F20" i="107"/>
  <c r="AI59" i="105"/>
  <c r="AG61" i="105"/>
  <c r="AF62" i="105"/>
  <c r="AI60" i="105"/>
  <c r="AE62" i="105"/>
  <c r="U60" i="105"/>
  <c r="AD10" i="107"/>
  <c r="AD13" i="107"/>
  <c r="O18" i="107"/>
  <c r="AF31" i="107"/>
  <c r="AC33" i="107"/>
  <c r="AA38" i="107"/>
  <c r="W39" i="107"/>
  <c r="V40" i="107"/>
  <c r="AJ40" i="107"/>
  <c r="AI41" i="107"/>
  <c r="J45" i="107"/>
  <c r="G46" i="107"/>
  <c r="I47" i="107"/>
  <c r="AJ55" i="107"/>
  <c r="X55" i="107"/>
  <c r="AI54" i="107"/>
  <c r="X54" i="107"/>
  <c r="AG53" i="107"/>
  <c r="W53" i="107"/>
  <c r="AG52" i="107"/>
  <c r="W52" i="107"/>
  <c r="AC55" i="107"/>
  <c r="Y54" i="107"/>
  <c r="AF53" i="107"/>
  <c r="U53" i="107"/>
  <c r="AC52" i="107"/>
  <c r="AF55" i="107"/>
  <c r="AA54" i="107"/>
  <c r="AE53" i="107"/>
  <c r="Y52" i="107"/>
  <c r="AE52" i="107"/>
  <c r="AA53" i="107"/>
  <c r="AJ54" i="107"/>
  <c r="AE55" i="107"/>
  <c r="N66" i="107"/>
  <c r="C68" i="107"/>
  <c r="J69" i="107"/>
  <c r="P73" i="107"/>
  <c r="L75" i="107"/>
  <c r="Q10" i="109"/>
  <c r="P11" i="109"/>
  <c r="K12" i="109"/>
  <c r="K13" i="109"/>
  <c r="O17" i="109"/>
  <c r="P25" i="109"/>
  <c r="O26" i="109"/>
  <c r="Z34" i="109"/>
  <c r="V32" i="109"/>
  <c r="AG31" i="109"/>
  <c r="AD34" i="109"/>
  <c r="Z31" i="109"/>
  <c r="W34" i="109"/>
  <c r="V33" i="109"/>
  <c r="Y32" i="109"/>
  <c r="AB31" i="109"/>
  <c r="AF29" i="109"/>
  <c r="AF31" i="109"/>
  <c r="AE32" i="109"/>
  <c r="AB33" i="109"/>
  <c r="K45" i="109"/>
  <c r="J46" i="109"/>
  <c r="M47" i="109"/>
  <c r="U60" i="109"/>
  <c r="I13" i="108"/>
  <c r="Q12" i="108"/>
  <c r="I11" i="108"/>
  <c r="P10" i="108"/>
  <c r="C10" i="108"/>
  <c r="G13" i="108"/>
  <c r="N12" i="108"/>
  <c r="R11" i="108"/>
  <c r="G10" i="108"/>
  <c r="K13" i="108"/>
  <c r="P12" i="108"/>
  <c r="O11" i="108"/>
  <c r="J13" i="108"/>
  <c r="J12" i="108"/>
  <c r="N11" i="108"/>
  <c r="Q10" i="108"/>
  <c r="P8" i="108"/>
  <c r="N10" i="108"/>
  <c r="O13" i="108"/>
  <c r="H12" i="108"/>
  <c r="E11" i="108"/>
  <c r="E10" i="108"/>
  <c r="G11" i="108"/>
  <c r="R12" i="108"/>
  <c r="C10" i="109"/>
  <c r="Q11" i="109"/>
  <c r="O12" i="109"/>
  <c r="L13" i="109"/>
  <c r="AH41" i="109"/>
  <c r="AH39" i="109"/>
  <c r="AF38" i="109"/>
  <c r="AH40" i="109"/>
  <c r="U41" i="109"/>
  <c r="L62" i="109"/>
  <c r="R61" i="109"/>
  <c r="F61" i="109"/>
  <c r="O60" i="109"/>
  <c r="H59" i="109"/>
  <c r="F62" i="109"/>
  <c r="J61" i="109"/>
  <c r="Q60" i="109"/>
  <c r="C60" i="109"/>
  <c r="F59" i="109"/>
  <c r="G62" i="109"/>
  <c r="I61" i="109"/>
  <c r="L60" i="109"/>
  <c r="O59" i="109"/>
  <c r="P57" i="109"/>
  <c r="I62" i="109"/>
  <c r="G61" i="109"/>
  <c r="I60" i="109"/>
  <c r="K59" i="109"/>
  <c r="R59" i="109"/>
  <c r="C61" i="109"/>
  <c r="D62" i="109"/>
  <c r="H48" i="107"/>
  <c r="O47" i="107"/>
  <c r="M48" i="107"/>
  <c r="Q47" i="107"/>
  <c r="C47" i="107"/>
  <c r="J46" i="107"/>
  <c r="O45" i="107"/>
  <c r="C48" i="107"/>
  <c r="G47" i="107"/>
  <c r="K46" i="107"/>
  <c r="M45" i="107"/>
  <c r="P43" i="107"/>
  <c r="P45" i="107"/>
  <c r="N46" i="107"/>
  <c r="K47" i="107"/>
  <c r="K48" i="107"/>
  <c r="O62" i="107"/>
  <c r="M62" i="107"/>
  <c r="G61" i="107"/>
  <c r="G62" i="107"/>
  <c r="Q60" i="107"/>
  <c r="H59" i="107"/>
  <c r="R61" i="107"/>
  <c r="M60" i="107"/>
  <c r="D10" i="109"/>
  <c r="C11" i="109"/>
  <c r="R11" i="109"/>
  <c r="P12" i="109"/>
  <c r="R13" i="109"/>
  <c r="O27" i="109"/>
  <c r="G26" i="109"/>
  <c r="K24" i="109"/>
  <c r="K26" i="109"/>
  <c r="Q25" i="109"/>
  <c r="F24" i="109"/>
  <c r="Q27" i="109"/>
  <c r="D25" i="109"/>
  <c r="J24" i="109"/>
  <c r="M48" i="109"/>
  <c r="C48" i="109"/>
  <c r="K47" i="109"/>
  <c r="I46" i="109"/>
  <c r="P45" i="109"/>
  <c r="F45" i="109"/>
  <c r="H48" i="109"/>
  <c r="Q47" i="109"/>
  <c r="E47" i="109"/>
  <c r="K46" i="109"/>
  <c r="R45" i="109"/>
  <c r="E45" i="109"/>
  <c r="O48" i="109"/>
  <c r="G47" i="109"/>
  <c r="L46" i="109"/>
  <c r="O45" i="109"/>
  <c r="F48" i="109"/>
  <c r="J47" i="109"/>
  <c r="M46" i="109"/>
  <c r="N45" i="109"/>
  <c r="P43" i="109"/>
  <c r="Q46" i="109"/>
  <c r="O47" i="109"/>
  <c r="N48" i="109"/>
  <c r="AA62" i="109"/>
  <c r="Z59" i="109"/>
  <c r="E60" i="109"/>
  <c r="D61" i="109"/>
  <c r="E62" i="109"/>
  <c r="AC27" i="108"/>
  <c r="AB27" i="108"/>
  <c r="V25" i="108"/>
  <c r="V27" i="108"/>
  <c r="AE26" i="108"/>
  <c r="AJ27" i="108"/>
  <c r="AC24" i="108"/>
  <c r="U26" i="108"/>
  <c r="AC25" i="108"/>
  <c r="AI24" i="108"/>
  <c r="U25" i="108"/>
  <c r="AE24" i="108"/>
  <c r="AD27" i="108"/>
  <c r="AJ26" i="108"/>
  <c r="W24" i="108"/>
  <c r="AE25" i="108"/>
  <c r="AA26" i="108"/>
  <c r="P66" i="105"/>
  <c r="C68" i="105"/>
  <c r="J13" i="107"/>
  <c r="I12" i="107"/>
  <c r="Q11" i="107"/>
  <c r="G11" i="107"/>
  <c r="O10" i="107"/>
  <c r="D10" i="107"/>
  <c r="K13" i="107"/>
  <c r="P12" i="107"/>
  <c r="J10" i="107"/>
  <c r="D11" i="107"/>
  <c r="P11" i="107"/>
  <c r="K12" i="107"/>
  <c r="H13" i="107"/>
  <c r="AE38" i="107"/>
  <c r="AC39" i="107"/>
  <c r="AA40" i="107"/>
  <c r="Q45" i="107"/>
  <c r="O46" i="107"/>
  <c r="M47" i="107"/>
  <c r="N48" i="107"/>
  <c r="AJ52" i="107"/>
  <c r="AD53" i="107"/>
  <c r="AB54" i="107"/>
  <c r="V55" i="107"/>
  <c r="AF61" i="107"/>
  <c r="AG59" i="107"/>
  <c r="AH59" i="107"/>
  <c r="R60" i="107"/>
  <c r="AH62" i="107"/>
  <c r="J68" i="107"/>
  <c r="L74" i="107"/>
  <c r="H10" i="109"/>
  <c r="E11" i="109"/>
  <c r="Q12" i="109"/>
  <c r="AG27" i="109"/>
  <c r="AE26" i="109"/>
  <c r="U25" i="109"/>
  <c r="AF24" i="109"/>
  <c r="Y27" i="109"/>
  <c r="AG26" i="109"/>
  <c r="AB24" i="109"/>
  <c r="X26" i="109"/>
  <c r="AD25" i="109"/>
  <c r="AD24" i="109"/>
  <c r="Z25" i="109"/>
  <c r="Z26" i="109"/>
  <c r="Z27" i="109"/>
  <c r="K31" i="109"/>
  <c r="I32" i="109"/>
  <c r="F33" i="109"/>
  <c r="R46" i="109"/>
  <c r="R47" i="109"/>
  <c r="P48" i="109"/>
  <c r="C59" i="109"/>
  <c r="G60" i="109"/>
  <c r="E61" i="109"/>
  <c r="K62" i="109"/>
  <c r="I10" i="108"/>
  <c r="C13" i="108"/>
  <c r="AH22" i="108" a="1"/>
  <c r="Y24" i="108"/>
  <c r="AH25" i="108"/>
  <c r="M69" i="105"/>
  <c r="K68" i="105"/>
  <c r="G67" i="105"/>
  <c r="F66" i="105"/>
  <c r="R66" i="105"/>
  <c r="G68" i="105"/>
  <c r="K69" i="105"/>
  <c r="N34" i="107"/>
  <c r="F34" i="107"/>
  <c r="O32" i="107"/>
  <c r="D31" i="107"/>
  <c r="AC41" i="107"/>
  <c r="AH40" i="107"/>
  <c r="W40" i="107"/>
  <c r="AB39" i="107"/>
  <c r="AH38" i="107"/>
  <c r="W38" i="107"/>
  <c r="Y41" i="107"/>
  <c r="AC40" i="107"/>
  <c r="AG39" i="107"/>
  <c r="U39" i="107"/>
  <c r="Z38" i="107"/>
  <c r="AG38" i="107"/>
  <c r="AD39" i="107"/>
  <c r="AB40" i="107"/>
  <c r="AB41" i="107"/>
  <c r="C45" i="107"/>
  <c r="R45" i="107"/>
  <c r="P46" i="107"/>
  <c r="P47" i="107"/>
  <c r="O48" i="107"/>
  <c r="E61" i="107"/>
  <c r="R76" i="107"/>
  <c r="M76" i="107"/>
  <c r="K75" i="107"/>
  <c r="G74" i="107"/>
  <c r="C73" i="107"/>
  <c r="I69" i="107"/>
  <c r="I68" i="107"/>
  <c r="K67" i="107"/>
  <c r="J66" i="107"/>
  <c r="J76" i="107"/>
  <c r="R74" i="107"/>
  <c r="M73" i="107"/>
  <c r="M69" i="107"/>
  <c r="N68" i="107"/>
  <c r="L67" i="107"/>
  <c r="G66" i="107"/>
  <c r="P75" i="107"/>
  <c r="E74" i="107"/>
  <c r="O68" i="107"/>
  <c r="E67" i="107"/>
  <c r="C66" i="107"/>
  <c r="D67" i="107"/>
  <c r="Q68" i="107"/>
  <c r="P74" i="107"/>
  <c r="K76" i="107"/>
  <c r="K10" i="109"/>
  <c r="F11" i="109"/>
  <c r="K20" i="109"/>
  <c r="G19" i="109"/>
  <c r="R17" i="109"/>
  <c r="G17" i="109"/>
  <c r="D24" i="109"/>
  <c r="C45" i="109"/>
  <c r="C46" i="109"/>
  <c r="Q48" i="109"/>
  <c r="E59" i="109"/>
  <c r="H60" i="109"/>
  <c r="M61" i="109"/>
  <c r="N62" i="109"/>
  <c r="L10" i="108"/>
  <c r="D13" i="108"/>
  <c r="U20" i="108"/>
  <c r="AE19" i="108"/>
  <c r="AG18" i="108"/>
  <c r="U17" i="108"/>
  <c r="AG20" i="108"/>
  <c r="AH20" i="108"/>
  <c r="AG19" i="108"/>
  <c r="AF18" i="108"/>
  <c r="AG17" i="108"/>
  <c r="AF20" i="108"/>
  <c r="AF19" i="108"/>
  <c r="AE18" i="108"/>
  <c r="AF17" i="108"/>
  <c r="AJ19" i="108"/>
  <c r="AJ20" i="108"/>
  <c r="AI18" i="108"/>
  <c r="AE17" i="108"/>
  <c r="U19" i="108"/>
  <c r="AJ13" i="110"/>
  <c r="X13" i="110"/>
  <c r="AD12" i="110"/>
  <c r="AB13" i="110"/>
  <c r="AI12" i="110"/>
  <c r="Y11" i="110"/>
  <c r="AF10" i="110"/>
  <c r="U10" i="110"/>
  <c r="AI13" i="110"/>
  <c r="W12" i="110"/>
  <c r="AA11" i="110"/>
  <c r="AE10" i="110"/>
  <c r="Y13" i="110"/>
  <c r="AA12" i="110"/>
  <c r="AB11" i="110"/>
  <c r="AD10" i="110"/>
  <c r="AH8" i="110"/>
  <c r="AE13" i="110"/>
  <c r="AC12" i="110"/>
  <c r="AD11" i="110"/>
  <c r="AC10" i="110"/>
  <c r="AI11" i="110"/>
  <c r="AJ12" i="110"/>
  <c r="X11" i="110"/>
  <c r="Y10" i="110"/>
  <c r="AE12" i="110"/>
  <c r="V11" i="110"/>
  <c r="V10" i="110"/>
  <c r="AB12" i="110"/>
  <c r="U11" i="110"/>
  <c r="AD13" i="110"/>
  <c r="U12" i="110"/>
  <c r="AA13" i="110"/>
  <c r="AJ11" i="110"/>
  <c r="AJ10" i="110"/>
  <c r="U13" i="110"/>
  <c r="AF11" i="110"/>
  <c r="AE11" i="110"/>
  <c r="AG13" i="110"/>
  <c r="AB10" i="110"/>
  <c r="W13" i="110"/>
  <c r="AA10" i="110"/>
  <c r="G13" i="109"/>
  <c r="M12" i="109"/>
  <c r="I11" i="109"/>
  <c r="G10" i="109"/>
  <c r="O13" i="109"/>
  <c r="E12" i="109"/>
  <c r="N11" i="109"/>
  <c r="F10" i="109"/>
  <c r="D13" i="109"/>
  <c r="G12" i="109"/>
  <c r="M11" i="109"/>
  <c r="P10" i="109"/>
  <c r="M10" i="109"/>
  <c r="H11" i="109"/>
  <c r="H12" i="109"/>
  <c r="I13" i="109"/>
  <c r="U101" i="102"/>
  <c r="AF101" i="102"/>
  <c r="AE102" i="102"/>
  <c r="AC103" i="102"/>
  <c r="AD48" i="105"/>
  <c r="AJ47" i="105"/>
  <c r="C66" i="105"/>
  <c r="H67" i="105"/>
  <c r="O68" i="105"/>
  <c r="L76" i="105"/>
  <c r="N76" i="105"/>
  <c r="M75" i="105"/>
  <c r="M74" i="105"/>
  <c r="K73" i="105"/>
  <c r="D74" i="105"/>
  <c r="H75" i="105"/>
  <c r="H76" i="105"/>
  <c r="C10" i="107"/>
  <c r="P10" i="107"/>
  <c r="J11" i="107"/>
  <c r="D12" i="107"/>
  <c r="R12" i="107"/>
  <c r="P13" i="107"/>
  <c r="R27" i="107"/>
  <c r="D24" i="107"/>
  <c r="I25" i="107"/>
  <c r="I27" i="107"/>
  <c r="C32" i="107"/>
  <c r="Y38" i="107"/>
  <c r="V39" i="107"/>
  <c r="AJ39" i="107"/>
  <c r="AI40" i="107"/>
  <c r="AF41" i="107"/>
  <c r="H45" i="107"/>
  <c r="F46" i="107"/>
  <c r="F47" i="107"/>
  <c r="E48" i="107"/>
  <c r="L55" i="107"/>
  <c r="D55" i="107"/>
  <c r="D52" i="107"/>
  <c r="Q55" i="107"/>
  <c r="L53" i="107"/>
  <c r="AB52" i="107"/>
  <c r="X53" i="107"/>
  <c r="L54" i="107"/>
  <c r="AG54" i="107"/>
  <c r="AD55" i="107"/>
  <c r="X59" i="107"/>
  <c r="X61" i="107"/>
  <c r="M66" i="107"/>
  <c r="R67" i="107"/>
  <c r="E69" i="107"/>
  <c r="K73" i="107"/>
  <c r="H75" i="107"/>
  <c r="P8" i="109"/>
  <c r="O10" i="109"/>
  <c r="O11" i="109"/>
  <c r="J12" i="109"/>
  <c r="J13" i="109"/>
  <c r="F17" i="109"/>
  <c r="N25" i="109"/>
  <c r="M26" i="109"/>
  <c r="J27" i="109"/>
  <c r="C34" i="109"/>
  <c r="N33" i="109"/>
  <c r="P31" i="109"/>
  <c r="E34" i="109"/>
  <c r="G34" i="109"/>
  <c r="I33" i="109"/>
  <c r="R32" i="109"/>
  <c r="C31" i="109"/>
  <c r="Y31" i="109"/>
  <c r="Z32" i="109"/>
  <c r="AA33" i="109"/>
  <c r="AH34" i="109"/>
  <c r="AD38" i="109"/>
  <c r="J45" i="109"/>
  <c r="H46" i="109"/>
  <c r="I47" i="109"/>
  <c r="G48" i="109"/>
  <c r="N59" i="109"/>
  <c r="R60" i="109"/>
  <c r="Q61" i="109"/>
  <c r="AE62" i="109"/>
  <c r="D11" i="108"/>
  <c r="I12" i="108"/>
  <c r="R13" i="108"/>
  <c r="AI20" i="108"/>
  <c r="AG27" i="107"/>
  <c r="AJ27" i="107"/>
  <c r="AA26" i="107"/>
  <c r="W25" i="107"/>
  <c r="AA25" i="107"/>
  <c r="AJ26" i="107"/>
  <c r="AE13" i="109"/>
  <c r="AG13" i="109"/>
  <c r="AE11" i="109"/>
  <c r="X10" i="109"/>
  <c r="W12" i="109"/>
  <c r="Z10" i="109"/>
  <c r="AH13" i="109"/>
  <c r="AE31" i="108"/>
  <c r="C46" i="108"/>
  <c r="AG52" i="108"/>
  <c r="N48" i="108"/>
  <c r="C48" i="108"/>
  <c r="I47" i="108"/>
  <c r="O46" i="108"/>
  <c r="E46" i="108"/>
  <c r="K45" i="108"/>
  <c r="P48" i="108"/>
  <c r="E48" i="108"/>
  <c r="H47" i="108"/>
  <c r="M46" i="108"/>
  <c r="R45" i="108"/>
  <c r="G45" i="108"/>
  <c r="Q48" i="108"/>
  <c r="R47" i="108"/>
  <c r="E47" i="108"/>
  <c r="H46" i="108"/>
  <c r="M45" i="108"/>
  <c r="P43" i="108" a="1"/>
  <c r="P43" i="108" s="1"/>
  <c r="H48" i="108"/>
  <c r="K47" i="108"/>
  <c r="N46" i="108"/>
  <c r="Q45" i="108"/>
  <c r="C45" i="108"/>
  <c r="F48" i="108"/>
  <c r="R46" i="108"/>
  <c r="Q47" i="108"/>
  <c r="Q46" i="108"/>
  <c r="P45" i="108"/>
  <c r="M48" i="108"/>
  <c r="M47" i="108"/>
  <c r="I46" i="108"/>
  <c r="I45" i="108"/>
  <c r="K48" i="108"/>
  <c r="J47" i="108"/>
  <c r="G46" i="108"/>
  <c r="H45" i="108"/>
  <c r="F46" i="108"/>
  <c r="I48" i="108"/>
  <c r="AH34" i="108"/>
  <c r="AE34" i="108"/>
  <c r="V34" i="108"/>
  <c r="AD33" i="108"/>
  <c r="U33" i="108"/>
  <c r="AB32" i="108"/>
  <c r="AC34" i="108"/>
  <c r="AJ33" i="108"/>
  <c r="Y33" i="108"/>
  <c r="AE32" i="108"/>
  <c r="U32" i="108"/>
  <c r="AC31" i="108"/>
  <c r="Y34" i="108"/>
  <c r="AE33" i="108"/>
  <c r="AI32" i="108"/>
  <c r="W32" i="108"/>
  <c r="AD31" i="108"/>
  <c r="AH29" i="108" a="1"/>
  <c r="AH29" i="108" s="1"/>
  <c r="AD34" i="108"/>
  <c r="AI33" i="108"/>
  <c r="W33" i="108"/>
  <c r="AA32" i="108"/>
  <c r="AG31" i="108"/>
  <c r="W31" i="108"/>
  <c r="AF34" i="108"/>
  <c r="AF33" i="108"/>
  <c r="AF32" i="108"/>
  <c r="AI31" i="108"/>
  <c r="U31" i="108"/>
  <c r="AB34" i="108"/>
  <c r="AC33" i="108"/>
  <c r="AD32" i="108"/>
  <c r="AF31" i="108"/>
  <c r="W34" i="108"/>
  <c r="X33" i="108"/>
  <c r="X32" i="108"/>
  <c r="AA31" i="108"/>
  <c r="AJ34" i="108"/>
  <c r="U34" i="108"/>
  <c r="V33" i="108"/>
  <c r="V32" i="108"/>
  <c r="Y31" i="108"/>
  <c r="AC32" i="108"/>
  <c r="AA34" i="108"/>
  <c r="E45" i="108"/>
  <c r="C47" i="108"/>
  <c r="P47" i="108"/>
  <c r="AG55" i="108"/>
  <c r="W55" i="108"/>
  <c r="AF54" i="108"/>
  <c r="U54" i="108"/>
  <c r="AA55" i="108"/>
  <c r="AG54" i="108"/>
  <c r="AB53" i="108"/>
  <c r="AI52" i="108"/>
  <c r="Y52" i="108"/>
  <c r="AI55" i="108"/>
  <c r="AJ54" i="108"/>
  <c r="X54" i="108"/>
  <c r="AA53" i="108"/>
  <c r="AF52" i="108"/>
  <c r="AH50" i="108" a="1"/>
  <c r="AH50" i="108" s="1"/>
  <c r="X55" i="108"/>
  <c r="W54" i="108"/>
  <c r="AJ53" i="108"/>
  <c r="W53" i="108"/>
  <c r="X52" i="108"/>
  <c r="AC55" i="108"/>
  <c r="AA54" i="108"/>
  <c r="AC53" i="108"/>
  <c r="AB52" i="108"/>
  <c r="AB55" i="108"/>
  <c r="AI54" i="108"/>
  <c r="Z53" i="108"/>
  <c r="AJ52" i="108"/>
  <c r="Z55" i="108"/>
  <c r="AH54" i="108"/>
  <c r="X53" i="108"/>
  <c r="AH52" i="108"/>
  <c r="U55" i="108"/>
  <c r="AE54" i="108"/>
  <c r="Z54" i="108"/>
  <c r="AI53" i="108"/>
  <c r="AA52" i="108"/>
  <c r="AJ55" i="108"/>
  <c r="Y54" i="108"/>
  <c r="AG53" i="108"/>
  <c r="Z52" i="108"/>
  <c r="AE52" i="108"/>
  <c r="AE53" i="108"/>
  <c r="AB54" i="108"/>
  <c r="AG18" i="110"/>
  <c r="C62" i="110"/>
  <c r="Q61" i="110"/>
  <c r="K60" i="110"/>
  <c r="H59" i="110"/>
  <c r="P62" i="110"/>
  <c r="H61" i="110"/>
  <c r="Q60" i="110"/>
  <c r="K59" i="110"/>
  <c r="I61" i="110"/>
  <c r="P60" i="110"/>
  <c r="Q62" i="110"/>
  <c r="C60" i="110"/>
  <c r="E59" i="110"/>
  <c r="D61" i="110"/>
  <c r="H62" i="110"/>
  <c r="E61" i="110"/>
  <c r="P57" i="110" a="1"/>
  <c r="P57" i="110" s="1"/>
  <c r="M62" i="110"/>
  <c r="P61" i="110"/>
  <c r="I60" i="110"/>
  <c r="L59" i="110"/>
  <c r="K61" i="110"/>
  <c r="G9" i="81"/>
  <c r="D9" i="81"/>
  <c r="J9" i="81"/>
  <c r="C9" i="81"/>
  <c r="H9" i="81"/>
  <c r="K9" i="81"/>
  <c r="L34" i="108"/>
  <c r="F31" i="108"/>
  <c r="O61" i="108"/>
  <c r="P57" i="108" a="1"/>
  <c r="M60" i="108"/>
  <c r="R61" i="110"/>
  <c r="E9" i="81"/>
  <c r="F68" i="110"/>
  <c r="C67" i="110"/>
  <c r="P64" i="110" a="1"/>
  <c r="N69" i="110"/>
  <c r="H66" i="110"/>
  <c r="G66" i="110"/>
  <c r="G69" i="110"/>
  <c r="P67" i="110"/>
  <c r="H10" i="81"/>
  <c r="K10" i="81"/>
  <c r="J10" i="81"/>
  <c r="E10" i="81"/>
  <c r="D10" i="81"/>
  <c r="D20" i="110"/>
  <c r="I18" i="110"/>
  <c r="E17" i="110"/>
  <c r="O20" i="110"/>
  <c r="F18" i="110"/>
  <c r="Q20" i="110"/>
  <c r="D18" i="110"/>
  <c r="M17" i="110"/>
  <c r="P20" i="110"/>
  <c r="I19" i="110"/>
  <c r="P18" i="110"/>
  <c r="P17" i="110"/>
  <c r="P15" i="110" a="1"/>
  <c r="AF17" i="110"/>
  <c r="G19" i="110"/>
  <c r="D59" i="110"/>
  <c r="M60" i="110"/>
  <c r="G11" i="81"/>
  <c r="K11" i="81"/>
  <c r="C11" i="81"/>
  <c r="H11" i="81"/>
  <c r="AG19" i="105"/>
  <c r="E46" i="105"/>
  <c r="K59" i="105"/>
  <c r="L60" i="105"/>
  <c r="C61" i="105"/>
  <c r="M61" i="105"/>
  <c r="F62" i="105"/>
  <c r="W47" i="107"/>
  <c r="AF48" i="107"/>
  <c r="P41" i="109"/>
  <c r="R40" i="109"/>
  <c r="D39" i="109"/>
  <c r="I38" i="109"/>
  <c r="L41" i="109"/>
  <c r="M40" i="109"/>
  <c r="M39" i="109"/>
  <c r="N38" i="109"/>
  <c r="C40" i="109"/>
  <c r="G41" i="109"/>
  <c r="AF48" i="109"/>
  <c r="AC46" i="109"/>
  <c r="AA47" i="109"/>
  <c r="AD69" i="109"/>
  <c r="U68" i="109"/>
  <c r="AF68" i="109"/>
  <c r="U67" i="109"/>
  <c r="I59" i="108"/>
  <c r="AH20" i="110"/>
  <c r="AC20" i="110"/>
  <c r="V19" i="110"/>
  <c r="AF18" i="110"/>
  <c r="AC17" i="110"/>
  <c r="X19" i="110"/>
  <c r="AD18" i="110"/>
  <c r="U17" i="110"/>
  <c r="Y19" i="110"/>
  <c r="AC18" i="110"/>
  <c r="Y20" i="110"/>
  <c r="U19" i="110"/>
  <c r="W18" i="110"/>
  <c r="AD17" i="110"/>
  <c r="AH15" i="110" a="1"/>
  <c r="AH15" i="110" s="1"/>
  <c r="AD20" i="110"/>
  <c r="AC19" i="110"/>
  <c r="Y18" i="110"/>
  <c r="AA17" i="110"/>
  <c r="AF20" i="110"/>
  <c r="N59" i="110"/>
  <c r="D62" i="110"/>
  <c r="E11" i="81"/>
  <c r="J21" i="81"/>
  <c r="AG13" i="108"/>
  <c r="AI11" i="108"/>
  <c r="AJ10" i="108"/>
  <c r="AE10" i="108"/>
  <c r="J61" i="108"/>
  <c r="AA19" i="110"/>
  <c r="M55" i="110"/>
  <c r="Q55" i="110"/>
  <c r="H55" i="110"/>
  <c r="O54" i="110"/>
  <c r="F54" i="110"/>
  <c r="N53" i="110"/>
  <c r="D53" i="110"/>
  <c r="L52" i="110"/>
  <c r="C52" i="110"/>
  <c r="O55" i="110"/>
  <c r="D55" i="110"/>
  <c r="I54" i="110"/>
  <c r="O53" i="110"/>
  <c r="C53" i="110"/>
  <c r="I52" i="110"/>
  <c r="P50" i="110" a="1"/>
  <c r="P50" i="110" s="1"/>
  <c r="I55" i="110"/>
  <c r="J54" i="110"/>
  <c r="K53" i="110"/>
  <c r="O52" i="110"/>
  <c r="G55" i="110"/>
  <c r="R54" i="110"/>
  <c r="D54" i="110"/>
  <c r="R53" i="110"/>
  <c r="F53" i="110"/>
  <c r="Q52" i="110"/>
  <c r="D52" i="110"/>
  <c r="P55" i="110"/>
  <c r="K54" i="110"/>
  <c r="G53" i="110"/>
  <c r="P52" i="110"/>
  <c r="L55" i="110"/>
  <c r="J53" i="110"/>
  <c r="H54" i="110"/>
  <c r="Q53" i="110"/>
  <c r="H52" i="110"/>
  <c r="R52" i="110"/>
  <c r="I53" i="110"/>
  <c r="C54" i="110"/>
  <c r="P59" i="110"/>
  <c r="J62" i="110"/>
  <c r="J66" i="110"/>
  <c r="J11" i="81"/>
  <c r="D18" i="81"/>
  <c r="E18" i="81"/>
  <c r="K18" i="81"/>
  <c r="G27" i="81"/>
  <c r="J27" i="81"/>
  <c r="K27" i="81"/>
  <c r="E27" i="81"/>
  <c r="H27" i="81"/>
  <c r="C27" i="81"/>
  <c r="J55" i="108"/>
  <c r="M55" i="108"/>
  <c r="Q54" i="108"/>
  <c r="E54" i="108"/>
  <c r="O53" i="108"/>
  <c r="J52" i="108"/>
  <c r="P50" i="108" a="1"/>
  <c r="P50" i="108" s="1"/>
  <c r="R55" i="108"/>
  <c r="F54" i="108"/>
  <c r="K53" i="108"/>
  <c r="P52" i="108"/>
  <c r="M52" i="108"/>
  <c r="I53" i="108"/>
  <c r="K54" i="108"/>
  <c r="K55" i="108"/>
  <c r="J10" i="110"/>
  <c r="M11" i="110"/>
  <c r="E34" i="110"/>
  <c r="P29" i="110" a="1"/>
  <c r="P33" i="110"/>
  <c r="E31" i="110"/>
  <c r="M32" i="110"/>
  <c r="I31" i="110"/>
  <c r="H32" i="110"/>
  <c r="G76" i="110"/>
  <c r="P71" i="110" a="1"/>
  <c r="K32" i="81"/>
  <c r="J32" i="81"/>
  <c r="D32" i="81"/>
  <c r="F43" i="81"/>
  <c r="G43" i="81"/>
  <c r="I43" i="81"/>
  <c r="K43" i="81"/>
  <c r="D43" i="81"/>
  <c r="C43" i="81"/>
  <c r="L43" i="81"/>
  <c r="F40" i="81"/>
  <c r="I40" i="81"/>
  <c r="G40" i="81"/>
  <c r="C40" i="81"/>
  <c r="K40" i="81"/>
  <c r="F48" i="81"/>
  <c r="K48" i="81"/>
  <c r="I48" i="81"/>
  <c r="AH54" i="109"/>
  <c r="AH53" i="109"/>
  <c r="K76" i="109"/>
  <c r="P75" i="109"/>
  <c r="D75" i="109"/>
  <c r="G74" i="109"/>
  <c r="K73" i="109"/>
  <c r="J69" i="109"/>
  <c r="H68" i="109"/>
  <c r="P67" i="109"/>
  <c r="E67" i="109"/>
  <c r="O66" i="109"/>
  <c r="D66" i="109"/>
  <c r="M66" i="109"/>
  <c r="D67" i="109"/>
  <c r="J68" i="109"/>
  <c r="Q69" i="109"/>
  <c r="G73" i="109"/>
  <c r="D74" i="109"/>
  <c r="Q74" i="109"/>
  <c r="Q75" i="109"/>
  <c r="M76" i="109"/>
  <c r="Q41" i="108"/>
  <c r="F40" i="108"/>
  <c r="I39" i="108"/>
  <c r="Q38" i="108"/>
  <c r="E41" i="108"/>
  <c r="K40" i="108"/>
  <c r="L39" i="108"/>
  <c r="P38" i="108"/>
  <c r="P36" i="108" a="1"/>
  <c r="P36" i="108" s="1"/>
  <c r="K38" i="108"/>
  <c r="N39" i="108"/>
  <c r="P40" i="108"/>
  <c r="K41" i="108"/>
  <c r="E52" i="108"/>
  <c r="C53" i="108"/>
  <c r="C55" i="108"/>
  <c r="AD61" i="108"/>
  <c r="AC59" i="108"/>
  <c r="AB61" i="108"/>
  <c r="N12" i="110"/>
  <c r="G12" i="110"/>
  <c r="L12" i="110"/>
  <c r="Q13" i="110"/>
  <c r="I10" i="110"/>
  <c r="H16" i="81"/>
  <c r="D16" i="81"/>
  <c r="E16" i="81"/>
  <c r="D24" i="81"/>
  <c r="K24" i="81"/>
  <c r="H33" i="81"/>
  <c r="E33" i="81"/>
  <c r="G45" i="81"/>
  <c r="H45" i="81" s="1"/>
  <c r="G48" i="81"/>
  <c r="F49" i="81"/>
  <c r="L49" i="81"/>
  <c r="G49" i="81"/>
  <c r="H49" i="81" s="1"/>
  <c r="F17" i="108"/>
  <c r="Q17" i="108"/>
  <c r="C18" i="108"/>
  <c r="M18" i="108"/>
  <c r="I19" i="108"/>
  <c r="F20" i="108"/>
  <c r="O24" i="108"/>
  <c r="D25" i="108"/>
  <c r="M26" i="108"/>
  <c r="E27" i="108"/>
  <c r="H76" i="108"/>
  <c r="Q76" i="108"/>
  <c r="J75" i="108"/>
  <c r="I74" i="108"/>
  <c r="D73" i="108"/>
  <c r="G76" i="108"/>
  <c r="Q74" i="108"/>
  <c r="N73" i="108"/>
  <c r="F74" i="108"/>
  <c r="R75" i="108"/>
  <c r="AF27" i="110"/>
  <c r="U27" i="110"/>
  <c r="AA27" i="110"/>
  <c r="AG26" i="110"/>
  <c r="W26" i="110"/>
  <c r="AE25" i="110"/>
  <c r="AA24" i="110"/>
  <c r="AH22" i="110" a="1"/>
  <c r="AH22" i="110" s="1"/>
  <c r="AC27" i="110"/>
  <c r="AH26" i="110"/>
  <c r="U26" i="110"/>
  <c r="AB25" i="110"/>
  <c r="AH24" i="110"/>
  <c r="W24" i="110"/>
  <c r="AB27" i="110"/>
  <c r="AE26" i="110"/>
  <c r="AJ25" i="110"/>
  <c r="W25" i="110"/>
  <c r="Z24" i="110"/>
  <c r="AE24" i="110"/>
  <c r="AA25" i="110"/>
  <c r="Y26" i="110"/>
  <c r="W27" i="110"/>
  <c r="Z34" i="110"/>
  <c r="X33" i="110"/>
  <c r="AA32" i="110"/>
  <c r="AD31" i="110"/>
  <c r="AH29" i="110" a="1"/>
  <c r="AH29" i="110" s="1"/>
  <c r="AB34" i="110"/>
  <c r="AB33" i="110"/>
  <c r="Z32" i="110"/>
  <c r="AB31" i="110"/>
  <c r="W34" i="110"/>
  <c r="AI31" i="110"/>
  <c r="AD33" i="110"/>
  <c r="AE33" i="110"/>
  <c r="AB48" i="110"/>
  <c r="AI48" i="110"/>
  <c r="X46" i="110"/>
  <c r="AG45" i="110"/>
  <c r="AA47" i="110"/>
  <c r="X45" i="110"/>
  <c r="Y48" i="110"/>
  <c r="AH45" i="110"/>
  <c r="W48" i="110"/>
  <c r="AJ46" i="110"/>
  <c r="AD45" i="110"/>
  <c r="W46" i="110"/>
  <c r="AF47" i="110"/>
  <c r="AI55" i="110"/>
  <c r="AC54" i="110"/>
  <c r="AA53" i="110"/>
  <c r="Y52" i="110"/>
  <c r="AF55" i="110"/>
  <c r="U54" i="110"/>
  <c r="AD53" i="110"/>
  <c r="U52" i="110"/>
  <c r="AA55" i="110"/>
  <c r="Y54" i="110"/>
  <c r="AB53" i="110"/>
  <c r="AF52" i="110"/>
  <c r="AH50" i="110" a="1"/>
  <c r="AH50" i="110" s="1"/>
  <c r="AB55" i="110"/>
  <c r="V53" i="110"/>
  <c r="AF54" i="110"/>
  <c r="AA62" i="110"/>
  <c r="U62" i="110"/>
  <c r="AE60" i="110"/>
  <c r="AB59" i="110"/>
  <c r="AA61" i="110"/>
  <c r="AH59" i="110"/>
  <c r="AB62" i="110"/>
  <c r="AJ61" i="110"/>
  <c r="W59" i="110"/>
  <c r="AH57" i="110" a="1"/>
  <c r="W61" i="110"/>
  <c r="AD60" i="110"/>
  <c r="AI59" i="110"/>
  <c r="AF61" i="110"/>
  <c r="AF62" i="110"/>
  <c r="G17" i="81"/>
  <c r="K17" i="81"/>
  <c r="J17" i="81"/>
  <c r="D17" i="81"/>
  <c r="G19" i="81"/>
  <c r="E19" i="81"/>
  <c r="H19" i="81"/>
  <c r="C19" i="81"/>
  <c r="I41" i="81"/>
  <c r="J41" i="81" s="1"/>
  <c r="G41" i="81"/>
  <c r="H41" i="81" s="1"/>
  <c r="K41" i="81"/>
  <c r="M41" i="81" s="1"/>
  <c r="C41" i="81"/>
  <c r="D41" i="81"/>
  <c r="F53" i="81"/>
  <c r="G53" i="81"/>
  <c r="K53" i="81"/>
  <c r="I54" i="81"/>
  <c r="K54" i="81"/>
  <c r="D54" i="81"/>
  <c r="L54" i="81"/>
  <c r="G54" i="81"/>
  <c r="F54" i="81"/>
  <c r="C54" i="81"/>
  <c r="K69" i="108"/>
  <c r="M68" i="108"/>
  <c r="C68" i="108"/>
  <c r="Q67" i="108"/>
  <c r="F67" i="108"/>
  <c r="J66" i="108"/>
  <c r="F66" i="108"/>
  <c r="R66" i="108"/>
  <c r="G67" i="108"/>
  <c r="I68" i="108"/>
  <c r="I69" i="108"/>
  <c r="M41" i="110"/>
  <c r="R40" i="110"/>
  <c r="R38" i="110"/>
  <c r="M40" i="110"/>
  <c r="J39" i="110"/>
  <c r="D38" i="110"/>
  <c r="D41" i="110"/>
  <c r="K39" i="110"/>
  <c r="O38" i="110"/>
  <c r="F40" i="110"/>
  <c r="G25" i="81"/>
  <c r="J25" i="81"/>
  <c r="E25" i="81"/>
  <c r="D47" i="81"/>
  <c r="D70" i="81"/>
  <c r="E70" i="81" s="1"/>
  <c r="F75" i="81"/>
  <c r="D75" i="81"/>
  <c r="C89" i="81"/>
  <c r="F94" i="81"/>
  <c r="C75" i="81"/>
  <c r="J78" i="81"/>
  <c r="C78" i="81"/>
  <c r="E78" i="81" s="1"/>
  <c r="F89" i="81"/>
  <c r="G108" i="81"/>
  <c r="E108" i="81"/>
  <c r="F108" i="81" s="1"/>
  <c r="D108" i="81"/>
  <c r="I68" i="81"/>
  <c r="D68" i="81"/>
  <c r="G70" i="81"/>
  <c r="G73" i="81"/>
  <c r="F73" i="81"/>
  <c r="I75" i="81"/>
  <c r="E117" i="81"/>
  <c r="D117" i="81"/>
  <c r="J58" i="81"/>
  <c r="C68" i="81"/>
  <c r="C85" i="81"/>
  <c r="F88" i="81"/>
  <c r="D88" i="81"/>
  <c r="G88" i="81"/>
  <c r="C88" i="81"/>
  <c r="C117" i="81"/>
  <c r="H57" i="81"/>
  <c r="J68" i="81"/>
  <c r="G78" i="81"/>
  <c r="H78" i="81" s="1"/>
  <c r="G85" i="81"/>
  <c r="G105" i="81"/>
  <c r="E105" i="81"/>
  <c r="G117" i="81"/>
  <c r="V66" i="108"/>
  <c r="AE66" i="108"/>
  <c r="AB67" i="108"/>
  <c r="Y68" i="108"/>
  <c r="AI68" i="108"/>
  <c r="V69" i="108"/>
  <c r="AE69" i="108"/>
  <c r="G26" i="110"/>
  <c r="O25" i="110"/>
  <c r="G39" i="81"/>
  <c r="H39" i="81" s="1"/>
  <c r="D39" i="81"/>
  <c r="E39" i="81" s="1"/>
  <c r="C55" i="81"/>
  <c r="E55" i="81" s="1"/>
  <c r="G59" i="81"/>
  <c r="F59" i="81"/>
  <c r="F63" i="81"/>
  <c r="K63" i="81"/>
  <c r="F72" i="81"/>
  <c r="G72" i="81"/>
  <c r="E74" i="81"/>
  <c r="I78" i="81"/>
  <c r="I81" i="81"/>
  <c r="F81" i="81"/>
  <c r="I88" i="81"/>
  <c r="E118" i="81"/>
  <c r="D118" i="81"/>
  <c r="C118" i="81"/>
  <c r="G118" i="81"/>
  <c r="J70" i="81"/>
  <c r="K70" i="81" s="1"/>
  <c r="F70" i="81"/>
  <c r="E72" i="81"/>
  <c r="K88" i="81"/>
  <c r="J94" i="81"/>
  <c r="D94" i="81"/>
  <c r="E94" i="81" s="1"/>
  <c r="G94" i="81"/>
  <c r="G98" i="81"/>
  <c r="C98" i="81"/>
  <c r="O48" i="110"/>
  <c r="E48" i="110"/>
  <c r="R47" i="110"/>
  <c r="H47" i="110"/>
  <c r="L46" i="110"/>
  <c r="N45" i="110"/>
  <c r="D45" i="110"/>
  <c r="H45" i="110"/>
  <c r="G46" i="110"/>
  <c r="R46" i="110"/>
  <c r="G47" i="110"/>
  <c r="G48" i="110"/>
  <c r="R48" i="110"/>
  <c r="G58" i="81"/>
  <c r="H58" i="81" s="1"/>
  <c r="D58" i="81"/>
  <c r="E58" i="81" s="1"/>
  <c r="H111" i="81"/>
  <c r="I111" i="81" s="1"/>
  <c r="J74" i="81"/>
  <c r="K74" i="81" s="1"/>
  <c r="F74" i="81"/>
  <c r="H74" i="81" s="1"/>
  <c r="F80" i="81"/>
  <c r="H80" i="81" s="1"/>
  <c r="C80" i="81"/>
  <c r="E80" i="81" s="1"/>
  <c r="C90" i="81"/>
  <c r="E90" i="81" s="1"/>
  <c r="G116" i="81"/>
  <c r="D116" i="81"/>
  <c r="C116" i="81"/>
  <c r="E116" i="81"/>
  <c r="C123" i="81"/>
  <c r="F123" i="81" s="1"/>
  <c r="E17" i="95"/>
  <c r="E17" i="84"/>
  <c r="F17" i="84" s="1"/>
  <c r="AG38" i="110"/>
  <c r="U39" i="110"/>
  <c r="AG39" i="110"/>
  <c r="AJ40" i="110"/>
  <c r="U41" i="110"/>
  <c r="U68" i="110"/>
  <c r="C113" i="81"/>
  <c r="F113" i="81" s="1"/>
  <c r="E17" i="88"/>
  <c r="H17" i="88"/>
  <c r="K17" i="88"/>
  <c r="M17" i="114"/>
  <c r="H17" i="98"/>
  <c r="D10" i="82"/>
  <c r="C10" i="82" s="1"/>
  <c r="B10" i="82" s="1"/>
  <c r="D7" i="82"/>
  <c r="C7" i="82" s="1"/>
  <c r="B7" i="82" s="1"/>
  <c r="D12" i="82"/>
  <c r="C12" i="82" s="1"/>
  <c r="B12" i="82" s="1"/>
  <c r="D8" i="82"/>
  <c r="C8" i="82" s="1"/>
  <c r="B8" i="82" s="1"/>
  <c r="D14" i="82"/>
  <c r="C14" i="82" s="1"/>
  <c r="B14" i="82" s="1"/>
  <c r="D9" i="82"/>
  <c r="C9" i="82" s="1"/>
  <c r="B9" i="82" s="1"/>
  <c r="D15" i="82"/>
  <c r="C15" i="82" s="1"/>
  <c r="B15" i="82" s="1"/>
  <c r="D13" i="82"/>
  <c r="C13" i="82" s="1"/>
  <c r="B13" i="82" s="1"/>
  <c r="D11" i="82"/>
  <c r="C11" i="82" s="1"/>
  <c r="B11" i="82" s="1"/>
  <c r="D6" i="82"/>
  <c r="C6" i="82" s="1"/>
  <c r="B6" i="82" s="1"/>
  <c r="H15" i="82"/>
  <c r="G15" i="82" s="1"/>
  <c r="F15" i="82" s="1"/>
  <c r="H11" i="82"/>
  <c r="G11" i="82" s="1"/>
  <c r="F11" i="82" s="1"/>
  <c r="H7" i="82"/>
  <c r="G7" i="82" s="1"/>
  <c r="F7" i="82" s="1"/>
  <c r="H8" i="82"/>
  <c r="G8" i="82" s="1"/>
  <c r="F8" i="82" s="1"/>
  <c r="H13" i="82"/>
  <c r="G13" i="82" s="1"/>
  <c r="F13" i="82" s="1"/>
  <c r="H6" i="82"/>
  <c r="G6" i="82" s="1"/>
  <c r="F6" i="82" s="1"/>
  <c r="H12" i="82"/>
  <c r="G12" i="82" s="1"/>
  <c r="F12" i="82" s="1"/>
  <c r="H10" i="82"/>
  <c r="G10" i="82" s="1"/>
  <c r="F10" i="82" s="1"/>
  <c r="H14" i="82"/>
  <c r="G14" i="82" s="1"/>
  <c r="F14" i="82" s="1"/>
  <c r="H9" i="82"/>
  <c r="G9" i="82" s="1"/>
  <c r="F9" i="82" s="1"/>
  <c r="G22" i="87"/>
  <c r="G13" i="87"/>
  <c r="G16" i="87"/>
  <c r="G8" i="87"/>
  <c r="G19" i="87"/>
  <c r="G11" i="87"/>
  <c r="G14" i="87"/>
  <c r="G6" i="87"/>
  <c r="G17" i="87"/>
  <c r="G9" i="87"/>
  <c r="G20" i="87"/>
  <c r="G12" i="87"/>
  <c r="G15" i="87"/>
  <c r="G7" i="87"/>
  <c r="G18" i="87"/>
  <c r="G10" i="87"/>
  <c r="D28" i="101"/>
  <c r="E28" i="101" s="1"/>
  <c r="E30" i="101" s="1"/>
  <c r="D100" i="101"/>
  <c r="L100" i="101"/>
  <c r="D101" i="101"/>
  <c r="L101" i="101"/>
  <c r="D102" i="101"/>
  <c r="L102" i="101"/>
  <c r="D103" i="101"/>
  <c r="L103" i="101"/>
  <c r="J107" i="101"/>
  <c r="R107" i="101"/>
  <c r="J108" i="101"/>
  <c r="R108" i="101"/>
  <c r="J109" i="101"/>
  <c r="R109" i="101"/>
  <c r="J110" i="101"/>
  <c r="R110" i="101"/>
  <c r="H114" i="101"/>
  <c r="P114" i="101"/>
  <c r="H115" i="101"/>
  <c r="P115" i="101"/>
  <c r="H116" i="101"/>
  <c r="P116" i="101"/>
  <c r="H117" i="101"/>
  <c r="P117" i="101"/>
  <c r="F124" i="101"/>
  <c r="Y124" i="101" s="1"/>
  <c r="N124" i="101"/>
  <c r="AG124" i="101" s="1"/>
  <c r="Q86" i="98"/>
  <c r="Q93" i="98" s="1"/>
  <c r="I86" i="98"/>
  <c r="I93" i="98" s="1"/>
  <c r="R85" i="98"/>
  <c r="J85" i="98"/>
  <c r="S84" i="98"/>
  <c r="O91" i="98" s="1"/>
  <c r="K84" i="98"/>
  <c r="C84" i="98"/>
  <c r="C91" i="98" s="1"/>
  <c r="L83" i="98"/>
  <c r="L90" i="98" s="1"/>
  <c r="D83" i="98"/>
  <c r="D90" i="98" s="1"/>
  <c r="K83" i="98"/>
  <c r="K90" i="98" s="1"/>
  <c r="D84" i="98"/>
  <c r="M84" i="98"/>
  <c r="E85" i="98"/>
  <c r="N85" i="98"/>
  <c r="F86" i="98"/>
  <c r="F93" i="98" s="1"/>
  <c r="O86" i="98"/>
  <c r="O93" i="98" s="1"/>
  <c r="J99" i="98"/>
  <c r="J100" i="98"/>
  <c r="J101" i="98"/>
  <c r="J102" i="98"/>
  <c r="G106" i="98"/>
  <c r="R106" i="98"/>
  <c r="G107" i="98"/>
  <c r="R107" i="98"/>
  <c r="G108" i="98"/>
  <c r="R108" i="98"/>
  <c r="G109" i="98"/>
  <c r="R109" i="98"/>
  <c r="D113" i="98"/>
  <c r="N113" i="98"/>
  <c r="D114" i="98"/>
  <c r="N114" i="98"/>
  <c r="D115" i="98"/>
  <c r="N115" i="98"/>
  <c r="D116" i="98"/>
  <c r="D25" i="82"/>
  <c r="C25" i="82" s="1"/>
  <c r="B25" i="82" s="1"/>
  <c r="D24" i="82"/>
  <c r="C24" i="82" s="1"/>
  <c r="B24" i="82" s="1"/>
  <c r="D29" i="82"/>
  <c r="C29" i="82" s="1"/>
  <c r="B29" i="82" s="1"/>
  <c r="D26" i="82"/>
  <c r="C26" i="82" s="1"/>
  <c r="B26" i="82" s="1"/>
  <c r="D23" i="82"/>
  <c r="C23" i="82" s="1"/>
  <c r="B23" i="82" s="1"/>
  <c r="D20" i="82"/>
  <c r="C20" i="82" s="1"/>
  <c r="B20" i="82" s="1"/>
  <c r="D22" i="82"/>
  <c r="C22" i="82" s="1"/>
  <c r="B22" i="82" s="1"/>
  <c r="D28" i="82"/>
  <c r="C28" i="82" s="1"/>
  <c r="B28" i="82" s="1"/>
  <c r="D27" i="82"/>
  <c r="C27" i="82" s="1"/>
  <c r="B27" i="82" s="1"/>
  <c r="D21" i="82"/>
  <c r="C21" i="82" s="1"/>
  <c r="B21" i="82" s="1"/>
  <c r="G90" i="101"/>
  <c r="O90" i="101"/>
  <c r="Q116" i="98"/>
  <c r="I116" i="98"/>
  <c r="Q115" i="98"/>
  <c r="I115" i="98"/>
  <c r="Q114" i="98"/>
  <c r="I114" i="98"/>
  <c r="Q113" i="98"/>
  <c r="I113" i="98"/>
  <c r="K109" i="98"/>
  <c r="C109" i="98"/>
  <c r="K108" i="98"/>
  <c r="C108" i="98"/>
  <c r="K107" i="98"/>
  <c r="C107" i="98"/>
  <c r="K106" i="98"/>
  <c r="C106" i="98"/>
  <c r="M102" i="98"/>
  <c r="E102" i="98"/>
  <c r="M101" i="98"/>
  <c r="E101" i="98"/>
  <c r="M100" i="98"/>
  <c r="E100" i="98"/>
  <c r="M99" i="98"/>
  <c r="E99" i="98"/>
  <c r="O116" i="98"/>
  <c r="G116" i="98"/>
  <c r="O115" i="98"/>
  <c r="G115" i="98"/>
  <c r="O114" i="98"/>
  <c r="G114" i="98"/>
  <c r="O113" i="98"/>
  <c r="G113" i="98"/>
  <c r="Q109" i="98"/>
  <c r="I109" i="98"/>
  <c r="Q108" i="98"/>
  <c r="I108" i="98"/>
  <c r="Q107" i="98"/>
  <c r="I107" i="98"/>
  <c r="Q106" i="98"/>
  <c r="I106" i="98"/>
  <c r="K102" i="98"/>
  <c r="C102" i="98"/>
  <c r="K101" i="98"/>
  <c r="C101" i="98"/>
  <c r="K100" i="98"/>
  <c r="C100" i="98"/>
  <c r="K99" i="98"/>
  <c r="C99" i="98"/>
  <c r="L99" i="98"/>
  <c r="L100" i="98"/>
  <c r="L101" i="98"/>
  <c r="L102" i="98"/>
  <c r="H106" i="98"/>
  <c r="H107" i="98"/>
  <c r="H108" i="98"/>
  <c r="H109" i="98"/>
  <c r="E113" i="98"/>
  <c r="P113" i="98"/>
  <c r="E114" i="98"/>
  <c r="P114" i="98"/>
  <c r="E115" i="98"/>
  <c r="P115" i="98"/>
  <c r="E116" i="98"/>
  <c r="P116" i="98"/>
  <c r="I6" i="106"/>
  <c r="I8" i="106"/>
  <c r="I10" i="106"/>
  <c r="I12" i="106"/>
  <c r="I13" i="106"/>
  <c r="I15" i="106"/>
  <c r="I17" i="106"/>
  <c r="I19" i="106"/>
  <c r="I21" i="106"/>
  <c r="I23" i="106"/>
  <c r="I25" i="106"/>
  <c r="I27" i="106"/>
  <c r="I29" i="106"/>
  <c r="I31" i="106"/>
  <c r="I33" i="106"/>
  <c r="I35" i="106"/>
  <c r="I37" i="106"/>
  <c r="I39" i="106"/>
  <c r="I41" i="106"/>
  <c r="I43" i="106"/>
  <c r="I45" i="106"/>
  <c r="I47" i="106"/>
  <c r="L27" i="82"/>
  <c r="H22" i="82"/>
  <c r="H25" i="82"/>
  <c r="L20" i="82"/>
  <c r="H28" i="82"/>
  <c r="L23" i="82"/>
  <c r="L29" i="82"/>
  <c r="L26" i="82"/>
  <c r="H26" i="82"/>
  <c r="H20" i="82"/>
  <c r="H29" i="82"/>
  <c r="L24" i="82"/>
  <c r="H23" i="82"/>
  <c r="L21" i="82"/>
  <c r="H24" i="82"/>
  <c r="H27" i="82"/>
  <c r="L22" i="82"/>
  <c r="L25" i="82"/>
  <c r="H21" i="82"/>
  <c r="L28" i="82"/>
  <c r="F28" i="101"/>
  <c r="H28" i="101" s="1"/>
  <c r="H30" i="101" s="1"/>
  <c r="E82" i="101"/>
  <c r="E89" i="101" s="1"/>
  <c r="M82" i="101"/>
  <c r="M89" i="101" s="1"/>
  <c r="D83" i="101"/>
  <c r="D90" i="101" s="1"/>
  <c r="L83" i="101"/>
  <c r="L90" i="101" s="1"/>
  <c r="C84" i="101"/>
  <c r="K84" i="101"/>
  <c r="S84" i="101"/>
  <c r="R91" i="101" s="1"/>
  <c r="J85" i="101"/>
  <c r="J92" i="101" s="1"/>
  <c r="R85" i="101"/>
  <c r="R92" i="101" s="1"/>
  <c r="F100" i="101"/>
  <c r="N100" i="101"/>
  <c r="F101" i="101"/>
  <c r="N101" i="101"/>
  <c r="F102" i="101"/>
  <c r="N102" i="101"/>
  <c r="F103" i="101"/>
  <c r="N103" i="101"/>
  <c r="D107" i="101"/>
  <c r="L107" i="101"/>
  <c r="D108" i="101"/>
  <c r="L108" i="101"/>
  <c r="D109" i="101"/>
  <c r="L109" i="101"/>
  <c r="D110" i="101"/>
  <c r="L110" i="101"/>
  <c r="J114" i="101"/>
  <c r="R114" i="101"/>
  <c r="J115" i="101"/>
  <c r="R115" i="101"/>
  <c r="J116" i="101"/>
  <c r="R116" i="101"/>
  <c r="J117" i="101"/>
  <c r="R117" i="101"/>
  <c r="H121" i="101"/>
  <c r="P121" i="101"/>
  <c r="H122" i="101"/>
  <c r="P122" i="101"/>
  <c r="H123" i="101"/>
  <c r="P123" i="101"/>
  <c r="H124" i="101"/>
  <c r="P124" i="101"/>
  <c r="G92" i="98"/>
  <c r="N99" i="98"/>
  <c r="N100" i="98"/>
  <c r="N101" i="98"/>
  <c r="N102" i="98"/>
  <c r="J106" i="98"/>
  <c r="J107" i="98"/>
  <c r="J108" i="98"/>
  <c r="J109" i="98"/>
  <c r="F113" i="98"/>
  <c r="R113" i="98"/>
  <c r="F114" i="98"/>
  <c r="R114" i="98"/>
  <c r="F115" i="98"/>
  <c r="R115" i="98"/>
  <c r="F116" i="98"/>
  <c r="R116" i="98"/>
  <c r="K93" i="98"/>
  <c r="D99" i="98"/>
  <c r="O99" i="98"/>
  <c r="D100" i="98"/>
  <c r="O100" i="98"/>
  <c r="D101" i="98"/>
  <c r="O101" i="98"/>
  <c r="D102" i="98"/>
  <c r="O102" i="98"/>
  <c r="L106" i="98"/>
  <c r="L107" i="98"/>
  <c r="L108" i="98"/>
  <c r="L109" i="98"/>
  <c r="H113" i="98"/>
  <c r="H114" i="98"/>
  <c r="H115" i="98"/>
  <c r="H116" i="98"/>
  <c r="H43" i="82"/>
  <c r="H39" i="82"/>
  <c r="H35" i="82"/>
  <c r="H44" i="82"/>
  <c r="D43" i="82"/>
  <c r="H41" i="82"/>
  <c r="D40" i="82"/>
  <c r="H38" i="82"/>
  <c r="D37" i="82"/>
  <c r="H36" i="82"/>
  <c r="H40" i="82"/>
  <c r="D38" i="82"/>
  <c r="D36" i="82"/>
  <c r="D44" i="82"/>
  <c r="D39" i="82"/>
  <c r="D41" i="82"/>
  <c r="H37" i="82"/>
  <c r="H42" i="82"/>
  <c r="D42" i="82"/>
  <c r="D35" i="82"/>
  <c r="J90" i="101"/>
  <c r="G90" i="98"/>
  <c r="F99" i="98"/>
  <c r="P99" i="98"/>
  <c r="F100" i="98"/>
  <c r="P100" i="98"/>
  <c r="F101" i="98"/>
  <c r="Y101" i="98" s="1"/>
  <c r="P101" i="98"/>
  <c r="F102" i="98"/>
  <c r="P102" i="98"/>
  <c r="M106" i="98"/>
  <c r="M107" i="98"/>
  <c r="M108" i="98"/>
  <c r="M109" i="98"/>
  <c r="J113" i="98"/>
  <c r="J114" i="98"/>
  <c r="J115" i="98"/>
  <c r="J116" i="98"/>
  <c r="I100" i="101"/>
  <c r="Q100" i="101"/>
  <c r="I101" i="101"/>
  <c r="Q101" i="101"/>
  <c r="I102" i="101"/>
  <c r="Q102" i="101"/>
  <c r="I103" i="101"/>
  <c r="Q103" i="101"/>
  <c r="G107" i="101"/>
  <c r="O107" i="101"/>
  <c r="G108" i="101"/>
  <c r="O108" i="101"/>
  <c r="G109" i="101"/>
  <c r="O109" i="101"/>
  <c r="G110" i="101"/>
  <c r="O110" i="101"/>
  <c r="E114" i="101"/>
  <c r="M114" i="101"/>
  <c r="E115" i="101"/>
  <c r="M115" i="101"/>
  <c r="E116" i="101"/>
  <c r="M116" i="101"/>
  <c r="E117" i="101"/>
  <c r="M117" i="101"/>
  <c r="C124" i="101"/>
  <c r="V124" i="101" s="1"/>
  <c r="K124" i="101"/>
  <c r="AD124" i="101" s="1"/>
  <c r="G99" i="98"/>
  <c r="Q99" i="98"/>
  <c r="G100" i="98"/>
  <c r="Z100" i="98" s="1"/>
  <c r="Q100" i="98"/>
  <c r="G101" i="98"/>
  <c r="Q101" i="98"/>
  <c r="G102" i="98"/>
  <c r="Q102" i="98"/>
  <c r="D106" i="98"/>
  <c r="N106" i="98"/>
  <c r="D107" i="98"/>
  <c r="W107" i="98" s="1"/>
  <c r="N107" i="98"/>
  <c r="D108" i="98"/>
  <c r="N108" i="98"/>
  <c r="D109" i="98"/>
  <c r="N109" i="98"/>
  <c r="K113" i="98"/>
  <c r="K114" i="98"/>
  <c r="K115" i="98"/>
  <c r="K116" i="98"/>
  <c r="H15" i="114"/>
  <c r="M93" i="98"/>
  <c r="H99" i="98"/>
  <c r="R99" i="98"/>
  <c r="H100" i="98"/>
  <c r="R100" i="98"/>
  <c r="H101" i="98"/>
  <c r="AA101" i="98" s="1"/>
  <c r="R101" i="98"/>
  <c r="H102" i="98"/>
  <c r="R102" i="98"/>
  <c r="E106" i="98"/>
  <c r="O106" i="98"/>
  <c r="E107" i="98"/>
  <c r="O107" i="98"/>
  <c r="E108" i="98"/>
  <c r="X108" i="98" s="1"/>
  <c r="O108" i="98"/>
  <c r="E109" i="98"/>
  <c r="O109" i="98"/>
  <c r="L113" i="98"/>
  <c r="L114" i="98"/>
  <c r="L115" i="98"/>
  <c r="L116" i="98"/>
  <c r="H16" i="114"/>
  <c r="C15" i="87"/>
  <c r="B15" i="87" s="1"/>
  <c r="C7" i="87"/>
  <c r="B7" i="87" s="1"/>
  <c r="C18" i="87"/>
  <c r="B18" i="87" s="1"/>
  <c r="C10" i="87"/>
  <c r="B10" i="87" s="1"/>
  <c r="C13" i="87"/>
  <c r="B13" i="87" s="1"/>
  <c r="C16" i="87"/>
  <c r="B16" i="87" s="1"/>
  <c r="C8" i="87"/>
  <c r="B8" i="87" s="1"/>
  <c r="C19" i="87"/>
  <c r="B19" i="87" s="1"/>
  <c r="C11" i="87"/>
  <c r="B11" i="87" s="1"/>
  <c r="C14" i="87"/>
  <c r="B14" i="87" s="1"/>
  <c r="C6" i="87"/>
  <c r="C17" i="87"/>
  <c r="B17" i="87" s="1"/>
  <c r="C9" i="87"/>
  <c r="B9" i="87" s="1"/>
  <c r="C20" i="87"/>
  <c r="B20" i="87" s="1"/>
  <c r="C12" i="87"/>
  <c r="B12" i="87" s="1"/>
  <c r="J82" i="101"/>
  <c r="J89" i="101" s="1"/>
  <c r="R82" i="101"/>
  <c r="R89" i="101" s="1"/>
  <c r="I83" i="101"/>
  <c r="I90" i="101" s="1"/>
  <c r="Q83" i="101"/>
  <c r="Q90" i="101" s="1"/>
  <c r="H84" i="101"/>
  <c r="P84" i="101"/>
  <c r="G85" i="101"/>
  <c r="G92" i="101" s="1"/>
  <c r="C100" i="101"/>
  <c r="K100" i="101"/>
  <c r="C101" i="101"/>
  <c r="K101" i="101"/>
  <c r="C102" i="101"/>
  <c r="K102" i="101"/>
  <c r="C103" i="101"/>
  <c r="K103" i="101"/>
  <c r="I107" i="101"/>
  <c r="Q107" i="101"/>
  <c r="AJ107" i="101" s="1"/>
  <c r="I108" i="101"/>
  <c r="Q108" i="101"/>
  <c r="I109" i="101"/>
  <c r="Q109" i="101"/>
  <c r="I110" i="101"/>
  <c r="Q110" i="101"/>
  <c r="G114" i="101"/>
  <c r="O114" i="101"/>
  <c r="G115" i="101"/>
  <c r="O115" i="101"/>
  <c r="G116" i="101"/>
  <c r="O116" i="101"/>
  <c r="G117" i="101"/>
  <c r="O117" i="101"/>
  <c r="E121" i="101"/>
  <c r="M121" i="101"/>
  <c r="AF121" i="101" s="1"/>
  <c r="E122" i="101"/>
  <c r="M122" i="101"/>
  <c r="E123" i="101"/>
  <c r="E124" i="101"/>
  <c r="H21" i="98"/>
  <c r="E93" i="98"/>
  <c r="E90" i="98"/>
  <c r="I99" i="98"/>
  <c r="I100" i="98"/>
  <c r="I101" i="98"/>
  <c r="I102" i="98"/>
  <c r="F106" i="98"/>
  <c r="P106" i="98"/>
  <c r="F107" i="98"/>
  <c r="P107" i="98"/>
  <c r="F108" i="98"/>
  <c r="Y108" i="98" s="1"/>
  <c r="P108" i="98"/>
  <c r="F109" i="98"/>
  <c r="P109" i="98"/>
  <c r="C113" i="98"/>
  <c r="M113" i="98"/>
  <c r="C114" i="98"/>
  <c r="M114" i="98"/>
  <c r="C115" i="98"/>
  <c r="V115" i="98" s="1"/>
  <c r="M115" i="98"/>
  <c r="C116" i="98"/>
  <c r="M116" i="98"/>
  <c r="J16" i="114"/>
  <c r="J17" i="114" s="1"/>
  <c r="AA14" i="100"/>
  <c r="AI14" i="100"/>
  <c r="AE18" i="100"/>
  <c r="AM18" i="100"/>
  <c r="AA22" i="100"/>
  <c r="AI22" i="100"/>
  <c r="AE26" i="100"/>
  <c r="AM26" i="100"/>
  <c r="AA30" i="100"/>
  <c r="AI30" i="100"/>
  <c r="AE34" i="100"/>
  <c r="AM34" i="100"/>
  <c r="AA38" i="100"/>
  <c r="AI38" i="100"/>
  <c r="AE42" i="100"/>
  <c r="AM42" i="100"/>
  <c r="AA46" i="100"/>
  <c r="AI46" i="100"/>
  <c r="AE50" i="100"/>
  <c r="AM50" i="100"/>
  <c r="AC52" i="100"/>
  <c r="AK52" i="100"/>
  <c r="AB53" i="100"/>
  <c r="AJ53" i="100"/>
  <c r="AA54" i="100"/>
  <c r="AI54" i="100"/>
  <c r="Y56" i="100"/>
  <c r="AG56" i="100"/>
  <c r="AF57" i="100"/>
  <c r="AN57" i="100"/>
  <c r="AE58" i="100"/>
  <c r="AM58" i="100"/>
  <c r="AC60" i="100"/>
  <c r="AK60" i="100"/>
  <c r="AB61" i="100"/>
  <c r="AJ61" i="100"/>
  <c r="AA62" i="100"/>
  <c r="AI62" i="100"/>
  <c r="Y64" i="100"/>
  <c r="AG64" i="100"/>
  <c r="AF65" i="100"/>
  <c r="AN65" i="100"/>
  <c r="AE66" i="100"/>
  <c r="AM66" i="100"/>
  <c r="Y68" i="100"/>
  <c r="AG68" i="100"/>
  <c r="AF69" i="100"/>
  <c r="AN69" i="100"/>
  <c r="AE70" i="100"/>
  <c r="AM70" i="100"/>
  <c r="AA74" i="100"/>
  <c r="AI74" i="100"/>
  <c r="AE81" i="100"/>
  <c r="AM81" i="100"/>
  <c r="AC82" i="100"/>
  <c r="AK82" i="100"/>
  <c r="AF85" i="100"/>
  <c r="AN85" i="100"/>
  <c r="AD86" i="100"/>
  <c r="AL86" i="100"/>
  <c r="AB87" i="100"/>
  <c r="AJ87" i="100"/>
  <c r="AA88" i="100"/>
  <c r="AI88" i="100"/>
  <c r="Y90" i="100"/>
  <c r="AG90" i="100"/>
  <c r="AF91" i="100"/>
  <c r="AN91" i="100"/>
  <c r="AE92" i="100"/>
  <c r="AM92" i="100"/>
  <c r="AC93" i="100"/>
  <c r="AK93" i="100"/>
  <c r="Y95" i="100"/>
  <c r="AG95" i="100"/>
  <c r="AF96" i="100"/>
  <c r="AN96" i="100"/>
  <c r="AD97" i="100"/>
  <c r="AL97" i="100"/>
  <c r="AB98" i="100"/>
  <c r="AJ98" i="100"/>
  <c r="Z99" i="100"/>
  <c r="AH99" i="100"/>
  <c r="AE101" i="100"/>
  <c r="AM101" i="100"/>
  <c r="AF106" i="100"/>
  <c r="AN106" i="100"/>
  <c r="AE107" i="100"/>
  <c r="AM107" i="100"/>
  <c r="AD111" i="100"/>
  <c r="Y115" i="100"/>
  <c r="AG115" i="100"/>
  <c r="Z119" i="100"/>
  <c r="AC120" i="100"/>
  <c r="AF121" i="100"/>
  <c r="Y124" i="100"/>
  <c r="AC124" i="100"/>
  <c r="AG124" i="100"/>
  <c r="AK124" i="100"/>
  <c r="AJ124" i="100"/>
  <c r="AD125" i="100"/>
  <c r="AL125" i="100"/>
  <c r="AG125" i="100"/>
  <c r="AA126" i="100"/>
  <c r="AE126" i="100"/>
  <c r="AI126" i="100"/>
  <c r="AM126" i="100"/>
  <c r="AB127" i="100"/>
  <c r="AJ127" i="100"/>
  <c r="AC127" i="100"/>
  <c r="Z128" i="100"/>
  <c r="AD128" i="100"/>
  <c r="AH128" i="100"/>
  <c r="AL128" i="100"/>
  <c r="Y128" i="100"/>
  <c r="AB130" i="100"/>
  <c r="AF130" i="100"/>
  <c r="AJ130" i="100"/>
  <c r="AN130" i="100"/>
  <c r="AG130" i="100"/>
  <c r="Z132" i="100"/>
  <c r="AD132" i="100"/>
  <c r="AH132" i="100"/>
  <c r="AL132" i="100"/>
  <c r="Y132" i="100"/>
  <c r="AB134" i="100"/>
  <c r="AF134" i="100"/>
  <c r="AJ134" i="100"/>
  <c r="AN134" i="100"/>
  <c r="AG134" i="100"/>
  <c r="Z136" i="100"/>
  <c r="AD136" i="100"/>
  <c r="AH136" i="100"/>
  <c r="AL136" i="100"/>
  <c r="Y136" i="100"/>
  <c r="AB138" i="100"/>
  <c r="AF138" i="100"/>
  <c r="AJ138" i="100"/>
  <c r="AN138" i="100"/>
  <c r="AB139" i="100"/>
  <c r="AF139" i="100"/>
  <c r="AJ139" i="100"/>
  <c r="AN139" i="100"/>
  <c r="AD140" i="100"/>
  <c r="AN140" i="100"/>
  <c r="AC156" i="100"/>
  <c r="AC154" i="100"/>
  <c r="AK156" i="100"/>
  <c r="AK154" i="100"/>
  <c r="E120" i="98"/>
  <c r="M120" i="98"/>
  <c r="E121" i="98"/>
  <c r="M121" i="98"/>
  <c r="E122" i="98"/>
  <c r="M122" i="98"/>
  <c r="E123" i="98"/>
  <c r="M123" i="98"/>
  <c r="AE11" i="100"/>
  <c r="AM11" i="100"/>
  <c r="AD12" i="100"/>
  <c r="AL12" i="100"/>
  <c r="AB14" i="100"/>
  <c r="AJ14" i="100"/>
  <c r="AA15" i="100"/>
  <c r="AI15" i="100"/>
  <c r="Z16" i="100"/>
  <c r="AH16" i="100"/>
  <c r="AF18" i="100"/>
  <c r="AN18" i="100"/>
  <c r="AE19" i="100"/>
  <c r="AM19" i="100"/>
  <c r="AD20" i="100"/>
  <c r="AL20" i="100"/>
  <c r="AB22" i="100"/>
  <c r="AJ22" i="100"/>
  <c r="AA23" i="100"/>
  <c r="AI23" i="100"/>
  <c r="Z24" i="100"/>
  <c r="AH24" i="100"/>
  <c r="AF26" i="100"/>
  <c r="AN26" i="100"/>
  <c r="AE27" i="100"/>
  <c r="AM27" i="100"/>
  <c r="AD28" i="100"/>
  <c r="AL28" i="100"/>
  <c r="AB30" i="100"/>
  <c r="AJ30" i="100"/>
  <c r="AA31" i="100"/>
  <c r="AI31" i="100"/>
  <c r="Z32" i="100"/>
  <c r="AH32" i="100"/>
  <c r="AF34" i="100"/>
  <c r="AN34" i="100"/>
  <c r="AE35" i="100"/>
  <c r="AM35" i="100"/>
  <c r="AD36" i="100"/>
  <c r="AL36" i="100"/>
  <c r="AB38" i="100"/>
  <c r="AJ38" i="100"/>
  <c r="AA39" i="100"/>
  <c r="AI39" i="100"/>
  <c r="Z40" i="100"/>
  <c r="AH40" i="100"/>
  <c r="AF42" i="100"/>
  <c r="AN42" i="100"/>
  <c r="AE43" i="100"/>
  <c r="AM43" i="100"/>
  <c r="AD44" i="100"/>
  <c r="AL44" i="100"/>
  <c r="AB46" i="100"/>
  <c r="AJ46" i="100"/>
  <c r="AA47" i="100"/>
  <c r="AI47" i="100"/>
  <c r="Z48" i="100"/>
  <c r="AH48" i="100"/>
  <c r="AF50" i="100"/>
  <c r="AE51" i="100"/>
  <c r="AM51" i="100"/>
  <c r="AD52" i="100"/>
  <c r="AL52" i="100"/>
  <c r="AA55" i="100"/>
  <c r="AI55" i="100"/>
  <c r="Z56" i="100"/>
  <c r="AH56" i="100"/>
  <c r="AE59" i="100"/>
  <c r="AM59" i="100"/>
  <c r="AD60" i="100"/>
  <c r="AL60" i="100"/>
  <c r="AA63" i="100"/>
  <c r="AI63" i="100"/>
  <c r="Z64" i="100"/>
  <c r="AH64" i="100"/>
  <c r="AA67" i="100"/>
  <c r="AI67" i="100"/>
  <c r="Z68" i="100"/>
  <c r="AH68" i="100"/>
  <c r="AE71" i="100"/>
  <c r="AM71" i="100"/>
  <c r="AD72" i="100"/>
  <c r="AL72" i="100"/>
  <c r="AC73" i="100"/>
  <c r="AK73" i="100"/>
  <c r="AB74" i="100"/>
  <c r="AJ74" i="100"/>
  <c r="AF81" i="100"/>
  <c r="AN81" i="100"/>
  <c r="AD82" i="100"/>
  <c r="AL82" i="100"/>
  <c r="AF101" i="100"/>
  <c r="AN101" i="100"/>
  <c r="AA104" i="100"/>
  <c r="AI104" i="100"/>
  <c r="AF108" i="100"/>
  <c r="AH115" i="100"/>
  <c r="AG116" i="100"/>
  <c r="AL119" i="100"/>
  <c r="AG121" i="100"/>
  <c r="AH122" i="100"/>
  <c r="AC123" i="100"/>
  <c r="AI125" i="100"/>
  <c r="AE127" i="100"/>
  <c r="AK139" i="100"/>
  <c r="Y141" i="100"/>
  <c r="AC141" i="100"/>
  <c r="AG141" i="100"/>
  <c r="AK141" i="100"/>
  <c r="AA143" i="100"/>
  <c r="AI143" i="100"/>
  <c r="Z152" i="100"/>
  <c r="AH152" i="100"/>
  <c r="AC153" i="100"/>
  <c r="AK153" i="100"/>
  <c r="AM153" i="100"/>
  <c r="AC155" i="100"/>
  <c r="AI160" i="100"/>
  <c r="AF11" i="100"/>
  <c r="AN11" i="100"/>
  <c r="AC14" i="100"/>
  <c r="AK14" i="100"/>
  <c r="AB15" i="100"/>
  <c r="AJ15" i="100"/>
  <c r="Y18" i="100"/>
  <c r="AG18" i="100"/>
  <c r="AF19" i="100"/>
  <c r="AN19" i="100"/>
  <c r="AC22" i="100"/>
  <c r="AK22" i="100"/>
  <c r="AB23" i="100"/>
  <c r="AJ23" i="100"/>
  <c r="Y26" i="100"/>
  <c r="AG26" i="100"/>
  <c r="AF27" i="100"/>
  <c r="AN27" i="100"/>
  <c r="AC30" i="100"/>
  <c r="AK30" i="100"/>
  <c r="AB31" i="100"/>
  <c r="AJ31" i="100"/>
  <c r="Y34" i="100"/>
  <c r="AG34" i="100"/>
  <c r="AF35" i="100"/>
  <c r="AN35" i="100"/>
  <c r="AC38" i="100"/>
  <c r="AK38" i="100"/>
  <c r="AB39" i="100"/>
  <c r="AJ39" i="100"/>
  <c r="Y42" i="100"/>
  <c r="AG42" i="100"/>
  <c r="AF43" i="100"/>
  <c r="AN43" i="100"/>
  <c r="AC46" i="100"/>
  <c r="AK46" i="100"/>
  <c r="AB47" i="100"/>
  <c r="AJ47" i="100"/>
  <c r="Y50" i="100"/>
  <c r="AG50" i="100"/>
  <c r="AF51" i="100"/>
  <c r="AN51" i="100"/>
  <c r="AC54" i="100"/>
  <c r="AK54" i="100"/>
  <c r="AB55" i="100"/>
  <c r="AJ55" i="100"/>
  <c r="Y58" i="100"/>
  <c r="AG58" i="100"/>
  <c r="AF59" i="100"/>
  <c r="AN59" i="100"/>
  <c r="AC62" i="100"/>
  <c r="AK62" i="100"/>
  <c r="AB63" i="100"/>
  <c r="AJ63" i="100"/>
  <c r="Y66" i="100"/>
  <c r="AG66" i="100"/>
  <c r="AB67" i="100"/>
  <c r="AJ67" i="100"/>
  <c r="Y70" i="100"/>
  <c r="AG70" i="100"/>
  <c r="AF71" i="100"/>
  <c r="AN71" i="100"/>
  <c r="AA80" i="100"/>
  <c r="AI80" i="100"/>
  <c r="Y81" i="100"/>
  <c r="AG81" i="100"/>
  <c r="AE82" i="100"/>
  <c r="AM82" i="100"/>
  <c r="Z85" i="100"/>
  <c r="AH85" i="100"/>
  <c r="AF86" i="100"/>
  <c r="AN86" i="100"/>
  <c r="AD87" i="100"/>
  <c r="AL87" i="100"/>
  <c r="AC88" i="100"/>
  <c r="AK88" i="100"/>
  <c r="AA90" i="100"/>
  <c r="AI90" i="100"/>
  <c r="Z91" i="100"/>
  <c r="AH91" i="100"/>
  <c r="Y92" i="100"/>
  <c r="AG92" i="100"/>
  <c r="AE93" i="100"/>
  <c r="AM93" i="100"/>
  <c r="AF97" i="100"/>
  <c r="AN97" i="100"/>
  <c r="AD98" i="100"/>
  <c r="AL98" i="100"/>
  <c r="AB99" i="100"/>
  <c r="AJ99" i="100"/>
  <c r="AA100" i="100"/>
  <c r="AI100" i="100"/>
  <c r="Y101" i="100"/>
  <c r="AE102" i="100"/>
  <c r="AM102" i="100"/>
  <c r="AB104" i="100"/>
  <c r="AJ104" i="100"/>
  <c r="AA105" i="100"/>
  <c r="AI105" i="100"/>
  <c r="AG108" i="100"/>
  <c r="AG109" i="100"/>
  <c r="AG110" i="100"/>
  <c r="Z115" i="100"/>
  <c r="AI115" i="100"/>
  <c r="AH116" i="100"/>
  <c r="AF123" i="100"/>
  <c r="AN123" i="100"/>
  <c r="AA124" i="100"/>
  <c r="AD127" i="100"/>
  <c r="AL127" i="100"/>
  <c r="AG127" i="100"/>
  <c r="AB131" i="100"/>
  <c r="AF131" i="100"/>
  <c r="AJ131" i="100"/>
  <c r="AN131" i="100"/>
  <c r="AG131" i="100"/>
  <c r="AB135" i="100"/>
  <c r="AF135" i="100"/>
  <c r="AJ135" i="100"/>
  <c r="AN135" i="100"/>
  <c r="AG135" i="100"/>
  <c r="AA142" i="100"/>
  <c r="AA141" i="100"/>
  <c r="AA140" i="100"/>
  <c r="AE142" i="100"/>
  <c r="AE140" i="100"/>
  <c r="AI142" i="100"/>
  <c r="AI141" i="100"/>
  <c r="AI140" i="100"/>
  <c r="AE141" i="100"/>
  <c r="AB142" i="100"/>
  <c r="AB140" i="100"/>
  <c r="AJ142" i="100"/>
  <c r="AJ140" i="100"/>
  <c r="Y152" i="100"/>
  <c r="Y150" i="100"/>
  <c r="AG152" i="100"/>
  <c r="AG150" i="100"/>
  <c r="AB157" i="100"/>
  <c r="AB160" i="100"/>
  <c r="AJ158" i="100"/>
  <c r="AJ157" i="100"/>
  <c r="AJ160" i="100"/>
  <c r="Z159" i="100"/>
  <c r="Z157" i="100"/>
  <c r="AH159" i="100"/>
  <c r="AH157" i="100"/>
  <c r="G120" i="98"/>
  <c r="O120" i="98"/>
  <c r="G121" i="98"/>
  <c r="O121" i="98"/>
  <c r="G122" i="98"/>
  <c r="O122" i="98"/>
  <c r="G123" i="98"/>
  <c r="Z123" i="98" s="1"/>
  <c r="Y71" i="100"/>
  <c r="AG71" i="100"/>
  <c r="Z81" i="100"/>
  <c r="AH81" i="100"/>
  <c r="AF82" i="100"/>
  <c r="AN82" i="100"/>
  <c r="Y86" i="100"/>
  <c r="AG86" i="100"/>
  <c r="Y97" i="100"/>
  <c r="AG97" i="100"/>
  <c r="AC104" i="100"/>
  <c r="AK104" i="100"/>
  <c r="Z110" i="100"/>
  <c r="AH110" i="100"/>
  <c r="AK118" i="100"/>
  <c r="AD119" i="100"/>
  <c r="AN119" i="100"/>
  <c r="Z121" i="100"/>
  <c r="AD121" i="100"/>
  <c r="AH121" i="100"/>
  <c r="AL121" i="100"/>
  <c r="Y121" i="100"/>
  <c r="AM125" i="100"/>
  <c r="AI127" i="100"/>
  <c r="Y149" i="100"/>
  <c r="AG149" i="100"/>
  <c r="AB150" i="100"/>
  <c r="AJ150" i="100"/>
  <c r="AM155" i="100"/>
  <c r="AK155" i="100"/>
  <c r="AA159" i="100"/>
  <c r="AI159" i="100"/>
  <c r="AA81" i="100"/>
  <c r="AI81" i="100"/>
  <c r="Y82" i="100"/>
  <c r="AE83" i="100"/>
  <c r="AM83" i="100"/>
  <c r="AD84" i="100"/>
  <c r="AL84" i="100"/>
  <c r="AB85" i="100"/>
  <c r="AJ85" i="100"/>
  <c r="Z86" i="100"/>
  <c r="AH86" i="100"/>
  <c r="AF87" i="100"/>
  <c r="AN87" i="100"/>
  <c r="AE88" i="100"/>
  <c r="AM88" i="100"/>
  <c r="AC90" i="100"/>
  <c r="AK90" i="100"/>
  <c r="AB91" i="100"/>
  <c r="AJ91" i="100"/>
  <c r="Y93" i="100"/>
  <c r="AG93" i="100"/>
  <c r="AE94" i="100"/>
  <c r="AM94" i="100"/>
  <c r="AC95" i="100"/>
  <c r="AK95" i="100"/>
  <c r="AB96" i="100"/>
  <c r="AJ96" i="100"/>
  <c r="Z97" i="100"/>
  <c r="AH97" i="100"/>
  <c r="AD99" i="100"/>
  <c r="AL99" i="100"/>
  <c r="AE103" i="100"/>
  <c r="AM103" i="100"/>
  <c r="Z108" i="100"/>
  <c r="Z109" i="100"/>
  <c r="AA114" i="100"/>
  <c r="AI114" i="100"/>
  <c r="AE118" i="100"/>
  <c r="AE116" i="100"/>
  <c r="AM118" i="100"/>
  <c r="AM116" i="100"/>
  <c r="AA118" i="100"/>
  <c r="AI118" i="100"/>
  <c r="Z125" i="100"/>
  <c r="AH125" i="100"/>
  <c r="AF127" i="100"/>
  <c r="AN127" i="100"/>
  <c r="AK127" i="100"/>
  <c r="AC129" i="100"/>
  <c r="Z130" i="100"/>
  <c r="AD130" i="100"/>
  <c r="AH130" i="100"/>
  <c r="AL130" i="100"/>
  <c r="AC133" i="100"/>
  <c r="Z134" i="100"/>
  <c r="AD134" i="100"/>
  <c r="AH134" i="100"/>
  <c r="AL134" i="100"/>
  <c r="AG136" i="100"/>
  <c r="AC137" i="100"/>
  <c r="Z138" i="100"/>
  <c r="AD138" i="100"/>
  <c r="AH138" i="100"/>
  <c r="AL138" i="100"/>
  <c r="Z139" i="100"/>
  <c r="AD139" i="100"/>
  <c r="AH139" i="100"/>
  <c r="AL139" i="100"/>
  <c r="AA149" i="100"/>
  <c r="AA152" i="100"/>
  <c r="AI152" i="100"/>
  <c r="AF153" i="100"/>
  <c r="AF156" i="100"/>
  <c r="AN153" i="100"/>
  <c r="AN156" i="100"/>
  <c r="AD155" i="100"/>
  <c r="AD153" i="100"/>
  <c r="AL155" i="100"/>
  <c r="AL153" i="100"/>
  <c r="AB159" i="100"/>
  <c r="AJ159" i="100"/>
  <c r="AA11" i="100"/>
  <c r="AI11" i="100"/>
  <c r="Z12" i="100"/>
  <c r="AH12" i="100"/>
  <c r="Y13" i="100"/>
  <c r="AG13" i="100"/>
  <c r="AE15" i="100"/>
  <c r="AM15" i="100"/>
  <c r="AD16" i="100"/>
  <c r="AL16" i="100"/>
  <c r="AC17" i="100"/>
  <c r="AK17" i="100"/>
  <c r="AA19" i="100"/>
  <c r="AI19" i="100"/>
  <c r="Z20" i="100"/>
  <c r="AH20" i="100"/>
  <c r="Y21" i="100"/>
  <c r="AG21" i="100"/>
  <c r="AE23" i="100"/>
  <c r="AM23" i="100"/>
  <c r="AD24" i="100"/>
  <c r="AL24" i="100"/>
  <c r="AC25" i="100"/>
  <c r="AK25" i="100"/>
  <c r="AA27" i="100"/>
  <c r="AI27" i="100"/>
  <c r="Z28" i="100"/>
  <c r="AH28" i="100"/>
  <c r="Y29" i="100"/>
  <c r="AG29" i="100"/>
  <c r="AE31" i="100"/>
  <c r="AM31" i="100"/>
  <c r="AD32" i="100"/>
  <c r="AL32" i="100"/>
  <c r="AC33" i="100"/>
  <c r="AK33" i="100"/>
  <c r="AA35" i="100"/>
  <c r="AI35" i="100"/>
  <c r="Z36" i="100"/>
  <c r="AH36" i="100"/>
  <c r="Y37" i="100"/>
  <c r="AG37" i="100"/>
  <c r="AE39" i="100"/>
  <c r="AM39" i="100"/>
  <c r="AD40" i="100"/>
  <c r="AL40" i="100"/>
  <c r="AC41" i="100"/>
  <c r="AK41" i="100"/>
  <c r="AA43" i="100"/>
  <c r="AI43" i="100"/>
  <c r="Z44" i="100"/>
  <c r="AH44" i="100"/>
  <c r="Y45" i="100"/>
  <c r="AG45" i="100"/>
  <c r="AE47" i="100"/>
  <c r="AM47" i="100"/>
  <c r="AD48" i="100"/>
  <c r="AL48" i="100"/>
  <c r="AC49" i="100"/>
  <c r="AK49" i="100"/>
  <c r="AA51" i="100"/>
  <c r="AI51" i="100"/>
  <c r="Z52" i="100"/>
  <c r="AH52" i="100"/>
  <c r="Y53" i="100"/>
  <c r="AG53" i="100"/>
  <c r="AE55" i="100"/>
  <c r="AM55" i="100"/>
  <c r="AD56" i="100"/>
  <c r="AL56" i="100"/>
  <c r="AC57" i="100"/>
  <c r="AK57" i="100"/>
  <c r="AA59" i="100"/>
  <c r="AI59" i="100"/>
  <c r="Z60" i="100"/>
  <c r="AH60" i="100"/>
  <c r="Y61" i="100"/>
  <c r="AG61" i="100"/>
  <c r="AE63" i="100"/>
  <c r="AM63" i="100"/>
  <c r="AD64" i="100"/>
  <c r="AL64" i="100"/>
  <c r="AC65" i="100"/>
  <c r="AK65" i="100"/>
  <c r="AE67" i="100"/>
  <c r="AM67" i="100"/>
  <c r="AD68" i="100"/>
  <c r="AL68" i="100"/>
  <c r="AC69" i="100"/>
  <c r="AK69" i="100"/>
  <c r="AA71" i="100"/>
  <c r="AI71" i="100"/>
  <c r="Z72" i="100"/>
  <c r="AH72" i="100"/>
  <c r="AD80" i="100"/>
  <c r="AL80" i="100"/>
  <c r="AB81" i="100"/>
  <c r="AJ81" i="100"/>
  <c r="Y87" i="100"/>
  <c r="AG87" i="100"/>
  <c r="AF88" i="100"/>
  <c r="AN88" i="100"/>
  <c r="AD90" i="100"/>
  <c r="AL90" i="100"/>
  <c r="Y98" i="100"/>
  <c r="AG98" i="100"/>
  <c r="AD100" i="100"/>
  <c r="AL100" i="100"/>
  <c r="AE104" i="100"/>
  <c r="AM104" i="100"/>
  <c r="AJ108" i="100"/>
  <c r="AK109" i="100"/>
  <c r="AK110" i="100"/>
  <c r="AE112" i="100"/>
  <c r="AM112" i="100"/>
  <c r="AB112" i="100"/>
  <c r="AL113" i="100"/>
  <c r="AL115" i="100"/>
  <c r="AB116" i="100"/>
  <c r="AK116" i="100"/>
  <c r="AB122" i="100"/>
  <c r="AF122" i="100"/>
  <c r="AJ122" i="100"/>
  <c r="AN122" i="100"/>
  <c r="AA125" i="100"/>
  <c r="AM127" i="100"/>
  <c r="AD142" i="100"/>
  <c r="AE143" i="100"/>
  <c r="AI151" i="100"/>
  <c r="AE155" i="100"/>
  <c r="Z158" i="100"/>
  <c r="AE80" i="100"/>
  <c r="AM80" i="100"/>
  <c r="AC81" i="100"/>
  <c r="AK81" i="100"/>
  <c r="AD85" i="100"/>
  <c r="AL85" i="100"/>
  <c r="AB86" i="100"/>
  <c r="AJ86" i="100"/>
  <c r="Z87" i="100"/>
  <c r="AH87" i="100"/>
  <c r="AE90" i="100"/>
  <c r="AM90" i="100"/>
  <c r="AD91" i="100"/>
  <c r="AL91" i="100"/>
  <c r="AF99" i="100"/>
  <c r="AN99" i="100"/>
  <c r="AF104" i="100"/>
  <c r="AN104" i="100"/>
  <c r="AK108" i="100"/>
  <c r="AC109" i="100"/>
  <c r="AL109" i="100"/>
  <c r="AC110" i="100"/>
  <c r="AL110" i="100"/>
  <c r="AC112" i="100"/>
  <c r="AD113" i="100"/>
  <c r="AM113" i="100"/>
  <c r="AD115" i="100"/>
  <c r="AC116" i="100"/>
  <c r="Y119" i="100"/>
  <c r="AC119" i="100"/>
  <c r="AG119" i="100"/>
  <c r="AK119" i="100"/>
  <c r="AK120" i="100"/>
  <c r="AN121" i="100"/>
  <c r="AE122" i="100"/>
  <c r="Z123" i="100"/>
  <c r="AD123" i="100"/>
  <c r="AH123" i="100"/>
  <c r="AL123" i="100"/>
  <c r="AB125" i="100"/>
  <c r="AJ125" i="100"/>
  <c r="AC125" i="100"/>
  <c r="Z127" i="100"/>
  <c r="AH127" i="100"/>
  <c r="Y127" i="100"/>
  <c r="AB129" i="100"/>
  <c r="AF129" i="100"/>
  <c r="AJ129" i="100"/>
  <c r="AN129" i="100"/>
  <c r="Z131" i="100"/>
  <c r="AD131" i="100"/>
  <c r="AH131" i="100"/>
  <c r="AL131" i="100"/>
  <c r="AB133" i="100"/>
  <c r="AF133" i="100"/>
  <c r="AJ133" i="100"/>
  <c r="AN133" i="100"/>
  <c r="Z135" i="100"/>
  <c r="AD135" i="100"/>
  <c r="AH135" i="100"/>
  <c r="AL135" i="100"/>
  <c r="AB137" i="100"/>
  <c r="AF137" i="100"/>
  <c r="AJ137" i="100"/>
  <c r="AN137" i="100"/>
  <c r="AG137" i="100"/>
  <c r="AE139" i="100"/>
  <c r="AM139" i="100"/>
  <c r="Y140" i="100"/>
  <c r="Y143" i="100"/>
  <c r="AC142" i="100"/>
  <c r="AC140" i="100"/>
  <c r="AG140" i="100"/>
  <c r="AG143" i="100"/>
  <c r="AK142" i="100"/>
  <c r="AK140" i="100"/>
  <c r="AD141" i="100"/>
  <c r="AF143" i="100"/>
  <c r="AN143" i="100"/>
  <c r="AB149" i="100"/>
  <c r="AB152" i="100"/>
  <c r="AJ149" i="100"/>
  <c r="AJ152" i="100"/>
  <c r="AI149" i="100"/>
  <c r="Z151" i="100"/>
  <c r="Z149" i="100"/>
  <c r="AH151" i="100"/>
  <c r="AH149" i="100"/>
  <c r="Y151" i="100"/>
  <c r="Y160" i="100"/>
  <c r="Y158" i="100"/>
  <c r="AG160" i="100"/>
  <c r="AG158" i="100"/>
  <c r="AD81" i="100"/>
  <c r="AL81" i="100"/>
  <c r="AC86" i="100"/>
  <c r="AK86" i="100"/>
  <c r="AC108" i="100"/>
  <c r="AM108" i="100"/>
  <c r="AD109" i="100"/>
  <c r="AM109" i="100"/>
  <c r="AD110" i="100"/>
  <c r="AF111" i="100"/>
  <c r="AN111" i="100"/>
  <c r="AL111" i="100"/>
  <c r="AN112" i="100"/>
  <c r="AE113" i="100"/>
  <c r="AN116" i="100"/>
  <c r="AA120" i="100"/>
  <c r="AE125" i="100"/>
  <c r="AF140" i="100"/>
  <c r="AB143" i="100"/>
  <c r="AF141" i="100"/>
  <c r="AJ143" i="100"/>
  <c r="AN141" i="100"/>
  <c r="AA151" i="100"/>
  <c r="AE153" i="100"/>
  <c r="Y157" i="100"/>
  <c r="AG157" i="100"/>
  <c r="AB158" i="100"/>
  <c r="AH158" i="100"/>
  <c r="Z160" i="100"/>
  <c r="AH160" i="100"/>
  <c r="AG171" i="100"/>
  <c r="AC175" i="100"/>
  <c r="AL175" i="100"/>
  <c r="AM178" i="100"/>
  <c r="AN181" i="100"/>
  <c r="AL183" i="100"/>
  <c r="Z191" i="100"/>
  <c r="F194" i="100"/>
  <c r="AA196" i="100" s="1"/>
  <c r="N195" i="100"/>
  <c r="AI195" i="100" s="1"/>
  <c r="Z199" i="100"/>
  <c r="AH199" i="100"/>
  <c r="Y197" i="100"/>
  <c r="AK197" i="100"/>
  <c r="AC199" i="100"/>
  <c r="AN199" i="100"/>
  <c r="Y202" i="100"/>
  <c r="AG202" i="100"/>
  <c r="AF164" i="100"/>
  <c r="AN164" i="100"/>
  <c r="AB168" i="100"/>
  <c r="AJ168" i="100"/>
  <c r="Z172" i="100"/>
  <c r="AA173" i="100"/>
  <c r="AC174" i="100"/>
  <c r="AK174" i="100"/>
  <c r="AB174" i="100"/>
  <c r="AM175" i="100"/>
  <c r="Y177" i="100"/>
  <c r="AJ177" i="100"/>
  <c r="AN178" i="100"/>
  <c r="AF179" i="100"/>
  <c r="AN179" i="100"/>
  <c r="AG179" i="100"/>
  <c r="Z180" i="100"/>
  <c r="AK180" i="100"/>
  <c r="AE181" i="100"/>
  <c r="AB183" i="100"/>
  <c r="AJ183" i="100"/>
  <c r="AC183" i="100"/>
  <c r="AM183" i="100"/>
  <c r="Y185" i="100"/>
  <c r="AJ185" i="100"/>
  <c r="AN186" i="100"/>
  <c r="AF187" i="100"/>
  <c r="AN187" i="100"/>
  <c r="AG187" i="100"/>
  <c r="Z188" i="100"/>
  <c r="AK188" i="100"/>
  <c r="O190" i="100"/>
  <c r="G194" i="100"/>
  <c r="Q194" i="100"/>
  <c r="AL194" i="100" s="1"/>
  <c r="AA197" i="100"/>
  <c r="AA198" i="100"/>
  <c r="AI197" i="100"/>
  <c r="AI198" i="100"/>
  <c r="Z197" i="100"/>
  <c r="AJ199" i="100"/>
  <c r="AJ197" i="100"/>
  <c r="AD199" i="100"/>
  <c r="AG200" i="100"/>
  <c r="Y201" i="100"/>
  <c r="Y203" i="100"/>
  <c r="Y204" i="100"/>
  <c r="AI204" i="100"/>
  <c r="AB141" i="100"/>
  <c r="AJ141" i="100"/>
  <c r="AF149" i="100"/>
  <c r="AN149" i="100"/>
  <c r="AE150" i="100"/>
  <c r="AM150" i="100"/>
  <c r="AB153" i="100"/>
  <c r="AJ153" i="100"/>
  <c r="AA154" i="100"/>
  <c r="AI154" i="100"/>
  <c r="AG156" i="100"/>
  <c r="AF157" i="100"/>
  <c r="AN157" i="100"/>
  <c r="AE158" i="100"/>
  <c r="AM158" i="100"/>
  <c r="AK160" i="100"/>
  <c r="AB161" i="100"/>
  <c r="AA162" i="100"/>
  <c r="AB173" i="100"/>
  <c r="AK173" i="100"/>
  <c r="AN175" i="100"/>
  <c r="AF176" i="100"/>
  <c r="AN176" i="100"/>
  <c r="AG176" i="100"/>
  <c r="AD178" i="100"/>
  <c r="AL178" i="100"/>
  <c r="AE178" i="100"/>
  <c r="AH179" i="100"/>
  <c r="AB180" i="100"/>
  <c r="AJ180" i="100"/>
  <c r="AF181" i="100"/>
  <c r="Z182" i="100"/>
  <c r="AH182" i="100"/>
  <c r="AJ182" i="100"/>
  <c r="AD183" i="100"/>
  <c r="AF184" i="100"/>
  <c r="AN184" i="100"/>
  <c r="AG184" i="100"/>
  <c r="AA185" i="100"/>
  <c r="AK185" i="100"/>
  <c r="AD186" i="100"/>
  <c r="AL186" i="100"/>
  <c r="AH187" i="100"/>
  <c r="AB188" i="100"/>
  <c r="AJ188" i="100"/>
  <c r="Z190" i="100"/>
  <c r="Y191" i="100"/>
  <c r="N191" i="100"/>
  <c r="AI192" i="100" s="1"/>
  <c r="Y193" i="100"/>
  <c r="S194" i="100"/>
  <c r="AN195" i="100" s="1"/>
  <c r="AB200" i="100"/>
  <c r="AB197" i="100"/>
  <c r="AN197" i="100"/>
  <c r="AJ198" i="100"/>
  <c r="AH200" i="100"/>
  <c r="Z200" i="100"/>
  <c r="AB201" i="100"/>
  <c r="AA202" i="100"/>
  <c r="AB204" i="100"/>
  <c r="AD173" i="100"/>
  <c r="AL173" i="100"/>
  <c r="AL177" i="100"/>
  <c r="AF178" i="100"/>
  <c r="AC180" i="100"/>
  <c r="AL182" i="100"/>
  <c r="AE183" i="100"/>
  <c r="AL185" i="100"/>
  <c r="AF186" i="100"/>
  <c r="AC188" i="100"/>
  <c r="G190" i="100"/>
  <c r="O191" i="100"/>
  <c r="AN192" i="100"/>
  <c r="I194" i="100"/>
  <c r="AD194" i="100" s="1"/>
  <c r="G195" i="100"/>
  <c r="R195" i="100"/>
  <c r="AM195" i="100" s="1"/>
  <c r="AL198" i="100"/>
  <c r="AA200" i="100"/>
  <c r="AI200" i="100"/>
  <c r="AE201" i="100"/>
  <c r="AB202" i="100"/>
  <c r="AJ202" i="100"/>
  <c r="AI202" i="100"/>
  <c r="AM140" i="100"/>
  <c r="AD161" i="100"/>
  <c r="AL161" i="100"/>
  <c r="AC162" i="100"/>
  <c r="AK162" i="100"/>
  <c r="Z165" i="100"/>
  <c r="AH165" i="100"/>
  <c r="Y166" i="100"/>
  <c r="AG166" i="100"/>
  <c r="AD169" i="100"/>
  <c r="AL169" i="100"/>
  <c r="Y176" i="100"/>
  <c r="AJ179" i="100"/>
  <c r="AH181" i="100"/>
  <c r="AB182" i="100"/>
  <c r="AF183" i="100"/>
  <c r="AJ187" i="100"/>
  <c r="F191" i="100"/>
  <c r="AA191" i="100" s="1"/>
  <c r="K194" i="100"/>
  <c r="AF195" i="100" s="1"/>
  <c r="Z196" i="100"/>
  <c r="AI199" i="100"/>
  <c r="AF201" i="100"/>
  <c r="AE172" i="100"/>
  <c r="AM172" i="100"/>
  <c r="AD172" i="100"/>
  <c r="AN172" i="100"/>
  <c r="Y175" i="100"/>
  <c r="Z176" i="100"/>
  <c r="AD177" i="100"/>
  <c r="Z184" i="100"/>
  <c r="AK184" i="100"/>
  <c r="AD185" i="100"/>
  <c r="G191" i="100"/>
  <c r="J195" i="100"/>
  <c r="AE195" i="100" s="1"/>
  <c r="AB198" i="100"/>
  <c r="AC200" i="100"/>
  <c r="AK200" i="100"/>
  <c r="AG201" i="100"/>
  <c r="AB205" i="100"/>
  <c r="AB206" i="100"/>
  <c r="AF169" i="100"/>
  <c r="Z178" i="100"/>
  <c r="AC179" i="100"/>
  <c r="AK179" i="100"/>
  <c r="AM179" i="100"/>
  <c r="AG180" i="100"/>
  <c r="AA181" i="100"/>
  <c r="AI181" i="100"/>
  <c r="Z181" i="100"/>
  <c r="AK181" i="100"/>
  <c r="Y183" i="100"/>
  <c r="AG183" i="100"/>
  <c r="AI183" i="100"/>
  <c r="AB184" i="100"/>
  <c r="AL184" i="100"/>
  <c r="AE185" i="100"/>
  <c r="AM185" i="100"/>
  <c r="AC187" i="100"/>
  <c r="AK187" i="100"/>
  <c r="AM187" i="100"/>
  <c r="AG188" i="100"/>
  <c r="H191" i="100"/>
  <c r="AC191" i="100" s="1"/>
  <c r="P191" i="100"/>
  <c r="AK191" i="100" s="1"/>
  <c r="Y190" i="100"/>
  <c r="Y195" i="100"/>
  <c r="AL199" i="100"/>
  <c r="AL200" i="100"/>
  <c r="AA203" i="100"/>
  <c r="AA201" i="100"/>
  <c r="AI203" i="100"/>
  <c r="AB208" i="100"/>
  <c r="AF171" i="100"/>
  <c r="AN171" i="100"/>
  <c r="AB175" i="100"/>
  <c r="AJ175" i="100"/>
  <c r="AG177" i="100"/>
  <c r="AH180" i="100"/>
  <c r="AK183" i="100"/>
  <c r="AG185" i="100"/>
  <c r="AH188" i="100"/>
  <c r="L195" i="100"/>
  <c r="AG195" i="100" s="1"/>
  <c r="Z195" i="100"/>
  <c r="Y200" i="100"/>
  <c r="AH197" i="100"/>
  <c r="AA199" i="100"/>
  <c r="AN201" i="100"/>
  <c r="AF202" i="100"/>
  <c r="AN202" i="100"/>
  <c r="AJ203" i="100"/>
  <c r="AG204" i="100"/>
  <c r="AC204" i="100"/>
  <c r="AL205" i="100"/>
  <c r="AF205" i="100"/>
  <c r="AA206" i="100"/>
  <c r="AI206" i="100"/>
  <c r="Z206" i="100"/>
  <c r="AN207" i="100"/>
  <c r="AI207" i="100"/>
  <c r="Z209" i="100"/>
  <c r="Z212" i="100"/>
  <c r="AH209" i="100"/>
  <c r="AH212" i="100"/>
  <c r="Y209" i="100"/>
  <c r="AM209" i="100"/>
  <c r="AN210" i="100"/>
  <c r="AF211" i="100"/>
  <c r="AN211" i="100"/>
  <c r="AK211" i="100"/>
  <c r="AM212" i="100"/>
  <c r="AA6" i="111"/>
  <c r="AE6" i="111"/>
  <c r="Z8" i="111"/>
  <c r="AH8" i="111"/>
  <c r="AC8" i="111"/>
  <c r="Z11" i="111"/>
  <c r="AC14" i="111"/>
  <c r="Y14" i="111"/>
  <c r="Z19" i="111"/>
  <c r="Z28" i="111"/>
  <c r="AC31" i="111"/>
  <c r="Y31" i="111"/>
  <c r="AC39" i="111"/>
  <c r="Y39" i="111"/>
  <c r="AF40" i="111"/>
  <c r="Y41" i="111"/>
  <c r="AA52" i="111"/>
  <c r="AI71" i="111"/>
  <c r="AC202" i="100"/>
  <c r="AL202" i="100"/>
  <c r="AE204" i="100"/>
  <c r="AM204" i="100"/>
  <c r="AD204" i="100"/>
  <c r="AF208" i="100"/>
  <c r="AI211" i="100"/>
  <c r="AA209" i="100"/>
  <c r="AN212" i="100"/>
  <c r="AB6" i="111"/>
  <c r="AJ6" i="111"/>
  <c r="AH6" i="111"/>
  <c r="Y19" i="111"/>
  <c r="AG41" i="111"/>
  <c r="Z50" i="111"/>
  <c r="AH50" i="111"/>
  <c r="AE50" i="111"/>
  <c r="AG79" i="111"/>
  <c r="AJ79" i="111"/>
  <c r="AE79" i="111"/>
  <c r="AB79" i="111"/>
  <c r="Y79" i="111"/>
  <c r="AH205" i="100"/>
  <c r="AC205" i="100"/>
  <c r="AK206" i="100"/>
  <c r="Z207" i="100"/>
  <c r="AH207" i="100"/>
  <c r="AK207" i="100"/>
  <c r="AE208" i="100"/>
  <c r="AB209" i="100"/>
  <c r="AB210" i="100"/>
  <c r="AJ209" i="100"/>
  <c r="AJ212" i="100"/>
  <c r="AJ210" i="100"/>
  <c r="AC209" i="100"/>
  <c r="Z210" i="100"/>
  <c r="Z211" i="100"/>
  <c r="AH211" i="100"/>
  <c r="Y211" i="100"/>
  <c r="Y212" i="100"/>
  <c r="AG212" i="100"/>
  <c r="AJ8" i="111"/>
  <c r="X14" i="111"/>
  <c r="AF14" i="111"/>
  <c r="X31" i="111"/>
  <c r="AF31" i="111"/>
  <c r="X39" i="111"/>
  <c r="AF39" i="111"/>
  <c r="Z40" i="111"/>
  <c r="AH40" i="111"/>
  <c r="AA41" i="111"/>
  <c r="AI41" i="111"/>
  <c r="AH41" i="111"/>
  <c r="AI50" i="111"/>
  <c r="AI52" i="111"/>
  <c r="AK68" i="111"/>
  <c r="AJ68" i="111"/>
  <c r="W68" i="111"/>
  <c r="AG68" i="111"/>
  <c r="AE68" i="111"/>
  <c r="AA68" i="111"/>
  <c r="AF79" i="111"/>
  <c r="AF203" i="100"/>
  <c r="AN203" i="100"/>
  <c r="AD206" i="100"/>
  <c r="AA207" i="100"/>
  <c r="AJ208" i="100"/>
  <c r="AA211" i="100"/>
  <c r="AA212" i="100"/>
  <c r="AI6" i="111"/>
  <c r="Y6" i="111"/>
  <c r="AG6" i="111"/>
  <c r="AB52" i="111"/>
  <c r="AJ52" i="111"/>
  <c r="AK61" i="111"/>
  <c r="AI61" i="111"/>
  <c r="AA61" i="111"/>
  <c r="AK71" i="111"/>
  <c r="AF71" i="111"/>
  <c r="X71" i="111"/>
  <c r="AE71" i="111"/>
  <c r="AK79" i="111"/>
  <c r="Y205" i="100"/>
  <c r="Y208" i="100"/>
  <c r="AG208" i="100"/>
  <c r="AL208" i="100"/>
  <c r="AL210" i="100"/>
  <c r="AE209" i="100"/>
  <c r="AF210" i="100"/>
  <c r="W6" i="111"/>
  <c r="AG8" i="111"/>
  <c r="W8" i="111"/>
  <c r="AE8" i="111"/>
  <c r="AK41" i="111"/>
  <c r="AE61" i="111"/>
  <c r="Y61" i="111"/>
  <c r="AI205" i="100"/>
  <c r="AA205" i="100"/>
  <c r="AH206" i="100"/>
  <c r="Z208" i="100"/>
  <c r="AM208" i="100"/>
  <c r="AC211" i="100"/>
  <c r="AE211" i="100"/>
  <c r="X6" i="111"/>
  <c r="AF6" i="111"/>
  <c r="Z6" i="111"/>
  <c r="AF41" i="111"/>
  <c r="AB41" i="111"/>
  <c r="AC50" i="111"/>
  <c r="AA50" i="111"/>
  <c r="AG52" i="111"/>
  <c r="AC52" i="111"/>
  <c r="AK72" i="111"/>
  <c r="AJ72" i="111"/>
  <c r="W72" i="111"/>
  <c r="AH72" i="111"/>
  <c r="AG72" i="111"/>
  <c r="AE72" i="111"/>
  <c r="AB72" i="111"/>
  <c r="AJ206" i="100"/>
  <c r="AI209" i="100"/>
  <c r="AC212" i="100"/>
  <c r="AK212" i="100"/>
  <c r="AF212" i="100"/>
  <c r="AC6" i="111"/>
  <c r="AF11" i="111"/>
  <c r="AB11" i="111"/>
  <c r="AF19" i="111"/>
  <c r="AB19" i="111"/>
  <c r="AF28" i="111"/>
  <c r="AB28" i="111"/>
  <c r="AF36" i="111"/>
  <c r="AB36" i="111"/>
  <c r="AC40" i="111"/>
  <c r="AA40" i="111"/>
  <c r="W41" i="111"/>
  <c r="AE41" i="111"/>
  <c r="X41" i="111"/>
  <c r="W50" i="111"/>
  <c r="Y52" i="111"/>
  <c r="AJ61" i="111"/>
  <c r="Z201" i="100"/>
  <c r="AH201" i="100"/>
  <c r="AL206" i="100"/>
  <c r="AE207" i="100"/>
  <c r="AL209" i="100"/>
  <c r="AE210" i="100"/>
  <c r="AM210" i="100"/>
  <c r="AK210" i="100"/>
  <c r="Y8" i="111"/>
  <c r="AB8" i="111"/>
  <c r="AG10" i="111"/>
  <c r="AC10" i="111"/>
  <c r="W11" i="111"/>
  <c r="AE11" i="111"/>
  <c r="X11" i="111"/>
  <c r="AC16" i="111"/>
  <c r="AA16" i="111"/>
  <c r="AG18" i="111"/>
  <c r="AC18" i="111"/>
  <c r="W19" i="111"/>
  <c r="AE19" i="111"/>
  <c r="X19" i="111"/>
  <c r="AC21" i="111"/>
  <c r="AA21" i="111"/>
  <c r="AG27" i="111"/>
  <c r="AC27" i="111"/>
  <c r="W28" i="111"/>
  <c r="AE28" i="111"/>
  <c r="X28" i="111"/>
  <c r="AC33" i="111"/>
  <c r="AA33" i="111"/>
  <c r="AG35" i="111"/>
  <c r="AC35" i="111"/>
  <c r="W36" i="111"/>
  <c r="AE36" i="111"/>
  <c r="X36" i="111"/>
  <c r="W40" i="111"/>
  <c r="Z41" i="111"/>
  <c r="AC48" i="111"/>
  <c r="Y48" i="111"/>
  <c r="AF50" i="111"/>
  <c r="X52" i="111"/>
  <c r="AF52" i="111"/>
  <c r="Z61" i="111"/>
  <c r="AH61" i="111"/>
  <c r="Z71" i="111"/>
  <c r="AH71" i="111"/>
  <c r="AF72" i="111"/>
  <c r="AH34" i="102"/>
  <c r="Z34" i="102"/>
  <c r="AH33" i="102"/>
  <c r="Z33" i="102"/>
  <c r="AH32" i="102"/>
  <c r="Z32" i="102"/>
  <c r="AH31" i="102"/>
  <c r="Z31" i="102"/>
  <c r="AF34" i="102"/>
  <c r="W34" i="102"/>
  <c r="AB33" i="102"/>
  <c r="AF32" i="102"/>
  <c r="W32" i="102"/>
  <c r="AB31" i="102"/>
  <c r="AC34" i="102"/>
  <c r="AD33" i="102"/>
  <c r="AD32" i="102"/>
  <c r="AE31" i="102"/>
  <c r="U31" i="102"/>
  <c r="AI34" i="102"/>
  <c r="V34" i="102"/>
  <c r="AE33" i="102"/>
  <c r="AA32" i="102"/>
  <c r="AI31" i="102"/>
  <c r="W31" i="102"/>
  <c r="AB34" i="102"/>
  <c r="AJ33" i="102"/>
  <c r="X33" i="102"/>
  <c r="AG32" i="102"/>
  <c r="U32" i="102"/>
  <c r="AC31" i="102"/>
  <c r="AA34" i="102"/>
  <c r="AI33" i="102"/>
  <c r="W33" i="102"/>
  <c r="AE32" i="102"/>
  <c r="AA31" i="102"/>
  <c r="Y29" i="102"/>
  <c r="V31" i="102"/>
  <c r="AB32" i="102"/>
  <c r="AG33" i="102"/>
  <c r="U34" i="102"/>
  <c r="Y16" i="111"/>
  <c r="AG16" i="111"/>
  <c r="Y21" i="111"/>
  <c r="AG21" i="111"/>
  <c r="Y33" i="111"/>
  <c r="AG33" i="111"/>
  <c r="Y40" i="111"/>
  <c r="AG40" i="111"/>
  <c r="Y50" i="111"/>
  <c r="AG50" i="111"/>
  <c r="AA55" i="111"/>
  <c r="AI55" i="111"/>
  <c r="AJ58" i="111"/>
  <c r="AG58" i="111"/>
  <c r="AA59" i="111"/>
  <c r="AG61" i="111"/>
  <c r="AA66" i="111"/>
  <c r="Y68" i="111"/>
  <c r="AG71" i="111"/>
  <c r="Y72" i="111"/>
  <c r="AJ76" i="111"/>
  <c r="AG76" i="111"/>
  <c r="AI77" i="111"/>
  <c r="W79" i="111"/>
  <c r="AI80" i="111"/>
  <c r="G10" i="102"/>
  <c r="L11" i="102"/>
  <c r="O12" i="102"/>
  <c r="G13" i="102"/>
  <c r="D17" i="102"/>
  <c r="X17" i="102"/>
  <c r="H18" i="102"/>
  <c r="Z18" i="102"/>
  <c r="I19" i="102"/>
  <c r="Z19" i="102"/>
  <c r="AC20" i="102"/>
  <c r="D31" i="102"/>
  <c r="X31" i="102"/>
  <c r="J32" i="102"/>
  <c r="AC32" i="102"/>
  <c r="N33" i="102"/>
  <c r="D34" i="102"/>
  <c r="X34" i="102"/>
  <c r="E40" i="102"/>
  <c r="C41" i="102"/>
  <c r="L83" i="102"/>
  <c r="D83" i="102"/>
  <c r="L82" i="102"/>
  <c r="D82" i="102"/>
  <c r="L81" i="102"/>
  <c r="D81" i="102"/>
  <c r="L80" i="102"/>
  <c r="D80" i="102"/>
  <c r="K83" i="102"/>
  <c r="P82" i="102"/>
  <c r="G82" i="102"/>
  <c r="K81" i="102"/>
  <c r="P80" i="102"/>
  <c r="G80" i="102"/>
  <c r="I83" i="102"/>
  <c r="J82" i="102"/>
  <c r="J81" i="102"/>
  <c r="K80" i="102"/>
  <c r="R83" i="102"/>
  <c r="G83" i="102"/>
  <c r="O82" i="102"/>
  <c r="C82" i="102"/>
  <c r="M81" i="102"/>
  <c r="H80" i="102"/>
  <c r="H83" i="102"/>
  <c r="M82" i="102"/>
  <c r="Q81" i="102"/>
  <c r="E81" i="102"/>
  <c r="I80" i="102"/>
  <c r="P83" i="102"/>
  <c r="C83" i="102"/>
  <c r="H82" i="102"/>
  <c r="N81" i="102"/>
  <c r="Q80" i="102"/>
  <c r="C80" i="102"/>
  <c r="O83" i="102"/>
  <c r="F82" i="102"/>
  <c r="I81" i="102"/>
  <c r="O80" i="102"/>
  <c r="N83" i="102"/>
  <c r="R82" i="102"/>
  <c r="E82" i="102"/>
  <c r="H81" i="102"/>
  <c r="N80" i="102"/>
  <c r="R80" i="102"/>
  <c r="C81" i="102"/>
  <c r="N82" i="102"/>
  <c r="AJ17" i="105"/>
  <c r="AB18" i="105"/>
  <c r="AB19" i="105"/>
  <c r="AH68" i="111"/>
  <c r="Z72" i="111"/>
  <c r="X79" i="111"/>
  <c r="Y31" i="102"/>
  <c r="AI32" i="102"/>
  <c r="U33" i="102"/>
  <c r="Y34" i="102"/>
  <c r="AB53" i="111"/>
  <c r="AK55" i="111"/>
  <c r="AK59" i="111"/>
  <c r="AH66" i="111"/>
  <c r="AA71" i="111"/>
  <c r="AK76" i="111"/>
  <c r="AC77" i="111"/>
  <c r="AC80" i="111"/>
  <c r="L10" i="102"/>
  <c r="N11" i="102"/>
  <c r="D12" i="102"/>
  <c r="AB17" i="102"/>
  <c r="AD18" i="102"/>
  <c r="AF19" i="102"/>
  <c r="AG20" i="102"/>
  <c r="F31" i="102"/>
  <c r="AD31" i="102"/>
  <c r="N32" i="102"/>
  <c r="AJ32" i="102"/>
  <c r="V33" i="102"/>
  <c r="G34" i="102"/>
  <c r="AD34" i="102"/>
  <c r="F38" i="102"/>
  <c r="I39" i="102"/>
  <c r="K40" i="102"/>
  <c r="G41" i="102"/>
  <c r="P11" i="105"/>
  <c r="AB20" i="105"/>
  <c r="AJ55" i="111"/>
  <c r="X59" i="111"/>
  <c r="AJ59" i="111"/>
  <c r="AI59" i="111"/>
  <c r="AK66" i="111"/>
  <c r="AB68" i="111"/>
  <c r="AH77" i="111"/>
  <c r="W77" i="111"/>
  <c r="AH79" i="111"/>
  <c r="AG80" i="111"/>
  <c r="Y80" i="111"/>
  <c r="Q13" i="102"/>
  <c r="I13" i="102"/>
  <c r="Q12" i="102"/>
  <c r="I12" i="102"/>
  <c r="Q11" i="102"/>
  <c r="I11" i="102"/>
  <c r="Q10" i="102"/>
  <c r="I10" i="102"/>
  <c r="O13" i="102"/>
  <c r="F13" i="102"/>
  <c r="K12" i="102"/>
  <c r="O11" i="102"/>
  <c r="F11" i="102"/>
  <c r="K10" i="102"/>
  <c r="J13" i="102"/>
  <c r="M12" i="102"/>
  <c r="C12" i="102"/>
  <c r="P11" i="102"/>
  <c r="E11" i="102"/>
  <c r="H10" i="102"/>
  <c r="P8" i="102"/>
  <c r="N13" i="102"/>
  <c r="D13" i="102"/>
  <c r="R12" i="102"/>
  <c r="G12" i="102"/>
  <c r="K11" i="102"/>
  <c r="N10" i="102"/>
  <c r="D10" i="102"/>
  <c r="M13" i="102"/>
  <c r="C13" i="102"/>
  <c r="P12" i="102"/>
  <c r="F12" i="102"/>
  <c r="J11" i="102"/>
  <c r="M10" i="102"/>
  <c r="C10" i="102"/>
  <c r="O10" i="102"/>
  <c r="R11" i="102"/>
  <c r="E12" i="102"/>
  <c r="L13" i="102"/>
  <c r="AF17" i="102"/>
  <c r="AG18" i="102"/>
  <c r="AG19" i="102"/>
  <c r="AI20" i="102"/>
  <c r="K31" i="102"/>
  <c r="AF31" i="102"/>
  <c r="O32" i="102"/>
  <c r="C33" i="102"/>
  <c r="Y33" i="102"/>
  <c r="J34" i="102"/>
  <c r="AE34" i="102"/>
  <c r="H38" i="102"/>
  <c r="M39" i="102"/>
  <c r="N40" i="102"/>
  <c r="I41" i="102"/>
  <c r="L13" i="105"/>
  <c r="D13" i="105"/>
  <c r="L12" i="105"/>
  <c r="D12" i="105"/>
  <c r="L11" i="105"/>
  <c r="D11" i="105"/>
  <c r="L10" i="105"/>
  <c r="D10" i="105"/>
  <c r="N13" i="105"/>
  <c r="E13" i="105"/>
  <c r="R12" i="105"/>
  <c r="I12" i="105"/>
  <c r="N11" i="105"/>
  <c r="E11" i="105"/>
  <c r="R10" i="105"/>
  <c r="I10" i="105"/>
  <c r="P8" i="105"/>
  <c r="M13" i="105"/>
  <c r="N12" i="105"/>
  <c r="C12" i="105"/>
  <c r="O11" i="105"/>
  <c r="C11" i="105"/>
  <c r="O10" i="105"/>
  <c r="E10" i="105"/>
  <c r="O13" i="105"/>
  <c r="J12" i="105"/>
  <c r="R11" i="105"/>
  <c r="G11" i="105"/>
  <c r="N10" i="105"/>
  <c r="H13" i="105"/>
  <c r="P12" i="105"/>
  <c r="E12" i="105"/>
  <c r="K11" i="105"/>
  <c r="H10" i="105"/>
  <c r="R13" i="105"/>
  <c r="C13" i="105"/>
  <c r="C10" i="105"/>
  <c r="Q13" i="105"/>
  <c r="Q12" i="105"/>
  <c r="Q11" i="105"/>
  <c r="Q10" i="105"/>
  <c r="K13" i="105"/>
  <c r="M12" i="105"/>
  <c r="M11" i="105"/>
  <c r="M10" i="105"/>
  <c r="J13" i="105"/>
  <c r="K12" i="105"/>
  <c r="J11" i="105"/>
  <c r="K10" i="105"/>
  <c r="I13" i="105"/>
  <c r="H12" i="105"/>
  <c r="I11" i="105"/>
  <c r="J10" i="105"/>
  <c r="G13" i="105"/>
  <c r="G12" i="105"/>
  <c r="H11" i="105"/>
  <c r="G10" i="105"/>
  <c r="W10" i="111"/>
  <c r="AE10" i="111"/>
  <c r="AA14" i="111"/>
  <c r="AI14" i="111"/>
  <c r="W18" i="111"/>
  <c r="AE18" i="111"/>
  <c r="W27" i="111"/>
  <c r="AE27" i="111"/>
  <c r="AA31" i="111"/>
  <c r="AI31" i="111"/>
  <c r="W35" i="111"/>
  <c r="AE35" i="111"/>
  <c r="AA39" i="111"/>
  <c r="AI39" i="111"/>
  <c r="AA48" i="111"/>
  <c r="AI48" i="111"/>
  <c r="W52" i="111"/>
  <c r="AE52" i="111"/>
  <c r="AF53" i="111"/>
  <c r="W55" i="111"/>
  <c r="AE55" i="111"/>
  <c r="X55" i="111"/>
  <c r="X58" i="111"/>
  <c r="AF58" i="111"/>
  <c r="Y58" i="111"/>
  <c r="W59" i="111"/>
  <c r="AE59" i="111"/>
  <c r="AC61" i="111"/>
  <c r="AE66" i="111"/>
  <c r="W66" i="111"/>
  <c r="X67" i="111"/>
  <c r="AJ67" i="111"/>
  <c r="AI67" i="111"/>
  <c r="AC68" i="111"/>
  <c r="AC71" i="111"/>
  <c r="AC72" i="111"/>
  <c r="X76" i="111"/>
  <c r="AA79" i="111"/>
  <c r="AI79" i="111"/>
  <c r="P10" i="102"/>
  <c r="C11" i="102"/>
  <c r="H12" i="102"/>
  <c r="P13" i="102"/>
  <c r="M20" i="102"/>
  <c r="E20" i="102"/>
  <c r="M19" i="102"/>
  <c r="E19" i="102"/>
  <c r="M18" i="102"/>
  <c r="E18" i="102"/>
  <c r="M17" i="102"/>
  <c r="E17" i="102"/>
  <c r="K20" i="102"/>
  <c r="P19" i="102"/>
  <c r="G19" i="102"/>
  <c r="K18" i="102"/>
  <c r="P17" i="102"/>
  <c r="G17" i="102"/>
  <c r="J20" i="102"/>
  <c r="K19" i="102"/>
  <c r="L18" i="102"/>
  <c r="L17" i="102"/>
  <c r="P20" i="102"/>
  <c r="F20" i="102"/>
  <c r="Q19" i="102"/>
  <c r="F19" i="102"/>
  <c r="Q18" i="102"/>
  <c r="G18" i="102"/>
  <c r="R17" i="102"/>
  <c r="H17" i="102"/>
  <c r="O20" i="102"/>
  <c r="D20" i="102"/>
  <c r="O19" i="102"/>
  <c r="D19" i="102"/>
  <c r="P18" i="102"/>
  <c r="F18" i="102"/>
  <c r="Q17" i="102"/>
  <c r="F17" i="102"/>
  <c r="N17" i="102"/>
  <c r="AG17" i="102"/>
  <c r="O18" i="102"/>
  <c r="AH18" i="102"/>
  <c r="R19" i="102"/>
  <c r="AI19" i="102"/>
  <c r="R20" i="102"/>
  <c r="L31" i="102"/>
  <c r="AG31" i="102"/>
  <c r="V32" i="102"/>
  <c r="E33" i="102"/>
  <c r="AA33" i="102"/>
  <c r="AG34" i="102"/>
  <c r="I38" i="102"/>
  <c r="N39" i="102"/>
  <c r="P40" i="102"/>
  <c r="W61" i="111"/>
  <c r="W71" i="111"/>
  <c r="AE20" i="102"/>
  <c r="W20" i="102"/>
  <c r="AE19" i="102"/>
  <c r="W19" i="102"/>
  <c r="AE18" i="102"/>
  <c r="W18" i="102"/>
  <c r="AE17" i="102"/>
  <c r="W17" i="102"/>
  <c r="AF20" i="102"/>
  <c r="V20" i="102"/>
  <c r="AJ19" i="102"/>
  <c r="AA19" i="102"/>
  <c r="AF18" i="102"/>
  <c r="V18" i="102"/>
  <c r="AJ17" i="102"/>
  <c r="AA17" i="102"/>
  <c r="AH20" i="102"/>
  <c r="X20" i="102"/>
  <c r="AH19" i="102"/>
  <c r="X19" i="102"/>
  <c r="AI18" i="102"/>
  <c r="Y18" i="102"/>
  <c r="AI17" i="102"/>
  <c r="Y17" i="102"/>
  <c r="Y15" i="102"/>
  <c r="AB20" i="102"/>
  <c r="AC19" i="102"/>
  <c r="AC18" i="102"/>
  <c r="AD17" i="102"/>
  <c r="AA20" i="102"/>
  <c r="AB19" i="102"/>
  <c r="AB18" i="102"/>
  <c r="AC17" i="102"/>
  <c r="U17" i="102"/>
  <c r="U18" i="102"/>
  <c r="V19" i="102"/>
  <c r="Y20" i="102"/>
  <c r="P34" i="102"/>
  <c r="H34" i="102"/>
  <c r="P33" i="102"/>
  <c r="H33" i="102"/>
  <c r="P32" i="102"/>
  <c r="H32" i="102"/>
  <c r="P31" i="102"/>
  <c r="H31" i="102"/>
  <c r="P29" i="102"/>
  <c r="L34" i="102"/>
  <c r="C34" i="102"/>
  <c r="Q33" i="102"/>
  <c r="G33" i="102"/>
  <c r="L32" i="102"/>
  <c r="C32" i="102"/>
  <c r="Q31" i="102"/>
  <c r="G31" i="102"/>
  <c r="Q34" i="102"/>
  <c r="F34" i="102"/>
  <c r="R33" i="102"/>
  <c r="F33" i="102"/>
  <c r="R32" i="102"/>
  <c r="G32" i="102"/>
  <c r="I31" i="102"/>
  <c r="I34" i="102"/>
  <c r="O33" i="102"/>
  <c r="D33" i="102"/>
  <c r="M32" i="102"/>
  <c r="J31" i="102"/>
  <c r="N34" i="102"/>
  <c r="K33" i="102"/>
  <c r="F32" i="102"/>
  <c r="N31" i="102"/>
  <c r="C31" i="102"/>
  <c r="M34" i="102"/>
  <c r="J33" i="102"/>
  <c r="Q32" i="102"/>
  <c r="E32" i="102"/>
  <c r="M31" i="102"/>
  <c r="R31" i="102"/>
  <c r="D32" i="102"/>
  <c r="Y32" i="102"/>
  <c r="L33" i="102"/>
  <c r="AF33" i="102"/>
  <c r="R34" i="102"/>
  <c r="L41" i="102"/>
  <c r="D41" i="102"/>
  <c r="L40" i="102"/>
  <c r="D40" i="102"/>
  <c r="L39" i="102"/>
  <c r="D39" i="102"/>
  <c r="L38" i="102"/>
  <c r="D38" i="102"/>
  <c r="Q41" i="102"/>
  <c r="H41" i="102"/>
  <c r="M40" i="102"/>
  <c r="C40" i="102"/>
  <c r="Q39" i="102"/>
  <c r="H39" i="102"/>
  <c r="M38" i="102"/>
  <c r="C38" i="102"/>
  <c r="J41" i="102"/>
  <c r="J40" i="102"/>
  <c r="K39" i="102"/>
  <c r="K38" i="102"/>
  <c r="R41" i="102"/>
  <c r="F41" i="102"/>
  <c r="O40" i="102"/>
  <c r="J39" i="102"/>
  <c r="R38" i="102"/>
  <c r="G38" i="102"/>
  <c r="N41" i="102"/>
  <c r="I40" i="102"/>
  <c r="R39" i="102"/>
  <c r="F39" i="102"/>
  <c r="O38" i="102"/>
  <c r="M41" i="102"/>
  <c r="H40" i="102"/>
  <c r="P39" i="102"/>
  <c r="E39" i="102"/>
  <c r="N38" i="102"/>
  <c r="K41" i="102"/>
  <c r="R40" i="102"/>
  <c r="G40" i="102"/>
  <c r="O39" i="102"/>
  <c r="C39" i="102"/>
  <c r="J38" i="102"/>
  <c r="P36" i="102"/>
  <c r="Q38" i="102"/>
  <c r="P10" i="105"/>
  <c r="O12" i="105"/>
  <c r="AH20" i="105"/>
  <c r="Z20" i="105"/>
  <c r="AH19" i="105"/>
  <c r="Z19" i="105"/>
  <c r="AH18" i="105"/>
  <c r="Z18" i="105"/>
  <c r="AH17" i="105"/>
  <c r="Z17" i="105"/>
  <c r="AD20" i="105"/>
  <c r="U20" i="105"/>
  <c r="AI19" i="105"/>
  <c r="Y19" i="105"/>
  <c r="AD18" i="105"/>
  <c r="U18" i="105"/>
  <c r="AI17" i="105"/>
  <c r="Y17" i="105"/>
  <c r="AC20" i="105"/>
  <c r="AD19" i="105"/>
  <c r="AE18" i="105"/>
  <c r="AE17" i="105"/>
  <c r="U17" i="105"/>
  <c r="AA20" i="105"/>
  <c r="AJ19" i="105"/>
  <c r="W19" i="105"/>
  <c r="AF18" i="105"/>
  <c r="AB17" i="105"/>
  <c r="AH15" i="105"/>
  <c r="AG20" i="105"/>
  <c r="V20" i="105"/>
  <c r="AC19" i="105"/>
  <c r="Y18" i="105"/>
  <c r="AG17" i="105"/>
  <c r="V17" i="105"/>
  <c r="AF20" i="105"/>
  <c r="AF19" i="105"/>
  <c r="AG18" i="105"/>
  <c r="AF17" i="105"/>
  <c r="AE20" i="105"/>
  <c r="AE19" i="105"/>
  <c r="AC18" i="105"/>
  <c r="AD17" i="105"/>
  <c r="Y20" i="105"/>
  <c r="AA19" i="105"/>
  <c r="AA18" i="105"/>
  <c r="AA17" i="105"/>
  <c r="X20" i="105"/>
  <c r="X19" i="105"/>
  <c r="X18" i="105"/>
  <c r="X17" i="105"/>
  <c r="W20" i="105"/>
  <c r="V19" i="105"/>
  <c r="W18" i="105"/>
  <c r="W17" i="105"/>
  <c r="AJ20" i="105"/>
  <c r="U19" i="105"/>
  <c r="AJ18" i="105"/>
  <c r="V18" i="105"/>
  <c r="AH34" i="105"/>
  <c r="Z34" i="105"/>
  <c r="AH33" i="105"/>
  <c r="Z33" i="105"/>
  <c r="AH32" i="105"/>
  <c r="Z32" i="105"/>
  <c r="AH31" i="105"/>
  <c r="Z31" i="105"/>
  <c r="AE34" i="105"/>
  <c r="V34" i="105"/>
  <c r="AJ33" i="105"/>
  <c r="AA33" i="105"/>
  <c r="AE32" i="105"/>
  <c r="V32" i="105"/>
  <c r="AJ31" i="105"/>
  <c r="AA31" i="105"/>
  <c r="AJ34" i="105"/>
  <c r="Y34" i="105"/>
  <c r="Y33" i="105"/>
  <c r="AA32" i="105"/>
  <c r="AB31" i="105"/>
  <c r="AI34" i="105"/>
  <c r="W34" i="105"/>
  <c r="AE33" i="105"/>
  <c r="AB32" i="105"/>
  <c r="AI31" i="105"/>
  <c r="W31" i="105"/>
  <c r="AC34" i="105"/>
  <c r="X33" i="105"/>
  <c r="AG32" i="105"/>
  <c r="U32" i="105"/>
  <c r="AD31" i="105"/>
  <c r="AF34" i="105"/>
  <c r="AF33" i="105"/>
  <c r="AF32" i="105"/>
  <c r="AF31" i="105"/>
  <c r="AD34" i="105"/>
  <c r="AD33" i="105"/>
  <c r="AD32" i="105"/>
  <c r="AE31" i="105"/>
  <c r="AB34" i="105"/>
  <c r="AC33" i="105"/>
  <c r="AC32" i="105"/>
  <c r="AC31" i="105"/>
  <c r="AA34" i="105"/>
  <c r="AB33" i="105"/>
  <c r="Y32" i="105"/>
  <c r="Y31" i="105"/>
  <c r="X34" i="105"/>
  <c r="W33" i="105"/>
  <c r="X32" i="105"/>
  <c r="X31" i="105"/>
  <c r="U34" i="105"/>
  <c r="V33" i="105"/>
  <c r="W32" i="105"/>
  <c r="V31" i="105"/>
  <c r="AI33" i="105"/>
  <c r="U33" i="105"/>
  <c r="AJ32" i="105"/>
  <c r="U31" i="105"/>
  <c r="AH29" i="105"/>
  <c r="AI32" i="105"/>
  <c r="Y10" i="105"/>
  <c r="X11" i="105"/>
  <c r="Y12" i="105"/>
  <c r="X13" i="105"/>
  <c r="L41" i="105"/>
  <c r="D41" i="105"/>
  <c r="L40" i="105"/>
  <c r="D40" i="105"/>
  <c r="L39" i="105"/>
  <c r="D39" i="105"/>
  <c r="L38" i="105"/>
  <c r="D38" i="105"/>
  <c r="P41" i="105"/>
  <c r="G41" i="105"/>
  <c r="K40" i="105"/>
  <c r="P39" i="105"/>
  <c r="G39" i="105"/>
  <c r="K38" i="105"/>
  <c r="Q41" i="105"/>
  <c r="F41" i="105"/>
  <c r="Q40" i="105"/>
  <c r="G40" i="105"/>
  <c r="R39" i="105"/>
  <c r="H39" i="105"/>
  <c r="R38" i="105"/>
  <c r="H38" i="105"/>
  <c r="I41" i="105"/>
  <c r="P40" i="105"/>
  <c r="E40" i="105"/>
  <c r="M39" i="105"/>
  <c r="I38" i="105"/>
  <c r="N41" i="105"/>
  <c r="J40" i="105"/>
  <c r="F39" i="105"/>
  <c r="O38" i="105"/>
  <c r="C38" i="105"/>
  <c r="N38" i="105"/>
  <c r="N39" i="105"/>
  <c r="N40" i="105"/>
  <c r="M41" i="105"/>
  <c r="AA45" i="105"/>
  <c r="AE46" i="105"/>
  <c r="Y48" i="105"/>
  <c r="AD55" i="105"/>
  <c r="V55" i="105"/>
  <c r="AD54" i="105"/>
  <c r="V54" i="105"/>
  <c r="AD53" i="105"/>
  <c r="V53" i="105"/>
  <c r="AD52" i="105"/>
  <c r="V52" i="105"/>
  <c r="AB55" i="105"/>
  <c r="AG54" i="105"/>
  <c r="X54" i="105"/>
  <c r="AB53" i="105"/>
  <c r="AG52" i="105"/>
  <c r="X52" i="105"/>
  <c r="AJ55" i="105"/>
  <c r="Z55" i="105"/>
  <c r="AA54" i="105"/>
  <c r="AA53" i="105"/>
  <c r="AB52" i="105"/>
  <c r="AI55" i="105"/>
  <c r="Y55" i="105"/>
  <c r="AJ54" i="105"/>
  <c r="Z54" i="105"/>
  <c r="AJ53" i="105"/>
  <c r="Z53" i="105"/>
  <c r="AA52" i="105"/>
  <c r="AE55" i="105"/>
  <c r="AH54" i="105"/>
  <c r="X53" i="105"/>
  <c r="AC52" i="105"/>
  <c r="W55" i="105"/>
  <c r="AB54" i="105"/>
  <c r="AF53" i="105"/>
  <c r="AI52" i="105"/>
  <c r="U52" i="105"/>
  <c r="AH55" i="105"/>
  <c r="U55" i="105"/>
  <c r="Y54" i="105"/>
  <c r="AE53" i="105"/>
  <c r="W53" i="105"/>
  <c r="AE54" i="105"/>
  <c r="W80" i="111"/>
  <c r="L27" i="102"/>
  <c r="D27" i="102"/>
  <c r="L26" i="102"/>
  <c r="D26" i="102"/>
  <c r="P27" i="102"/>
  <c r="G27" i="102"/>
  <c r="K26" i="102"/>
  <c r="Q25" i="102"/>
  <c r="I25" i="102"/>
  <c r="Q24" i="102"/>
  <c r="I24" i="102"/>
  <c r="M27" i="102"/>
  <c r="N26" i="102"/>
  <c r="C26" i="102"/>
  <c r="O25" i="102"/>
  <c r="F25" i="102"/>
  <c r="K24" i="102"/>
  <c r="G24" i="102"/>
  <c r="R24" i="102"/>
  <c r="D25" i="102"/>
  <c r="N25" i="102"/>
  <c r="E26" i="102"/>
  <c r="P26" i="102"/>
  <c r="E27" i="102"/>
  <c r="Q27" i="102"/>
  <c r="U45" i="102"/>
  <c r="AF45" i="102"/>
  <c r="U46" i="102"/>
  <c r="AF46" i="102"/>
  <c r="V47" i="102"/>
  <c r="AG47" i="102"/>
  <c r="W48" i="102"/>
  <c r="L55" i="102"/>
  <c r="D55" i="102"/>
  <c r="L54" i="102"/>
  <c r="D54" i="102"/>
  <c r="L53" i="102"/>
  <c r="D53" i="102"/>
  <c r="L52" i="102"/>
  <c r="D52" i="102"/>
  <c r="R55" i="102"/>
  <c r="I55" i="102"/>
  <c r="N54" i="102"/>
  <c r="E54" i="102"/>
  <c r="R53" i="102"/>
  <c r="I53" i="102"/>
  <c r="N52" i="102"/>
  <c r="E52" i="102"/>
  <c r="P55" i="102"/>
  <c r="F55" i="102"/>
  <c r="Q54" i="102"/>
  <c r="G54" i="102"/>
  <c r="Q53" i="102"/>
  <c r="G53" i="102"/>
  <c r="R52" i="102"/>
  <c r="H52" i="102"/>
  <c r="J52" i="102"/>
  <c r="X52" i="102"/>
  <c r="AJ52" i="102"/>
  <c r="N53" i="102"/>
  <c r="AA53" i="102"/>
  <c r="F54" i="102"/>
  <c r="R54" i="102"/>
  <c r="AF54" i="102"/>
  <c r="J55" i="102"/>
  <c r="X55" i="102"/>
  <c r="AI55" i="102"/>
  <c r="F59" i="102"/>
  <c r="R59" i="102"/>
  <c r="G60" i="102"/>
  <c r="G61" i="102"/>
  <c r="J62" i="102"/>
  <c r="AA73" i="102"/>
  <c r="V74" i="102"/>
  <c r="AI74" i="102"/>
  <c r="AD75" i="102"/>
  <c r="Y76" i="102"/>
  <c r="L101" i="102"/>
  <c r="E102" i="102"/>
  <c r="L103" i="102"/>
  <c r="Z10" i="105"/>
  <c r="AB11" i="105"/>
  <c r="AA12" i="105"/>
  <c r="AA13" i="105"/>
  <c r="L27" i="105"/>
  <c r="D27" i="105"/>
  <c r="L26" i="105"/>
  <c r="D26" i="105"/>
  <c r="L25" i="105"/>
  <c r="D25" i="105"/>
  <c r="L24" i="105"/>
  <c r="D24" i="105"/>
  <c r="O27" i="105"/>
  <c r="F27" i="105"/>
  <c r="J26" i="105"/>
  <c r="O25" i="105"/>
  <c r="F25" i="105"/>
  <c r="J24" i="105"/>
  <c r="I27" i="105"/>
  <c r="I26" i="105"/>
  <c r="J25" i="105"/>
  <c r="K24" i="105"/>
  <c r="M27" i="105"/>
  <c r="M26" i="105"/>
  <c r="K25" i="105"/>
  <c r="I24" i="105"/>
  <c r="P22" i="105"/>
  <c r="R27" i="105"/>
  <c r="G27" i="105"/>
  <c r="Q26" i="105"/>
  <c r="F26" i="105"/>
  <c r="Q25" i="105"/>
  <c r="E25" i="105"/>
  <c r="P24" i="105"/>
  <c r="E24" i="105"/>
  <c r="N24" i="105"/>
  <c r="C25" i="105"/>
  <c r="K26" i="105"/>
  <c r="Q27" i="105"/>
  <c r="P36" i="105"/>
  <c r="P38" i="105"/>
  <c r="O39" i="105"/>
  <c r="O40" i="105"/>
  <c r="O41" i="105"/>
  <c r="K45" i="105"/>
  <c r="AD45" i="105"/>
  <c r="N46" i="105"/>
  <c r="AJ46" i="105"/>
  <c r="U47" i="105"/>
  <c r="E48" i="105"/>
  <c r="AA48" i="105"/>
  <c r="AH50" i="105"/>
  <c r="W52" i="105"/>
  <c r="Y53" i="105"/>
  <c r="AF54" i="105"/>
  <c r="AD69" i="105"/>
  <c r="V69" i="105"/>
  <c r="AD68" i="105"/>
  <c r="V68" i="105"/>
  <c r="AD67" i="105"/>
  <c r="V67" i="105"/>
  <c r="AD66" i="105"/>
  <c r="V66" i="105"/>
  <c r="AH62" i="105"/>
  <c r="Z62" i="105"/>
  <c r="AH61" i="105"/>
  <c r="Z61" i="105"/>
  <c r="AH60" i="105"/>
  <c r="Z60" i="105"/>
  <c r="AH59" i="105"/>
  <c r="Z59" i="105"/>
  <c r="AC69" i="105"/>
  <c r="AH68" i="105"/>
  <c r="Y68" i="105"/>
  <c r="AC67" i="105"/>
  <c r="AH66" i="105"/>
  <c r="Y66" i="105"/>
  <c r="AG62" i="105"/>
  <c r="X62" i="105"/>
  <c r="AC61" i="105"/>
  <c r="AG60" i="105"/>
  <c r="X60" i="105"/>
  <c r="AC59" i="105"/>
  <c r="AA69" i="105"/>
  <c r="AB68" i="105"/>
  <c r="AB67" i="105"/>
  <c r="AC66" i="105"/>
  <c r="AI62" i="105"/>
  <c r="W62" i="105"/>
  <c r="AI61" i="105"/>
  <c r="X61" i="105"/>
  <c r="AJ60" i="105"/>
  <c r="Y60" i="105"/>
  <c r="AJ59" i="105"/>
  <c r="Y59" i="105"/>
  <c r="AG69" i="105"/>
  <c r="W69" i="105"/>
  <c r="AG68" i="105"/>
  <c r="W68" i="105"/>
  <c r="AH67" i="105"/>
  <c r="X67" i="105"/>
  <c r="AI66" i="105"/>
  <c r="X66" i="105"/>
  <c r="AC62" i="105"/>
  <c r="AD61" i="105"/>
  <c r="AD60" i="105"/>
  <c r="AE59" i="105"/>
  <c r="U59" i="105"/>
  <c r="AF69" i="105"/>
  <c r="U69" i="105"/>
  <c r="AF68" i="105"/>
  <c r="U68" i="105"/>
  <c r="AG67" i="105"/>
  <c r="W67" i="105"/>
  <c r="AG66" i="105"/>
  <c r="W66" i="105"/>
  <c r="AB62" i="105"/>
  <c r="AB61" i="105"/>
  <c r="AC60" i="105"/>
  <c r="AD59" i="105"/>
  <c r="AJ69" i="105"/>
  <c r="AJ68" i="105"/>
  <c r="AI67" i="105"/>
  <c r="AF66" i="105"/>
  <c r="U62" i="105"/>
  <c r="AE61" i="105"/>
  <c r="V60" i="105"/>
  <c r="AF59" i="105"/>
  <c r="AI69" i="105"/>
  <c r="AI68" i="105"/>
  <c r="AF67" i="105"/>
  <c r="AE66" i="105"/>
  <c r="AH69" i="105"/>
  <c r="AE68" i="105"/>
  <c r="AE69" i="105"/>
  <c r="AC68" i="105"/>
  <c r="AB69" i="105"/>
  <c r="AA68" i="105"/>
  <c r="Z67" i="105"/>
  <c r="Z66" i="105"/>
  <c r="AD62" i="105"/>
  <c r="V61" i="105"/>
  <c r="AE60" i="105"/>
  <c r="W59" i="105"/>
  <c r="Z69" i="105"/>
  <c r="Z68" i="105"/>
  <c r="Y67" i="105"/>
  <c r="U66" i="105"/>
  <c r="AA62" i="105"/>
  <c r="AJ61" i="105"/>
  <c r="U61" i="105"/>
  <c r="AB60" i="105"/>
  <c r="V59" i="105"/>
  <c r="X69" i="105"/>
  <c r="AB59" i="105"/>
  <c r="W60" i="105"/>
  <c r="W61" i="105"/>
  <c r="AA66" i="105"/>
  <c r="AA72" i="111"/>
  <c r="AI72" i="111"/>
  <c r="AE74" i="111"/>
  <c r="W74" i="111"/>
  <c r="P22" i="102"/>
  <c r="H24" i="102"/>
  <c r="E25" i="102"/>
  <c r="P25" i="102"/>
  <c r="F26" i="102"/>
  <c r="Q26" i="102"/>
  <c r="F27" i="102"/>
  <c r="R27" i="102"/>
  <c r="V45" i="102"/>
  <c r="AG45" i="102"/>
  <c r="V46" i="102"/>
  <c r="AI46" i="102"/>
  <c r="W47" i="102"/>
  <c r="AI47" i="102"/>
  <c r="P50" i="102"/>
  <c r="K52" i="102"/>
  <c r="Z52" i="102"/>
  <c r="C53" i="102"/>
  <c r="O53" i="102"/>
  <c r="AB53" i="102"/>
  <c r="H54" i="102"/>
  <c r="U54" i="102"/>
  <c r="AG54" i="102"/>
  <c r="K55" i="102"/>
  <c r="Y55" i="102"/>
  <c r="G59" i="102"/>
  <c r="I60" i="102"/>
  <c r="K61" i="102"/>
  <c r="P104" i="102"/>
  <c r="H104" i="102"/>
  <c r="P103" i="102"/>
  <c r="H103" i="102"/>
  <c r="P102" i="102"/>
  <c r="H102" i="102"/>
  <c r="P101" i="102"/>
  <c r="H101" i="102"/>
  <c r="P76" i="102"/>
  <c r="H76" i="102"/>
  <c r="P75" i="102"/>
  <c r="H75" i="102"/>
  <c r="P74" i="102"/>
  <c r="H74" i="102"/>
  <c r="P73" i="102"/>
  <c r="H73" i="102"/>
  <c r="P71" i="102"/>
  <c r="R104" i="102"/>
  <c r="I104" i="102"/>
  <c r="M103" i="102"/>
  <c r="D103" i="102"/>
  <c r="R102" i="102"/>
  <c r="I102" i="102"/>
  <c r="M101" i="102"/>
  <c r="D101" i="102"/>
  <c r="O76" i="102"/>
  <c r="F76" i="102"/>
  <c r="K75" i="102"/>
  <c r="O74" i="102"/>
  <c r="F74" i="102"/>
  <c r="K73" i="102"/>
  <c r="J104" i="102"/>
  <c r="J103" i="102"/>
  <c r="K102" i="102"/>
  <c r="K101" i="102"/>
  <c r="Q76" i="102"/>
  <c r="E76" i="102"/>
  <c r="Q75" i="102"/>
  <c r="F75" i="102"/>
  <c r="R74" i="102"/>
  <c r="G74" i="102"/>
  <c r="R73" i="102"/>
  <c r="G73" i="102"/>
  <c r="N104" i="102"/>
  <c r="C104" i="102"/>
  <c r="K103" i="102"/>
  <c r="F102" i="102"/>
  <c r="O101" i="102"/>
  <c r="C101" i="102"/>
  <c r="J76" i="102"/>
  <c r="R75" i="102"/>
  <c r="E75" i="102"/>
  <c r="M74" i="102"/>
  <c r="J73" i="102"/>
  <c r="M73" i="102"/>
  <c r="AB73" i="102"/>
  <c r="I74" i="102"/>
  <c r="W74" i="102"/>
  <c r="C75" i="102"/>
  <c r="O75" i="102"/>
  <c r="AG75" i="102"/>
  <c r="L76" i="102"/>
  <c r="N101" i="102"/>
  <c r="G102" i="102"/>
  <c r="N103" i="102"/>
  <c r="F104" i="102"/>
  <c r="AE10" i="105"/>
  <c r="AC11" i="105"/>
  <c r="AB12" i="105"/>
  <c r="AC13" i="105"/>
  <c r="O24" i="105"/>
  <c r="G25" i="105"/>
  <c r="N26" i="105"/>
  <c r="C27" i="105"/>
  <c r="AD41" i="105"/>
  <c r="V41" i="105"/>
  <c r="AD40" i="105"/>
  <c r="V40" i="105"/>
  <c r="AD39" i="105"/>
  <c r="V39" i="105"/>
  <c r="AD38" i="105"/>
  <c r="V38" i="105"/>
  <c r="AJ41" i="105"/>
  <c r="AA41" i="105"/>
  <c r="AF40" i="105"/>
  <c r="W40" i="105"/>
  <c r="AJ39" i="105"/>
  <c r="AA39" i="105"/>
  <c r="AF38" i="105"/>
  <c r="W38" i="105"/>
  <c r="AH36" i="105"/>
  <c r="AC41" i="105"/>
  <c r="AC40" i="105"/>
  <c r="AE39" i="105"/>
  <c r="AE38" i="105"/>
  <c r="AH41" i="105"/>
  <c r="W41" i="105"/>
  <c r="AE40" i="105"/>
  <c r="Z39" i="105"/>
  <c r="AI38" i="105"/>
  <c r="X38" i="105"/>
  <c r="AB41" i="105"/>
  <c r="AJ40" i="105"/>
  <c r="Y40" i="105"/>
  <c r="AG39" i="105"/>
  <c r="U39" i="105"/>
  <c r="AB38" i="105"/>
  <c r="Q38" i="105"/>
  <c r="AJ38" i="105"/>
  <c r="Q39" i="105"/>
  <c r="AI39" i="105"/>
  <c r="R40" i="105"/>
  <c r="AI40" i="105"/>
  <c r="R41" i="105"/>
  <c r="AI41" i="105"/>
  <c r="M45" i="105"/>
  <c r="AE45" i="105"/>
  <c r="Q46" i="105"/>
  <c r="C47" i="105"/>
  <c r="X47" i="105"/>
  <c r="AB48" i="105"/>
  <c r="Y52" i="105"/>
  <c r="AC53" i="105"/>
  <c r="AI54" i="105"/>
  <c r="AH57" i="105"/>
  <c r="AG59" i="105"/>
  <c r="AA60" i="105"/>
  <c r="Y61" i="105"/>
  <c r="V62" i="105"/>
  <c r="AB66" i="105"/>
  <c r="AH48" i="102"/>
  <c r="Z48" i="102"/>
  <c r="AH47" i="102"/>
  <c r="Z47" i="102"/>
  <c r="AH46" i="102"/>
  <c r="Z46" i="102"/>
  <c r="AH45" i="102"/>
  <c r="Z45" i="102"/>
  <c r="AG48" i="102"/>
  <c r="X48" i="102"/>
  <c r="AC47" i="102"/>
  <c r="AG46" i="102"/>
  <c r="X46" i="102"/>
  <c r="AC45" i="102"/>
  <c r="AJ48" i="102"/>
  <c r="Y48" i="102"/>
  <c r="AJ47" i="102"/>
  <c r="Y47" i="102"/>
  <c r="AA46" i="102"/>
  <c r="AA45" i="102"/>
  <c r="W45" i="102"/>
  <c r="AI45" i="102"/>
  <c r="W46" i="102"/>
  <c r="AJ46" i="102"/>
  <c r="X47" i="102"/>
  <c r="AB48" i="102"/>
  <c r="AD55" i="102"/>
  <c r="V55" i="102"/>
  <c r="AD54" i="102"/>
  <c r="V54" i="102"/>
  <c r="AD53" i="102"/>
  <c r="V53" i="102"/>
  <c r="AD52" i="102"/>
  <c r="V52" i="102"/>
  <c r="AC55" i="102"/>
  <c r="AH54" i="102"/>
  <c r="Y54" i="102"/>
  <c r="AC53" i="102"/>
  <c r="AH52" i="102"/>
  <c r="Y52" i="102"/>
  <c r="AB55" i="102"/>
  <c r="AC54" i="102"/>
  <c r="AE53" i="102"/>
  <c r="AE52" i="102"/>
  <c r="AA52" i="102"/>
  <c r="AF53" i="102"/>
  <c r="W54" i="102"/>
  <c r="AI54" i="102"/>
  <c r="Z55" i="102"/>
  <c r="P62" i="102"/>
  <c r="H62" i="102"/>
  <c r="P61" i="102"/>
  <c r="H61" i="102"/>
  <c r="P60" i="102"/>
  <c r="H60" i="102"/>
  <c r="P59" i="102"/>
  <c r="H59" i="102"/>
  <c r="P57" i="102"/>
  <c r="N62" i="102"/>
  <c r="E62" i="102"/>
  <c r="J61" i="102"/>
  <c r="N60" i="102"/>
  <c r="E60" i="102"/>
  <c r="J59" i="102"/>
  <c r="I62" i="102"/>
  <c r="I61" i="102"/>
  <c r="J60" i="102"/>
  <c r="K59" i="102"/>
  <c r="I59" i="102"/>
  <c r="K60" i="102"/>
  <c r="L61" i="102"/>
  <c r="L62" i="102"/>
  <c r="AH76" i="102"/>
  <c r="Z76" i="102"/>
  <c r="AH75" i="102"/>
  <c r="Z75" i="102"/>
  <c r="AH74" i="102"/>
  <c r="Z74" i="102"/>
  <c r="AH73" i="102"/>
  <c r="Z73" i="102"/>
  <c r="AJ76" i="102"/>
  <c r="AA76" i="102"/>
  <c r="AE75" i="102"/>
  <c r="V75" i="102"/>
  <c r="AJ74" i="102"/>
  <c r="AA74" i="102"/>
  <c r="AE73" i="102"/>
  <c r="V73" i="102"/>
  <c r="Y71" i="102"/>
  <c r="AC76" i="102"/>
  <c r="AC75" i="102"/>
  <c r="AD74" i="102"/>
  <c r="AD73" i="102"/>
  <c r="AI76" i="102"/>
  <c r="W76" i="102"/>
  <c r="AF75" i="102"/>
  <c r="AB74" i="102"/>
  <c r="AJ73" i="102"/>
  <c r="X73" i="102"/>
  <c r="AC73" i="102"/>
  <c r="X74" i="102"/>
  <c r="U75" i="102"/>
  <c r="AI75" i="102"/>
  <c r="AD76" i="102"/>
  <c r="AF10" i="105"/>
  <c r="AE11" i="105"/>
  <c r="AF12" i="105"/>
  <c r="E38" i="105"/>
  <c r="C39" i="105"/>
  <c r="C40" i="105"/>
  <c r="C41" i="105"/>
  <c r="P48" i="105"/>
  <c r="H48" i="105"/>
  <c r="P47" i="105"/>
  <c r="H47" i="105"/>
  <c r="P46" i="105"/>
  <c r="H46" i="105"/>
  <c r="P45" i="105"/>
  <c r="H45" i="105"/>
  <c r="P43" i="105"/>
  <c r="L48" i="105"/>
  <c r="C48" i="105"/>
  <c r="Q47" i="105"/>
  <c r="G47" i="105"/>
  <c r="L46" i="105"/>
  <c r="C46" i="105"/>
  <c r="Q45" i="105"/>
  <c r="G45" i="105"/>
  <c r="J48" i="105"/>
  <c r="K47" i="105"/>
  <c r="K46" i="105"/>
  <c r="L45" i="105"/>
  <c r="I48" i="105"/>
  <c r="J47" i="105"/>
  <c r="J46" i="105"/>
  <c r="F48" i="105"/>
  <c r="L47" i="105"/>
  <c r="O46" i="105"/>
  <c r="I45" i="105"/>
  <c r="N48" i="105"/>
  <c r="R47" i="105"/>
  <c r="D47" i="105"/>
  <c r="G46" i="105"/>
  <c r="N45" i="105"/>
  <c r="C45" i="105"/>
  <c r="O45" i="105"/>
  <c r="AF45" i="105"/>
  <c r="R46" i="105"/>
  <c r="E47" i="105"/>
  <c r="Y47" i="105"/>
  <c r="K48" i="105"/>
  <c r="Z52" i="105"/>
  <c r="AG53" i="105"/>
  <c r="X55" i="105"/>
  <c r="AA61" i="105"/>
  <c r="Y62" i="105"/>
  <c r="AJ66" i="105"/>
  <c r="U67" i="105"/>
  <c r="AH48" i="105"/>
  <c r="Z48" i="105"/>
  <c r="AH47" i="105"/>
  <c r="Z47" i="105"/>
  <c r="AH46" i="105"/>
  <c r="Z46" i="105"/>
  <c r="AH45" i="105"/>
  <c r="Z45" i="105"/>
  <c r="AF48" i="105"/>
  <c r="W48" i="105"/>
  <c r="AB47" i="105"/>
  <c r="AF46" i="105"/>
  <c r="W46" i="105"/>
  <c r="AB45" i="105"/>
  <c r="AG48" i="105"/>
  <c r="V48" i="105"/>
  <c r="AG47" i="105"/>
  <c r="W47" i="105"/>
  <c r="AI46" i="105"/>
  <c r="X46" i="105"/>
  <c r="AI45" i="105"/>
  <c r="X45" i="105"/>
  <c r="AH43" i="105"/>
  <c r="AE48" i="105"/>
  <c r="U48" i="105"/>
  <c r="AF47" i="105"/>
  <c r="V47" i="105"/>
  <c r="AG46" i="105"/>
  <c r="V46" i="105"/>
  <c r="AG45" i="105"/>
  <c r="X48" i="105"/>
  <c r="AA47" i="105"/>
  <c r="AD46" i="105"/>
  <c r="AJ45" i="105"/>
  <c r="V45" i="105"/>
  <c r="AC48" i="105"/>
  <c r="AI47" i="105"/>
  <c r="Y46" i="105"/>
  <c r="AC45" i="105"/>
  <c r="U46" i="105"/>
  <c r="AC47" i="105"/>
  <c r="AI48" i="105"/>
  <c r="AA67" i="105"/>
  <c r="AD13" i="105"/>
  <c r="V13" i="105"/>
  <c r="AD12" i="105"/>
  <c r="V12" i="105"/>
  <c r="AD11" i="105"/>
  <c r="V11" i="105"/>
  <c r="AD10" i="105"/>
  <c r="V10" i="105"/>
  <c r="AH13" i="105"/>
  <c r="Y13" i="105"/>
  <c r="AC12" i="105"/>
  <c r="AH11" i="105"/>
  <c r="Y11" i="105"/>
  <c r="AC10" i="105"/>
  <c r="AJ13" i="105"/>
  <c r="Z13" i="105"/>
  <c r="AJ12" i="105"/>
  <c r="Z12" i="105"/>
  <c r="AA11" i="105"/>
  <c r="AA10" i="105"/>
  <c r="AB13" i="105"/>
  <c r="AI12" i="105"/>
  <c r="X12" i="105"/>
  <c r="AF11" i="105"/>
  <c r="AB10" i="105"/>
  <c r="AH8" i="105"/>
  <c r="AG13" i="105"/>
  <c r="U13" i="105"/>
  <c r="AE12" i="105"/>
  <c r="Z11" i="105"/>
  <c r="AH10" i="105"/>
  <c r="W10" i="105"/>
  <c r="AI10" i="105"/>
  <c r="AI11" i="105"/>
  <c r="AH12" i="105"/>
  <c r="AI13" i="105"/>
  <c r="U45" i="105"/>
  <c r="AA46" i="105"/>
  <c r="AD47" i="105"/>
  <c r="AJ48" i="105"/>
  <c r="AE67" i="105"/>
  <c r="Y76" i="111"/>
  <c r="AC79" i="111"/>
  <c r="D24" i="102"/>
  <c r="N24" i="102"/>
  <c r="K25" i="102"/>
  <c r="J26" i="102"/>
  <c r="K27" i="102"/>
  <c r="AB45" i="102"/>
  <c r="AC46" i="102"/>
  <c r="AD47" i="102"/>
  <c r="AE48" i="102"/>
  <c r="F52" i="102"/>
  <c r="Q52" i="102"/>
  <c r="AF52" i="102"/>
  <c r="J53" i="102"/>
  <c r="X53" i="102"/>
  <c r="AI53" i="102"/>
  <c r="M54" i="102"/>
  <c r="AA54" i="102"/>
  <c r="E55" i="102"/>
  <c r="Q55" i="102"/>
  <c r="AF55" i="102"/>
  <c r="C59" i="102"/>
  <c r="N59" i="102"/>
  <c r="C60" i="102"/>
  <c r="O60" i="102"/>
  <c r="D61" i="102"/>
  <c r="O61" i="102"/>
  <c r="D62" i="102"/>
  <c r="Q62" i="102"/>
  <c r="AD97" i="102"/>
  <c r="V97" i="102"/>
  <c r="AD96" i="102"/>
  <c r="V96" i="102"/>
  <c r="AD95" i="102"/>
  <c r="V95" i="102"/>
  <c r="AD94" i="102"/>
  <c r="V94" i="102"/>
  <c r="AH90" i="102"/>
  <c r="Z90" i="102"/>
  <c r="AH89" i="102"/>
  <c r="Z89" i="102"/>
  <c r="AH88" i="102"/>
  <c r="Z88" i="102"/>
  <c r="AH87" i="102"/>
  <c r="Z87" i="102"/>
  <c r="AD83" i="102"/>
  <c r="V83" i="102"/>
  <c r="AD82" i="102"/>
  <c r="V82" i="102"/>
  <c r="AD81" i="102"/>
  <c r="V81" i="102"/>
  <c r="AD80" i="102"/>
  <c r="V80" i="102"/>
  <c r="AD69" i="102"/>
  <c r="V69" i="102"/>
  <c r="AD68" i="102"/>
  <c r="V68" i="102"/>
  <c r="AD67" i="102"/>
  <c r="V67" i="102"/>
  <c r="AD66" i="102"/>
  <c r="V66" i="102"/>
  <c r="AG97" i="102"/>
  <c r="X97" i="102"/>
  <c r="AB96" i="102"/>
  <c r="AG95" i="102"/>
  <c r="X95" i="102"/>
  <c r="AB94" i="102"/>
  <c r="AB90" i="102"/>
  <c r="AF89" i="102"/>
  <c r="W89" i="102"/>
  <c r="AB88" i="102"/>
  <c r="AF87" i="102"/>
  <c r="W87" i="102"/>
  <c r="AF83" i="102"/>
  <c r="W83" i="102"/>
  <c r="AJ82" i="102"/>
  <c r="AA82" i="102"/>
  <c r="AF81" i="102"/>
  <c r="W81" i="102"/>
  <c r="AJ80" i="102"/>
  <c r="AA80" i="102"/>
  <c r="AE69" i="102"/>
  <c r="U69" i="102"/>
  <c r="AI68" i="102"/>
  <c r="Z68" i="102"/>
  <c r="AE67" i="102"/>
  <c r="U67" i="102"/>
  <c r="AI66" i="102"/>
  <c r="Z66" i="102"/>
  <c r="AB97" i="102"/>
  <c r="AC96" i="102"/>
  <c r="AC95" i="102"/>
  <c r="AE94" i="102"/>
  <c r="AJ90" i="102"/>
  <c r="Y90" i="102"/>
  <c r="AA89" i="102"/>
  <c r="AA88" i="102"/>
  <c r="AB87" i="102"/>
  <c r="AG83" i="102"/>
  <c r="U83" i="102"/>
  <c r="AG82" i="102"/>
  <c r="W82" i="102"/>
  <c r="AH81" i="102"/>
  <c r="X81" i="102"/>
  <c r="AH80" i="102"/>
  <c r="X80" i="102"/>
  <c r="AI69" i="102"/>
  <c r="Y69" i="102"/>
  <c r="AJ68" i="102"/>
  <c r="Y68" i="102"/>
  <c r="AJ67" i="102"/>
  <c r="Z67" i="102"/>
  <c r="AA66" i="102"/>
  <c r="AE97" i="102"/>
  <c r="AE96" i="102"/>
  <c r="AB95" i="102"/>
  <c r="AA94" i="102"/>
  <c r="AF90" i="102"/>
  <c r="U90" i="102"/>
  <c r="AC89" i="102"/>
  <c r="AJ88" i="102"/>
  <c r="X88" i="102"/>
  <c r="AG87" i="102"/>
  <c r="U87" i="102"/>
  <c r="AH83" i="102"/>
  <c r="AC82" i="102"/>
  <c r="Z81" i="102"/>
  <c r="AG80" i="102"/>
  <c r="U80" i="102"/>
  <c r="AJ69" i="102"/>
  <c r="X69" i="102"/>
  <c r="AF68" i="102"/>
  <c r="AB67" i="102"/>
  <c r="AJ66" i="102"/>
  <c r="X66" i="102"/>
  <c r="AE66" i="102"/>
  <c r="Y67" i="102"/>
  <c r="U68" i="102"/>
  <c r="AH68" i="102"/>
  <c r="AC69" i="102"/>
  <c r="E73" i="102"/>
  <c r="U73" i="102"/>
  <c r="AI73" i="102"/>
  <c r="N74" i="102"/>
  <c r="AE74" i="102"/>
  <c r="J75" i="102"/>
  <c r="Y75" i="102"/>
  <c r="D76" i="102"/>
  <c r="U76" i="102"/>
  <c r="AG76" i="102"/>
  <c r="Y80" i="102"/>
  <c r="AG81" i="102"/>
  <c r="AB82" i="102"/>
  <c r="Y83" i="102"/>
  <c r="P90" i="102"/>
  <c r="H90" i="102"/>
  <c r="P89" i="102"/>
  <c r="H89" i="102"/>
  <c r="P88" i="102"/>
  <c r="H88" i="102"/>
  <c r="P87" i="102"/>
  <c r="H87" i="102"/>
  <c r="P85" i="102"/>
  <c r="Q90" i="102"/>
  <c r="G90" i="102"/>
  <c r="L89" i="102"/>
  <c r="C89" i="102"/>
  <c r="Q88" i="102"/>
  <c r="G88" i="102"/>
  <c r="L87" i="102"/>
  <c r="C87" i="102"/>
  <c r="M90" i="102"/>
  <c r="C90" i="102"/>
  <c r="N89" i="102"/>
  <c r="D89" i="102"/>
  <c r="N88" i="102"/>
  <c r="D88" i="102"/>
  <c r="O87" i="102"/>
  <c r="E87" i="102"/>
  <c r="F90" i="102"/>
  <c r="O89" i="102"/>
  <c r="K88" i="102"/>
  <c r="G87" i="102"/>
  <c r="M87" i="102"/>
  <c r="AC87" i="102"/>
  <c r="I88" i="102"/>
  <c r="W88" i="102"/>
  <c r="E89" i="102"/>
  <c r="R89" i="102"/>
  <c r="AG89" i="102"/>
  <c r="L90" i="102"/>
  <c r="AC90" i="102"/>
  <c r="Y94" i="102"/>
  <c r="AA95" i="102"/>
  <c r="AF96" i="102"/>
  <c r="AH97" i="102"/>
  <c r="G101" i="102"/>
  <c r="N102" i="102"/>
  <c r="F103" i="102"/>
  <c r="M104" i="102"/>
  <c r="U10" i="105"/>
  <c r="AJ10" i="105"/>
  <c r="U11" i="105"/>
  <c r="AJ11" i="105"/>
  <c r="U12" i="105"/>
  <c r="P20" i="105"/>
  <c r="H20" i="105"/>
  <c r="P19" i="105"/>
  <c r="H19" i="105"/>
  <c r="P18" i="105"/>
  <c r="H18" i="105"/>
  <c r="P17" i="105"/>
  <c r="H17" i="105"/>
  <c r="P15" i="105"/>
  <c r="J20" i="105"/>
  <c r="N19" i="105"/>
  <c r="E19" i="105"/>
  <c r="J18" i="105"/>
  <c r="N17" i="105"/>
  <c r="E17" i="105"/>
  <c r="Q20" i="105"/>
  <c r="F20" i="105"/>
  <c r="R19" i="105"/>
  <c r="G19" i="105"/>
  <c r="R18" i="105"/>
  <c r="G18" i="105"/>
  <c r="I17" i="105"/>
  <c r="M20" i="105"/>
  <c r="J19" i="105"/>
  <c r="Q18" i="105"/>
  <c r="E18" i="105"/>
  <c r="M17" i="105"/>
  <c r="G20" i="105"/>
  <c r="O19" i="105"/>
  <c r="C19" i="105"/>
  <c r="L18" i="105"/>
  <c r="G17" i="105"/>
  <c r="O17" i="105"/>
  <c r="N18" i="105"/>
  <c r="M19" i="105"/>
  <c r="N20" i="105"/>
  <c r="G24" i="105"/>
  <c r="N25" i="105"/>
  <c r="E26" i="105"/>
  <c r="K27" i="105"/>
  <c r="P34" i="105"/>
  <c r="H34" i="105"/>
  <c r="P33" i="105"/>
  <c r="H33" i="105"/>
  <c r="P32" i="105"/>
  <c r="H32" i="105"/>
  <c r="P31" i="105"/>
  <c r="H31" i="105"/>
  <c r="P29" i="105"/>
  <c r="K34" i="105"/>
  <c r="O33" i="105"/>
  <c r="F33" i="105"/>
  <c r="K32" i="105"/>
  <c r="O31" i="105"/>
  <c r="F31" i="105"/>
  <c r="M34" i="105"/>
  <c r="C34" i="105"/>
  <c r="M33" i="105"/>
  <c r="C33" i="105"/>
  <c r="N32" i="105"/>
  <c r="D32" i="105"/>
  <c r="N31" i="105"/>
  <c r="D31" i="105"/>
  <c r="I34" i="105"/>
  <c r="R33" i="105"/>
  <c r="E33" i="105"/>
  <c r="M32" i="105"/>
  <c r="J31" i="105"/>
  <c r="O34" i="105"/>
  <c r="D34" i="105"/>
  <c r="K33" i="105"/>
  <c r="G32" i="105"/>
  <c r="Q31" i="105"/>
  <c r="C31" i="105"/>
  <c r="M31" i="105"/>
  <c r="O32" i="105"/>
  <c r="N33" i="105"/>
  <c r="N34" i="105"/>
  <c r="J38" i="105"/>
  <c r="AA38" i="105"/>
  <c r="J39" i="105"/>
  <c r="AB39" i="105"/>
  <c r="I40" i="105"/>
  <c r="AA40" i="105"/>
  <c r="J41" i="105"/>
  <c r="Z41" i="105"/>
  <c r="E45" i="105"/>
  <c r="W45" i="105"/>
  <c r="F46" i="105"/>
  <c r="AB46" i="105"/>
  <c r="M47" i="105"/>
  <c r="AE47" i="105"/>
  <c r="Q48" i="105"/>
  <c r="AH52" i="105"/>
  <c r="W54" i="105"/>
  <c r="AF55" i="105"/>
  <c r="AJ62" i="105"/>
  <c r="AJ67" i="105"/>
  <c r="X68" i="105"/>
  <c r="Y69" i="105"/>
  <c r="AJ20" i="107"/>
  <c r="AB20" i="107"/>
  <c r="AJ19" i="107"/>
  <c r="AB19" i="107"/>
  <c r="AJ18" i="107"/>
  <c r="AB18" i="107"/>
  <c r="AJ17" i="107"/>
  <c r="AB17" i="107"/>
  <c r="AH15" i="107"/>
  <c r="AC20" i="107"/>
  <c r="AG19" i="107"/>
  <c r="X19" i="107"/>
  <c r="AC18" i="107"/>
  <c r="AG17" i="107"/>
  <c r="X17" i="107"/>
  <c r="AE20" i="107"/>
  <c r="U20" i="107"/>
  <c r="AE19" i="107"/>
  <c r="U19" i="107"/>
  <c r="AF18" i="107"/>
  <c r="V18" i="107"/>
  <c r="AF17" i="107"/>
  <c r="V17" i="107"/>
  <c r="AI20" i="107"/>
  <c r="Y20" i="107"/>
  <c r="Z19" i="107"/>
  <c r="Z18" i="107"/>
  <c r="AA17" i="107"/>
  <c r="AH20" i="107"/>
  <c r="X20" i="107"/>
  <c r="AI19" i="107"/>
  <c r="Y19" i="107"/>
  <c r="AI18" i="107"/>
  <c r="Y18" i="107"/>
  <c r="Z17" i="107"/>
  <c r="U17" i="107"/>
  <c r="W18" i="107"/>
  <c r="W19" i="107"/>
  <c r="Z20" i="107"/>
  <c r="L38" i="107"/>
  <c r="D39" i="107"/>
  <c r="K40" i="107"/>
  <c r="N41" i="107"/>
  <c r="F41" i="107"/>
  <c r="N40" i="107"/>
  <c r="F40" i="107"/>
  <c r="N39" i="107"/>
  <c r="F39" i="107"/>
  <c r="N38" i="107"/>
  <c r="F38" i="107"/>
  <c r="O41" i="107"/>
  <c r="E41" i="107"/>
  <c r="J40" i="107"/>
  <c r="O39" i="107"/>
  <c r="E39" i="107"/>
  <c r="J38" i="107"/>
  <c r="R41" i="107"/>
  <c r="H41" i="107"/>
  <c r="R40" i="107"/>
  <c r="H40" i="107"/>
  <c r="I39" i="107"/>
  <c r="I38" i="107"/>
  <c r="P36" i="107"/>
  <c r="L41" i="107"/>
  <c r="M40" i="107"/>
  <c r="C40" i="107"/>
  <c r="M39" i="107"/>
  <c r="C39" i="107"/>
  <c r="O38" i="107"/>
  <c r="D38" i="107"/>
  <c r="K41" i="107"/>
  <c r="L40" i="107"/>
  <c r="L39" i="107"/>
  <c r="M38" i="107"/>
  <c r="C38" i="107"/>
  <c r="P38" i="107"/>
  <c r="G39" i="107"/>
  <c r="O40" i="107"/>
  <c r="D41" i="107"/>
  <c r="Y17" i="107"/>
  <c r="AA18" i="107"/>
  <c r="AC19" i="107"/>
  <c r="AD20" i="107"/>
  <c r="J24" i="107"/>
  <c r="AA24" i="107"/>
  <c r="J25" i="107"/>
  <c r="AB25" i="107"/>
  <c r="K26" i="107"/>
  <c r="AE26" i="107"/>
  <c r="L27" i="107"/>
  <c r="AE27" i="107"/>
  <c r="H31" i="107"/>
  <c r="D32" i="107"/>
  <c r="O33" i="107"/>
  <c r="L34" i="107"/>
  <c r="Q38" i="107"/>
  <c r="H39" i="107"/>
  <c r="P40" i="107"/>
  <c r="G41" i="107"/>
  <c r="Z45" i="107"/>
  <c r="X46" i="107"/>
  <c r="AJ47" i="107"/>
  <c r="AG48" i="107"/>
  <c r="I52" i="107"/>
  <c r="C53" i="107"/>
  <c r="O54" i="107"/>
  <c r="K55" i="107"/>
  <c r="N59" i="107"/>
  <c r="AJ59" i="107"/>
  <c r="Y60" i="107"/>
  <c r="I61" i="107"/>
  <c r="AE61" i="107"/>
  <c r="AI62" i="107"/>
  <c r="AJ66" i="107"/>
  <c r="X67" i="107"/>
  <c r="AC68" i="107"/>
  <c r="AC17" i="107"/>
  <c r="AD18" i="107"/>
  <c r="AD19" i="107"/>
  <c r="AF20" i="107"/>
  <c r="K24" i="107"/>
  <c r="AB24" i="107"/>
  <c r="K25" i="107"/>
  <c r="AE25" i="107"/>
  <c r="M26" i="107"/>
  <c r="AG26" i="107"/>
  <c r="O27" i="107"/>
  <c r="I31" i="107"/>
  <c r="E32" i="107"/>
  <c r="Q33" i="107"/>
  <c r="M34" i="107"/>
  <c r="R38" i="107"/>
  <c r="J39" i="107"/>
  <c r="Q40" i="107"/>
  <c r="I41" i="107"/>
  <c r="AA45" i="107"/>
  <c r="Y46" i="107"/>
  <c r="U47" i="107"/>
  <c r="AJ48" i="107"/>
  <c r="K52" i="107"/>
  <c r="D53" i="107"/>
  <c r="Q54" i="107"/>
  <c r="L62" i="107"/>
  <c r="D62" i="107"/>
  <c r="L61" i="107"/>
  <c r="D61" i="107"/>
  <c r="L60" i="107"/>
  <c r="D60" i="107"/>
  <c r="L59" i="107"/>
  <c r="D59" i="107"/>
  <c r="J62" i="107"/>
  <c r="O61" i="107"/>
  <c r="F61" i="107"/>
  <c r="J60" i="107"/>
  <c r="O59" i="107"/>
  <c r="F59" i="107"/>
  <c r="N62" i="107"/>
  <c r="C62" i="107"/>
  <c r="N61" i="107"/>
  <c r="C61" i="107"/>
  <c r="O60" i="107"/>
  <c r="E60" i="107"/>
  <c r="P59" i="107"/>
  <c r="E59" i="107"/>
  <c r="K62" i="107"/>
  <c r="H61" i="107"/>
  <c r="P60" i="107"/>
  <c r="C60" i="107"/>
  <c r="K59" i="107"/>
  <c r="P57" i="107"/>
  <c r="Q62" i="107"/>
  <c r="F62" i="107"/>
  <c r="M61" i="107"/>
  <c r="I60" i="107"/>
  <c r="R59" i="107"/>
  <c r="G59" i="107"/>
  <c r="P62" i="107"/>
  <c r="E62" i="107"/>
  <c r="K61" i="107"/>
  <c r="H60" i="107"/>
  <c r="Q59" i="107"/>
  <c r="C59" i="107"/>
  <c r="U59" i="107"/>
  <c r="F60" i="107"/>
  <c r="Z60" i="107"/>
  <c r="J61" i="107"/>
  <c r="R62" i="107"/>
  <c r="Y67" i="107"/>
  <c r="AF68" i="107"/>
  <c r="AD17" i="107"/>
  <c r="AE18" i="107"/>
  <c r="AF19" i="107"/>
  <c r="AG20" i="107"/>
  <c r="L24" i="107"/>
  <c r="O25" i="107"/>
  <c r="O26" i="107"/>
  <c r="M31" i="107"/>
  <c r="G32" i="107"/>
  <c r="C33" i="107"/>
  <c r="E38" i="107"/>
  <c r="K39" i="107"/>
  <c r="D40" i="107"/>
  <c r="J41" i="107"/>
  <c r="AB45" i="107"/>
  <c r="AB46" i="107"/>
  <c r="P55" i="107"/>
  <c r="H55" i="107"/>
  <c r="P54" i="107"/>
  <c r="H54" i="107"/>
  <c r="P53" i="107"/>
  <c r="H53" i="107"/>
  <c r="P52" i="107"/>
  <c r="H52" i="107"/>
  <c r="P50" i="107"/>
  <c r="N55" i="107"/>
  <c r="E55" i="107"/>
  <c r="J54" i="107"/>
  <c r="N53" i="107"/>
  <c r="E53" i="107"/>
  <c r="J52" i="107"/>
  <c r="J55" i="107"/>
  <c r="K54" i="107"/>
  <c r="K53" i="107"/>
  <c r="L52" i="107"/>
  <c r="O55" i="107"/>
  <c r="C55" i="107"/>
  <c r="N54" i="107"/>
  <c r="C54" i="107"/>
  <c r="M53" i="107"/>
  <c r="M52" i="107"/>
  <c r="I55" i="107"/>
  <c r="G54" i="107"/>
  <c r="G53" i="107"/>
  <c r="R52" i="107"/>
  <c r="F52" i="107"/>
  <c r="G55" i="107"/>
  <c r="R54" i="107"/>
  <c r="F54" i="107"/>
  <c r="R53" i="107"/>
  <c r="F53" i="107"/>
  <c r="Q52" i="107"/>
  <c r="E52" i="107"/>
  <c r="N52" i="107"/>
  <c r="I53" i="107"/>
  <c r="M55" i="107"/>
  <c r="AD62" i="107"/>
  <c r="V62" i="107"/>
  <c r="AD61" i="107"/>
  <c r="V61" i="107"/>
  <c r="AD60" i="107"/>
  <c r="V60" i="107"/>
  <c r="AD59" i="107"/>
  <c r="V59" i="107"/>
  <c r="AE62" i="107"/>
  <c r="U62" i="107"/>
  <c r="AI61" i="107"/>
  <c r="Z61" i="107"/>
  <c r="AE60" i="107"/>
  <c r="U60" i="107"/>
  <c r="AI59" i="107"/>
  <c r="Z59" i="107"/>
  <c r="AJ62" i="107"/>
  <c r="Z62" i="107"/>
  <c r="AA61" i="107"/>
  <c r="AA60" i="107"/>
  <c r="AB59" i="107"/>
  <c r="Y62" i="107"/>
  <c r="AG61" i="107"/>
  <c r="U61" i="107"/>
  <c r="AC60" i="107"/>
  <c r="Y59" i="107"/>
  <c r="AF62" i="107"/>
  <c r="AB61" i="107"/>
  <c r="AI60" i="107"/>
  <c r="X60" i="107"/>
  <c r="AF59" i="107"/>
  <c r="AC62" i="107"/>
  <c r="Y61" i="107"/>
  <c r="AH60" i="107"/>
  <c r="W60" i="107"/>
  <c r="AE59" i="107"/>
  <c r="W59" i="107"/>
  <c r="AB60" i="107"/>
  <c r="AH61" i="107"/>
  <c r="W62" i="107"/>
  <c r="AH69" i="107"/>
  <c r="Z69" i="107"/>
  <c r="AH68" i="107"/>
  <c r="Z68" i="107"/>
  <c r="AH67" i="107"/>
  <c r="Z67" i="107"/>
  <c r="AH66" i="107"/>
  <c r="Z66" i="107"/>
  <c r="AJ69" i="107"/>
  <c r="AA69" i="107"/>
  <c r="AE68" i="107"/>
  <c r="V68" i="107"/>
  <c r="AJ67" i="107"/>
  <c r="AA67" i="107"/>
  <c r="AE66" i="107"/>
  <c r="V66" i="107"/>
  <c r="AH64" i="107"/>
  <c r="AD69" i="107"/>
  <c r="AD68" i="107"/>
  <c r="AE67" i="107"/>
  <c r="U67" i="107"/>
  <c r="AF66" i="107"/>
  <c r="U66" i="107"/>
  <c r="X69" i="107"/>
  <c r="AG68" i="107"/>
  <c r="U68" i="107"/>
  <c r="AC67" i="107"/>
  <c r="Y66" i="107"/>
  <c r="AE69" i="107"/>
  <c r="AA68" i="107"/>
  <c r="AI67" i="107"/>
  <c r="W67" i="107"/>
  <c r="AD66" i="107"/>
  <c r="AC69" i="107"/>
  <c r="Y68" i="107"/>
  <c r="AG67" i="107"/>
  <c r="V67" i="107"/>
  <c r="AC66" i="107"/>
  <c r="Y69" i="107"/>
  <c r="W66" i="107"/>
  <c r="AB67" i="107"/>
  <c r="AI68" i="107"/>
  <c r="V69" i="107"/>
  <c r="AE17" i="107"/>
  <c r="AG18" i="107"/>
  <c r="AH19" i="107"/>
  <c r="N27" i="107"/>
  <c r="F27" i="107"/>
  <c r="N26" i="107"/>
  <c r="F26" i="107"/>
  <c r="N25" i="107"/>
  <c r="F25" i="107"/>
  <c r="N24" i="107"/>
  <c r="F24" i="107"/>
  <c r="M27" i="107"/>
  <c r="D27" i="107"/>
  <c r="R26" i="107"/>
  <c r="I26" i="107"/>
  <c r="M25" i="107"/>
  <c r="D25" i="107"/>
  <c r="R24" i="107"/>
  <c r="I24" i="107"/>
  <c r="P22" i="107"/>
  <c r="K27" i="107"/>
  <c r="L26" i="107"/>
  <c r="L25" i="107"/>
  <c r="M24" i="107"/>
  <c r="C24" i="107"/>
  <c r="Q27" i="107"/>
  <c r="G27" i="107"/>
  <c r="Q26" i="107"/>
  <c r="G26" i="107"/>
  <c r="R25" i="107"/>
  <c r="H25" i="107"/>
  <c r="H24" i="107"/>
  <c r="P27" i="107"/>
  <c r="E27" i="107"/>
  <c r="P26" i="107"/>
  <c r="E26" i="107"/>
  <c r="Q25" i="107"/>
  <c r="G25" i="107"/>
  <c r="Q24" i="107"/>
  <c r="G24" i="107"/>
  <c r="O24" i="107"/>
  <c r="P25" i="107"/>
  <c r="R34" i="107"/>
  <c r="J34" i="107"/>
  <c r="R33" i="107"/>
  <c r="J33" i="107"/>
  <c r="R32" i="107"/>
  <c r="J32" i="107"/>
  <c r="R31" i="107"/>
  <c r="J31" i="107"/>
  <c r="I34" i="107"/>
  <c r="N33" i="107"/>
  <c r="E33" i="107"/>
  <c r="I32" i="107"/>
  <c r="N31" i="107"/>
  <c r="E31" i="107"/>
  <c r="O34" i="107"/>
  <c r="E34" i="107"/>
  <c r="P33" i="107"/>
  <c r="F33" i="107"/>
  <c r="P32" i="107"/>
  <c r="F32" i="107"/>
  <c r="Q31" i="107"/>
  <c r="G31" i="107"/>
  <c r="K34" i="107"/>
  <c r="K33" i="107"/>
  <c r="L32" i="107"/>
  <c r="L31" i="107"/>
  <c r="H34" i="107"/>
  <c r="I33" i="107"/>
  <c r="K32" i="107"/>
  <c r="K31" i="107"/>
  <c r="P29" i="107"/>
  <c r="O31" i="107"/>
  <c r="H32" i="107"/>
  <c r="D33" i="107"/>
  <c r="P34" i="107"/>
  <c r="G38" i="107"/>
  <c r="P39" i="107"/>
  <c r="E40" i="107"/>
  <c r="M41" i="107"/>
  <c r="AD48" i="107"/>
  <c r="V48" i="107"/>
  <c r="AD47" i="107"/>
  <c r="V47" i="107"/>
  <c r="AD46" i="107"/>
  <c r="V46" i="107"/>
  <c r="AD45" i="107"/>
  <c r="V45" i="107"/>
  <c r="AC48" i="107"/>
  <c r="AH47" i="107"/>
  <c r="Y47" i="107"/>
  <c r="AC46" i="107"/>
  <c r="AH45" i="107"/>
  <c r="Y45" i="107"/>
  <c r="AE48" i="107"/>
  <c r="AE47" i="107"/>
  <c r="AF46" i="107"/>
  <c r="U46" i="107"/>
  <c r="AF45" i="107"/>
  <c r="U45" i="107"/>
  <c r="AB48" i="107"/>
  <c r="Z47" i="107"/>
  <c r="AH46" i="107"/>
  <c r="W46" i="107"/>
  <c r="AC45" i="107"/>
  <c r="AI48" i="107"/>
  <c r="X48" i="107"/>
  <c r="AF47" i="107"/>
  <c r="AA46" i="107"/>
  <c r="AJ45" i="107"/>
  <c r="X45" i="107"/>
  <c r="AH48" i="107"/>
  <c r="W48" i="107"/>
  <c r="AC47" i="107"/>
  <c r="Z46" i="107"/>
  <c r="AI45" i="107"/>
  <c r="W45" i="107"/>
  <c r="AE45" i="107"/>
  <c r="AE46" i="107"/>
  <c r="X47" i="107"/>
  <c r="U48" i="107"/>
  <c r="AF60" i="107"/>
  <c r="AJ61" i="107"/>
  <c r="X62" i="107"/>
  <c r="X66" i="107"/>
  <c r="AD67" i="107"/>
  <c r="AJ68" i="107"/>
  <c r="W69" i="107"/>
  <c r="AH17" i="107"/>
  <c r="AH18" i="107"/>
  <c r="V20" i="107"/>
  <c r="AF27" i="107"/>
  <c r="X27" i="107"/>
  <c r="AF26" i="107"/>
  <c r="X26" i="107"/>
  <c r="AF25" i="107"/>
  <c r="X25" i="107"/>
  <c r="AF24" i="107"/>
  <c r="X24" i="107"/>
  <c r="AH27" i="107"/>
  <c r="Y27" i="107"/>
  <c r="AC26" i="107"/>
  <c r="AH25" i="107"/>
  <c r="Y25" i="107"/>
  <c r="AC24" i="107"/>
  <c r="AI27" i="107"/>
  <c r="W27" i="107"/>
  <c r="AI26" i="107"/>
  <c r="Y26" i="107"/>
  <c r="AJ25" i="107"/>
  <c r="Z25" i="107"/>
  <c r="AJ24" i="107"/>
  <c r="Z24" i="107"/>
  <c r="AC27" i="107"/>
  <c r="AD26" i="107"/>
  <c r="AD25" i="107"/>
  <c r="AE24" i="107"/>
  <c r="U24" i="107"/>
  <c r="AB27" i="107"/>
  <c r="AB26" i="107"/>
  <c r="AC25" i="107"/>
  <c r="AD24" i="107"/>
  <c r="P24" i="107"/>
  <c r="AI24" i="107"/>
  <c r="U25" i="107"/>
  <c r="C26" i="107"/>
  <c r="V26" i="107"/>
  <c r="C27" i="107"/>
  <c r="V27" i="107"/>
  <c r="P31" i="107"/>
  <c r="M32" i="107"/>
  <c r="G33" i="107"/>
  <c r="C34" i="107"/>
  <c r="Q34" i="107"/>
  <c r="H38" i="107"/>
  <c r="Q39" i="107"/>
  <c r="G40" i="107"/>
  <c r="P41" i="107"/>
  <c r="AH43" i="107"/>
  <c r="AG45" i="107"/>
  <c r="AG46" i="107"/>
  <c r="AA47" i="107"/>
  <c r="Y48" i="107"/>
  <c r="R55" i="107"/>
  <c r="AA59" i="107"/>
  <c r="AG60" i="107"/>
  <c r="AA62" i="107"/>
  <c r="AA66" i="107"/>
  <c r="AF67" i="107"/>
  <c r="AB69" i="107"/>
  <c r="L69" i="102"/>
  <c r="D69" i="102"/>
  <c r="L68" i="102"/>
  <c r="D68" i="102"/>
  <c r="L67" i="102"/>
  <c r="D67" i="102"/>
  <c r="L66" i="102"/>
  <c r="D66" i="102"/>
  <c r="J69" i="102"/>
  <c r="O68" i="102"/>
  <c r="F68" i="102"/>
  <c r="J67" i="102"/>
  <c r="O66" i="102"/>
  <c r="F66" i="102"/>
  <c r="M69" i="102"/>
  <c r="M68" i="102"/>
  <c r="N67" i="102"/>
  <c r="C67" i="102"/>
  <c r="N66" i="102"/>
  <c r="C66" i="102"/>
  <c r="J66" i="102"/>
  <c r="O67" i="102"/>
  <c r="G68" i="102"/>
  <c r="R68" i="102"/>
  <c r="I69" i="102"/>
  <c r="L55" i="105"/>
  <c r="D55" i="105"/>
  <c r="L54" i="105"/>
  <c r="D54" i="105"/>
  <c r="L53" i="105"/>
  <c r="D53" i="105"/>
  <c r="L52" i="105"/>
  <c r="D52" i="105"/>
  <c r="Q55" i="105"/>
  <c r="H55" i="105"/>
  <c r="M54" i="105"/>
  <c r="C54" i="105"/>
  <c r="Q53" i="105"/>
  <c r="H53" i="105"/>
  <c r="M52" i="105"/>
  <c r="C52" i="105"/>
  <c r="N55" i="105"/>
  <c r="C55" i="105"/>
  <c r="O54" i="105"/>
  <c r="E54" i="105"/>
  <c r="O53" i="105"/>
  <c r="E53" i="105"/>
  <c r="P52" i="105"/>
  <c r="F52" i="105"/>
  <c r="M55" i="105"/>
  <c r="N54" i="105"/>
  <c r="N53" i="105"/>
  <c r="C53" i="105"/>
  <c r="O52" i="105"/>
  <c r="E52" i="105"/>
  <c r="K52" i="105"/>
  <c r="I53" i="105"/>
  <c r="F54" i="105"/>
  <c r="R54" i="105"/>
  <c r="O55" i="105"/>
  <c r="L69" i="105"/>
  <c r="D69" i="105"/>
  <c r="L68" i="105"/>
  <c r="D68" i="105"/>
  <c r="L67" i="105"/>
  <c r="D67" i="105"/>
  <c r="L66" i="105"/>
  <c r="D66" i="105"/>
  <c r="R69" i="105"/>
  <c r="I69" i="105"/>
  <c r="N68" i="105"/>
  <c r="E68" i="105"/>
  <c r="R67" i="105"/>
  <c r="I67" i="105"/>
  <c r="N66" i="105"/>
  <c r="E66" i="105"/>
  <c r="O69" i="105"/>
  <c r="E69" i="105"/>
  <c r="P68" i="105"/>
  <c r="F68" i="105"/>
  <c r="P67" i="105"/>
  <c r="F67" i="105"/>
  <c r="Q66" i="105"/>
  <c r="G66" i="105"/>
  <c r="J69" i="105"/>
  <c r="J68" i="105"/>
  <c r="K67" i="105"/>
  <c r="K66" i="105"/>
  <c r="H69" i="105"/>
  <c r="I68" i="105"/>
  <c r="J67" i="105"/>
  <c r="J66" i="105"/>
  <c r="P64" i="105"/>
  <c r="O66" i="105"/>
  <c r="O67" i="105"/>
  <c r="Q68" i="105"/>
  <c r="Q69" i="105"/>
  <c r="AI17" i="107"/>
  <c r="U18" i="107"/>
  <c r="V19" i="107"/>
  <c r="W20" i="107"/>
  <c r="AH22" i="107"/>
  <c r="V24" i="107"/>
  <c r="C25" i="107"/>
  <c r="V25" i="107"/>
  <c r="D26" i="107"/>
  <c r="W26" i="107"/>
  <c r="H27" i="107"/>
  <c r="Z27" i="107"/>
  <c r="C31" i="107"/>
  <c r="N32" i="107"/>
  <c r="H33" i="107"/>
  <c r="D34" i="107"/>
  <c r="K38" i="107"/>
  <c r="R39" i="107"/>
  <c r="I40" i="107"/>
  <c r="Q41" i="107"/>
  <c r="AI46" i="107"/>
  <c r="AB47" i="107"/>
  <c r="Z48" i="107"/>
  <c r="C52" i="107"/>
  <c r="O53" i="107"/>
  <c r="I54" i="107"/>
  <c r="I59" i="107"/>
  <c r="AC59" i="107"/>
  <c r="N60" i="107"/>
  <c r="AJ60" i="107"/>
  <c r="W61" i="107"/>
  <c r="H62" i="107"/>
  <c r="AB62" i="107"/>
  <c r="AB66" i="107"/>
  <c r="W68" i="107"/>
  <c r="AF69" i="107"/>
  <c r="AD10" i="109"/>
  <c r="Y11" i="109"/>
  <c r="AD12" i="109"/>
  <c r="Y13" i="109"/>
  <c r="K17" i="109"/>
  <c r="G18" i="109"/>
  <c r="M19" i="109"/>
  <c r="G20" i="109"/>
  <c r="V38" i="109"/>
  <c r="X39" i="109"/>
  <c r="Z40" i="109"/>
  <c r="AB41" i="109"/>
  <c r="AE45" i="109"/>
  <c r="V46" i="109"/>
  <c r="AG47" i="109"/>
  <c r="Z48" i="109"/>
  <c r="F52" i="109"/>
  <c r="Y52" i="109"/>
  <c r="G53" i="109"/>
  <c r="Z53" i="109"/>
  <c r="K54" i="109"/>
  <c r="AB54" i="109"/>
  <c r="L55" i="109"/>
  <c r="AD55" i="109"/>
  <c r="AH59" i="109"/>
  <c r="AD60" i="109"/>
  <c r="AA61" i="109"/>
  <c r="V62" i="109"/>
  <c r="AF69" i="109"/>
  <c r="X69" i="109"/>
  <c r="AD68" i="109"/>
  <c r="V68" i="109"/>
  <c r="AB67" i="109"/>
  <c r="AH66" i="109"/>
  <c r="Z66" i="109"/>
  <c r="AG69" i="109"/>
  <c r="W69" i="109"/>
  <c r="Z68" i="109"/>
  <c r="AC67" i="109"/>
  <c r="AE66" i="109"/>
  <c r="V66" i="109"/>
  <c r="AF64" i="109"/>
  <c r="AA69" i="109"/>
  <c r="Y68" i="109"/>
  <c r="AH67" i="109"/>
  <c r="X67" i="109"/>
  <c r="AG66" i="109"/>
  <c r="W66" i="109"/>
  <c r="AC69" i="109"/>
  <c r="AH68" i="109"/>
  <c r="W68" i="109"/>
  <c r="AD67" i="109"/>
  <c r="X66" i="109"/>
  <c r="V69" i="109"/>
  <c r="AC68" i="109"/>
  <c r="W67" i="109"/>
  <c r="AC66" i="109"/>
  <c r="AB66" i="109"/>
  <c r="Y67" i="109"/>
  <c r="AH69" i="109"/>
  <c r="Q31" i="108"/>
  <c r="C32" i="108"/>
  <c r="I33" i="108"/>
  <c r="AJ41" i="108"/>
  <c r="AB41" i="108"/>
  <c r="AJ40" i="108"/>
  <c r="AB40" i="108"/>
  <c r="AJ39" i="108"/>
  <c r="AB39" i="108"/>
  <c r="AJ38" i="108"/>
  <c r="AB38" i="108"/>
  <c r="AA41" i="108"/>
  <c r="AF40" i="108"/>
  <c r="W40" i="108"/>
  <c r="AA39" i="108"/>
  <c r="AF38" i="108"/>
  <c r="W38" i="108"/>
  <c r="AH41" i="108"/>
  <c r="X41" i="108"/>
  <c r="AI40" i="108"/>
  <c r="Y40" i="108"/>
  <c r="AI39" i="108"/>
  <c r="Y39" i="108"/>
  <c r="Z38" i="108"/>
  <c r="AC41" i="108"/>
  <c r="X40" i="108"/>
  <c r="AF39" i="108"/>
  <c r="U39" i="108"/>
  <c r="AC38" i="108"/>
  <c r="Z41" i="108"/>
  <c r="AH40" i="108"/>
  <c r="V40" i="108"/>
  <c r="AE39" i="108"/>
  <c r="AA38" i="108"/>
  <c r="AH36" i="108"/>
  <c r="AF41" i="108"/>
  <c r="U41" i="108"/>
  <c r="AC40" i="108"/>
  <c r="X39" i="108"/>
  <c r="AG38" i="108"/>
  <c r="U38" i="108"/>
  <c r="AE41" i="108"/>
  <c r="AA40" i="108"/>
  <c r="AH39" i="108"/>
  <c r="W39" i="108"/>
  <c r="AE38" i="108"/>
  <c r="AD39" i="108"/>
  <c r="AD41" i="108"/>
  <c r="AH45" i="108"/>
  <c r="AC46" i="108"/>
  <c r="AA47" i="108"/>
  <c r="Z11" i="109"/>
  <c r="AE12" i="109"/>
  <c r="Z13" i="109"/>
  <c r="I18" i="109"/>
  <c r="Q19" i="109"/>
  <c r="H20" i="109"/>
  <c r="W38" i="109"/>
  <c r="Z39" i="109"/>
  <c r="AA40" i="109"/>
  <c r="AC41" i="109"/>
  <c r="AF45" i="109"/>
  <c r="W46" i="109"/>
  <c r="AC48" i="109"/>
  <c r="I52" i="109"/>
  <c r="AA52" i="109"/>
  <c r="L53" i="109"/>
  <c r="AA53" i="109"/>
  <c r="M54" i="109"/>
  <c r="AE54" i="109"/>
  <c r="O55" i="109"/>
  <c r="AE55" i="109"/>
  <c r="AE60" i="109"/>
  <c r="AB61" i="109"/>
  <c r="X62" i="109"/>
  <c r="R31" i="108"/>
  <c r="D32" i="108"/>
  <c r="M33" i="108"/>
  <c r="AF46" i="108"/>
  <c r="AE47" i="108"/>
  <c r="W48" i="108"/>
  <c r="P59" i="108"/>
  <c r="F73" i="105"/>
  <c r="P73" i="105"/>
  <c r="K74" i="105"/>
  <c r="E75" i="105"/>
  <c r="O75" i="105"/>
  <c r="K76" i="105"/>
  <c r="C17" i="107"/>
  <c r="N17" i="107"/>
  <c r="C18" i="107"/>
  <c r="M18" i="107"/>
  <c r="L19" i="107"/>
  <c r="L20" i="107"/>
  <c r="D66" i="107"/>
  <c r="O66" i="107"/>
  <c r="G67" i="107"/>
  <c r="L68" i="107"/>
  <c r="C69" i="107"/>
  <c r="N69" i="107"/>
  <c r="E73" i="107"/>
  <c r="Q73" i="107"/>
  <c r="M74" i="107"/>
  <c r="I75" i="107"/>
  <c r="D76" i="107"/>
  <c r="Q76" i="107"/>
  <c r="U10" i="109"/>
  <c r="AG10" i="109"/>
  <c r="AA11" i="109"/>
  <c r="U12" i="109"/>
  <c r="AG12" i="109"/>
  <c r="AD13" i="109"/>
  <c r="C17" i="109"/>
  <c r="P17" i="109"/>
  <c r="J18" i="109"/>
  <c r="C19" i="109"/>
  <c r="R19" i="109"/>
  <c r="I20" i="109"/>
  <c r="N27" i="109"/>
  <c r="F27" i="109"/>
  <c r="L26" i="109"/>
  <c r="D26" i="109"/>
  <c r="R25" i="109"/>
  <c r="J25" i="109"/>
  <c r="P24" i="109"/>
  <c r="H24" i="109"/>
  <c r="P22" i="109"/>
  <c r="P27" i="109"/>
  <c r="G27" i="109"/>
  <c r="R26" i="109"/>
  <c r="I26" i="109"/>
  <c r="L25" i="109"/>
  <c r="C25" i="109"/>
  <c r="N24" i="109"/>
  <c r="E24" i="109"/>
  <c r="R27" i="109"/>
  <c r="H27" i="109"/>
  <c r="P26" i="109"/>
  <c r="F26" i="109"/>
  <c r="O25" i="109"/>
  <c r="E25" i="109"/>
  <c r="M24" i="109"/>
  <c r="C24" i="109"/>
  <c r="I27" i="109"/>
  <c r="N26" i="109"/>
  <c r="H25" i="109"/>
  <c r="O24" i="109"/>
  <c r="L24" i="109"/>
  <c r="K25" i="109"/>
  <c r="H26" i="109"/>
  <c r="D27" i="109"/>
  <c r="R34" i="109"/>
  <c r="J34" i="109"/>
  <c r="P33" i="109"/>
  <c r="H33" i="109"/>
  <c r="N32" i="109"/>
  <c r="F32" i="109"/>
  <c r="L31" i="109"/>
  <c r="D31" i="109"/>
  <c r="K34" i="109"/>
  <c r="M33" i="109"/>
  <c r="D33" i="109"/>
  <c r="P32" i="109"/>
  <c r="G32" i="109"/>
  <c r="R31" i="109"/>
  <c r="I31" i="109"/>
  <c r="P29" i="109"/>
  <c r="H34" i="109"/>
  <c r="R33" i="109"/>
  <c r="G33" i="109"/>
  <c r="Q32" i="109"/>
  <c r="E32" i="109"/>
  <c r="O31" i="109"/>
  <c r="E31" i="109"/>
  <c r="O34" i="109"/>
  <c r="D34" i="109"/>
  <c r="J33" i="109"/>
  <c r="O32" i="109"/>
  <c r="C32" i="109"/>
  <c r="J31" i="109"/>
  <c r="I34" i="109"/>
  <c r="O33" i="109"/>
  <c r="C33" i="109"/>
  <c r="M31" i="109"/>
  <c r="J32" i="109"/>
  <c r="K33" i="109"/>
  <c r="M34" i="109"/>
  <c r="AA38" i="109"/>
  <c r="AA39" i="109"/>
  <c r="AC40" i="109"/>
  <c r="AE41" i="109"/>
  <c r="AG45" i="109"/>
  <c r="AA46" i="109"/>
  <c r="AE48" i="109"/>
  <c r="K52" i="109"/>
  <c r="AB52" i="109"/>
  <c r="M53" i="109"/>
  <c r="AE53" i="109"/>
  <c r="N54" i="109"/>
  <c r="AF54" i="109"/>
  <c r="Q55" i="109"/>
  <c r="AG55" i="109"/>
  <c r="W59" i="109"/>
  <c r="AD61" i="109"/>
  <c r="Z62" i="109"/>
  <c r="AF66" i="109"/>
  <c r="AA67" i="109"/>
  <c r="X68" i="109"/>
  <c r="U69" i="109"/>
  <c r="G32" i="108"/>
  <c r="N33" i="108"/>
  <c r="F34" i="108"/>
  <c r="AI46" i="108"/>
  <c r="AF47" i="108"/>
  <c r="X48" i="108"/>
  <c r="AB71" i="111"/>
  <c r="AJ71" i="111"/>
  <c r="X75" i="111"/>
  <c r="AF75" i="111"/>
  <c r="X80" i="111"/>
  <c r="AF80" i="111"/>
  <c r="AD41" i="102"/>
  <c r="V41" i="102"/>
  <c r="AD40" i="102"/>
  <c r="V40" i="102"/>
  <c r="AD39" i="102"/>
  <c r="V39" i="102"/>
  <c r="AD38" i="102"/>
  <c r="V38" i="102"/>
  <c r="AB41" i="102"/>
  <c r="AG40" i="102"/>
  <c r="X40" i="102"/>
  <c r="AB39" i="102"/>
  <c r="AG38" i="102"/>
  <c r="X38" i="102"/>
  <c r="Y38" i="102"/>
  <c r="AI38" i="102"/>
  <c r="X39" i="102"/>
  <c r="AH39" i="102"/>
  <c r="W40" i="102"/>
  <c r="AH40" i="102"/>
  <c r="W41" i="102"/>
  <c r="AG41" i="102"/>
  <c r="AH104" i="102"/>
  <c r="Z104" i="102"/>
  <c r="AH103" i="102"/>
  <c r="Z103" i="102"/>
  <c r="AH102" i="102"/>
  <c r="Z102" i="102"/>
  <c r="AH101" i="102"/>
  <c r="Z101" i="102"/>
  <c r="AC104" i="102"/>
  <c r="AG103" i="102"/>
  <c r="X103" i="102"/>
  <c r="AC102" i="102"/>
  <c r="AG101" i="102"/>
  <c r="X101" i="102"/>
  <c r="W101" i="102"/>
  <c r="AI101" i="102"/>
  <c r="W102" i="102"/>
  <c r="AG102" i="102"/>
  <c r="V103" i="102"/>
  <c r="AF103" i="102"/>
  <c r="V104" i="102"/>
  <c r="AF104" i="102"/>
  <c r="G73" i="105"/>
  <c r="Q73" i="105"/>
  <c r="L74" i="105"/>
  <c r="F75" i="105"/>
  <c r="Q75" i="105"/>
  <c r="AF13" i="107"/>
  <c r="X13" i="107"/>
  <c r="AF12" i="107"/>
  <c r="X12" i="107"/>
  <c r="AF11" i="107"/>
  <c r="X11" i="107"/>
  <c r="AF10" i="107"/>
  <c r="X10" i="107"/>
  <c r="AG13" i="107"/>
  <c r="W13" i="107"/>
  <c r="AB12" i="107"/>
  <c r="AG11" i="107"/>
  <c r="W11" i="107"/>
  <c r="AB10" i="107"/>
  <c r="W10" i="107"/>
  <c r="AH10" i="107"/>
  <c r="V11" i="107"/>
  <c r="AH11" i="107"/>
  <c r="V12" i="107"/>
  <c r="AG12" i="107"/>
  <c r="U13" i="107"/>
  <c r="AE13" i="107"/>
  <c r="E17" i="107"/>
  <c r="O17" i="107"/>
  <c r="D18" i="107"/>
  <c r="N18" i="107"/>
  <c r="C19" i="107"/>
  <c r="N19" i="107"/>
  <c r="C20" i="107"/>
  <c r="AJ34" i="107"/>
  <c r="AB34" i="107"/>
  <c r="AJ33" i="107"/>
  <c r="AB33" i="107"/>
  <c r="AJ32" i="107"/>
  <c r="AB32" i="107"/>
  <c r="AJ31" i="107"/>
  <c r="AB31" i="107"/>
  <c r="AH29" i="107"/>
  <c r="AD34" i="107"/>
  <c r="U34" i="107"/>
  <c r="AH33" i="107"/>
  <c r="Y33" i="107"/>
  <c r="AD32" i="107"/>
  <c r="U32" i="107"/>
  <c r="AH31" i="107"/>
  <c r="Y31" i="107"/>
  <c r="X31" i="107"/>
  <c r="AI31" i="107"/>
  <c r="X32" i="107"/>
  <c r="AH32" i="107"/>
  <c r="W33" i="107"/>
  <c r="AG33" i="107"/>
  <c r="W34" i="107"/>
  <c r="AG34" i="107"/>
  <c r="E66" i="107"/>
  <c r="Q66" i="107"/>
  <c r="J67" i="107"/>
  <c r="M68" i="107"/>
  <c r="D69" i="107"/>
  <c r="Q69" i="107"/>
  <c r="G73" i="107"/>
  <c r="C74" i="107"/>
  <c r="O74" i="107"/>
  <c r="J75" i="107"/>
  <c r="E76" i="107"/>
  <c r="W10" i="109"/>
  <c r="AB11" i="109"/>
  <c r="V12" i="109"/>
  <c r="AH12" i="109"/>
  <c r="E17" i="109"/>
  <c r="Q17" i="109"/>
  <c r="K18" i="109"/>
  <c r="F19" i="109"/>
  <c r="AF27" i="109"/>
  <c r="X27" i="109"/>
  <c r="AD26" i="109"/>
  <c r="V26" i="109"/>
  <c r="AB25" i="109"/>
  <c r="AH24" i="109"/>
  <c r="Z24" i="109"/>
  <c r="AA27" i="109"/>
  <c r="AC26" i="109"/>
  <c r="AF25" i="109"/>
  <c r="W25" i="109"/>
  <c r="Y24" i="109"/>
  <c r="AD27" i="109"/>
  <c r="AB26" i="109"/>
  <c r="AA25" i="109"/>
  <c r="AA24" i="109"/>
  <c r="AH27" i="109"/>
  <c r="V27" i="109"/>
  <c r="AA26" i="109"/>
  <c r="AH25" i="109"/>
  <c r="V25" i="109"/>
  <c r="AC24" i="109"/>
  <c r="AF22" i="109"/>
  <c r="Q24" i="109"/>
  <c r="AE24" i="109"/>
  <c r="M25" i="109"/>
  <c r="AC25" i="109"/>
  <c r="J26" i="109"/>
  <c r="Y26" i="109"/>
  <c r="E27" i="109"/>
  <c r="W27" i="109"/>
  <c r="AB34" i="109"/>
  <c r="AH33" i="109"/>
  <c r="Z33" i="109"/>
  <c r="AF32" i="109"/>
  <c r="X32" i="109"/>
  <c r="AD31" i="109"/>
  <c r="V31" i="109"/>
  <c r="AE34" i="109"/>
  <c r="V34" i="109"/>
  <c r="AG33" i="109"/>
  <c r="X33" i="109"/>
  <c r="AA32" i="109"/>
  <c r="AC31" i="109"/>
  <c r="AF34" i="109"/>
  <c r="U34" i="109"/>
  <c r="AD33" i="109"/>
  <c r="AC32" i="109"/>
  <c r="AA31" i="109"/>
  <c r="AC34" i="109"/>
  <c r="W33" i="109"/>
  <c r="AD32" i="109"/>
  <c r="X31" i="109"/>
  <c r="X34" i="109"/>
  <c r="AC33" i="109"/>
  <c r="W32" i="109"/>
  <c r="N31" i="109"/>
  <c r="AE31" i="109"/>
  <c r="K32" i="109"/>
  <c r="AB32" i="109"/>
  <c r="L33" i="109"/>
  <c r="AE33" i="109"/>
  <c r="N34" i="109"/>
  <c r="AG34" i="109"/>
  <c r="AB38" i="109"/>
  <c r="AC39" i="109"/>
  <c r="AG40" i="109"/>
  <c r="AB46" i="109"/>
  <c r="V47" i="109"/>
  <c r="M52" i="109"/>
  <c r="AE52" i="109"/>
  <c r="N53" i="109"/>
  <c r="AG53" i="109"/>
  <c r="Q54" i="109"/>
  <c r="Y59" i="109"/>
  <c r="AF61" i="109"/>
  <c r="AE67" i="109"/>
  <c r="AA68" i="109"/>
  <c r="Y69" i="109"/>
  <c r="AF10" i="108"/>
  <c r="AJ11" i="108"/>
  <c r="AD24" i="108"/>
  <c r="AI25" i="108"/>
  <c r="W26" i="108"/>
  <c r="E31" i="108"/>
  <c r="I32" i="108"/>
  <c r="R33" i="108"/>
  <c r="G34" i="108"/>
  <c r="Y38" i="108"/>
  <c r="AD40" i="108"/>
  <c r="AG47" i="108"/>
  <c r="AC48" i="108"/>
  <c r="AE59" i="108"/>
  <c r="N55" i="109"/>
  <c r="F55" i="109"/>
  <c r="L54" i="109"/>
  <c r="D54" i="109"/>
  <c r="R53" i="109"/>
  <c r="J53" i="109"/>
  <c r="P52" i="109"/>
  <c r="H52" i="109"/>
  <c r="P50" i="109"/>
  <c r="M55" i="109"/>
  <c r="D55" i="109"/>
  <c r="P54" i="109"/>
  <c r="G54" i="109"/>
  <c r="I53" i="109"/>
  <c r="L52" i="109"/>
  <c r="C52" i="109"/>
  <c r="K55" i="109"/>
  <c r="J54" i="109"/>
  <c r="H53" i="109"/>
  <c r="R52" i="109"/>
  <c r="G52" i="109"/>
  <c r="P55" i="109"/>
  <c r="C55" i="109"/>
  <c r="I54" i="109"/>
  <c r="O53" i="109"/>
  <c r="D53" i="109"/>
  <c r="J52" i="109"/>
  <c r="I55" i="109"/>
  <c r="O54" i="109"/>
  <c r="C54" i="109"/>
  <c r="K53" i="109"/>
  <c r="O52" i="109"/>
  <c r="D52" i="109"/>
  <c r="N52" i="109"/>
  <c r="P53" i="109"/>
  <c r="R54" i="109"/>
  <c r="E55" i="109"/>
  <c r="N62" i="108"/>
  <c r="F62" i="108"/>
  <c r="N61" i="108"/>
  <c r="F61" i="108"/>
  <c r="N60" i="108"/>
  <c r="F60" i="108"/>
  <c r="N59" i="108"/>
  <c r="F59" i="108"/>
  <c r="P57" i="108"/>
  <c r="Q62" i="108"/>
  <c r="H62" i="108"/>
  <c r="L61" i="108"/>
  <c r="C61" i="108"/>
  <c r="Q60" i="108"/>
  <c r="H60" i="108"/>
  <c r="L59" i="108"/>
  <c r="C59" i="108"/>
  <c r="K62" i="108"/>
  <c r="K61" i="108"/>
  <c r="L60" i="108"/>
  <c r="M59" i="108"/>
  <c r="M62" i="108"/>
  <c r="I61" i="108"/>
  <c r="R60" i="108"/>
  <c r="E60" i="108"/>
  <c r="O59" i="108"/>
  <c r="L62" i="108"/>
  <c r="H61" i="108"/>
  <c r="P60" i="108"/>
  <c r="D60" i="108"/>
  <c r="K59" i="108"/>
  <c r="R62" i="108"/>
  <c r="C62" i="108"/>
  <c r="Q61" i="108"/>
  <c r="R59" i="108"/>
  <c r="D59" i="108"/>
  <c r="P62" i="108"/>
  <c r="P61" i="108"/>
  <c r="O60" i="108"/>
  <c r="Q59" i="108"/>
  <c r="J62" i="108"/>
  <c r="M61" i="108"/>
  <c r="K60" i="108"/>
  <c r="J59" i="108"/>
  <c r="G62" i="108"/>
  <c r="G61" i="108"/>
  <c r="I60" i="108"/>
  <c r="H59" i="108"/>
  <c r="E62" i="108"/>
  <c r="E61" i="108"/>
  <c r="G60" i="108"/>
  <c r="G59" i="108"/>
  <c r="D62" i="108"/>
  <c r="R61" i="108"/>
  <c r="D61" i="108"/>
  <c r="C60" i="108"/>
  <c r="E59" i="108"/>
  <c r="J60" i="108"/>
  <c r="I62" i="108"/>
  <c r="AF55" i="109"/>
  <c r="X55" i="109"/>
  <c r="AD54" i="109"/>
  <c r="V54" i="109"/>
  <c r="AB53" i="109"/>
  <c r="AH52" i="109"/>
  <c r="Z52" i="109"/>
  <c r="AH55" i="109"/>
  <c r="Y55" i="109"/>
  <c r="AA54" i="109"/>
  <c r="AD53" i="109"/>
  <c r="U53" i="109"/>
  <c r="AF52" i="109"/>
  <c r="W52" i="109"/>
  <c r="W55" i="109"/>
  <c r="AG54" i="109"/>
  <c r="W54" i="109"/>
  <c r="AF53" i="109"/>
  <c r="V53" i="109"/>
  <c r="AD52" i="109"/>
  <c r="AC55" i="109"/>
  <c r="X54" i="109"/>
  <c r="AC53" i="109"/>
  <c r="X52" i="109"/>
  <c r="V55" i="109"/>
  <c r="AC54" i="109"/>
  <c r="X53" i="109"/>
  <c r="AC52" i="109"/>
  <c r="Q52" i="109"/>
  <c r="C53" i="109"/>
  <c r="Q53" i="109"/>
  <c r="E54" i="109"/>
  <c r="U54" i="109"/>
  <c r="G55" i="109"/>
  <c r="Z55" i="109"/>
  <c r="AB62" i="109"/>
  <c r="AH61" i="109"/>
  <c r="Z61" i="109"/>
  <c r="AF60" i="109"/>
  <c r="X60" i="109"/>
  <c r="AD59" i="109"/>
  <c r="V59" i="109"/>
  <c r="AC62" i="109"/>
  <c r="AE61" i="109"/>
  <c r="V61" i="109"/>
  <c r="AH60" i="109"/>
  <c r="Y60" i="109"/>
  <c r="AA59" i="109"/>
  <c r="Y62" i="109"/>
  <c r="X61" i="109"/>
  <c r="AG60" i="109"/>
  <c r="V60" i="109"/>
  <c r="AF59" i="109"/>
  <c r="U59" i="109"/>
  <c r="AH62" i="109"/>
  <c r="W62" i="109"/>
  <c r="AC61" i="109"/>
  <c r="W60" i="109"/>
  <c r="AC59" i="109"/>
  <c r="AD62" i="109"/>
  <c r="W61" i="109"/>
  <c r="AC60" i="109"/>
  <c r="X59" i="109"/>
  <c r="AB59" i="109"/>
  <c r="Z60" i="109"/>
  <c r="AF62" i="109"/>
  <c r="I31" i="108"/>
  <c r="O32" i="108"/>
  <c r="C33" i="108"/>
  <c r="AB45" i="108"/>
  <c r="AF13" i="109"/>
  <c r="X13" i="109"/>
  <c r="AB13" i="109"/>
  <c r="AF12" i="109"/>
  <c r="X12" i="109"/>
  <c r="AD11" i="109"/>
  <c r="V11" i="109"/>
  <c r="AB10" i="109"/>
  <c r="AF8" i="109"/>
  <c r="AC13" i="109"/>
  <c r="AC12" i="109"/>
  <c r="AF11" i="109"/>
  <c r="W11" i="109"/>
  <c r="AH10" i="109"/>
  <c r="Y10" i="109"/>
  <c r="AA13" i="109"/>
  <c r="Y12" i="109"/>
  <c r="AH11" i="109"/>
  <c r="X11" i="109"/>
  <c r="AF10" i="109"/>
  <c r="V10" i="109"/>
  <c r="AA10" i="109"/>
  <c r="AG11" i="109"/>
  <c r="AA12" i="109"/>
  <c r="V13" i="109"/>
  <c r="R20" i="109"/>
  <c r="J20" i="109"/>
  <c r="P19" i="109"/>
  <c r="H19" i="109"/>
  <c r="N18" i="109"/>
  <c r="F18" i="109"/>
  <c r="L17" i="109"/>
  <c r="D17" i="109"/>
  <c r="L20" i="109"/>
  <c r="C20" i="109"/>
  <c r="N19" i="109"/>
  <c r="E19" i="109"/>
  <c r="Q18" i="109"/>
  <c r="H18" i="109"/>
  <c r="J17" i="109"/>
  <c r="P20" i="109"/>
  <c r="F20" i="109"/>
  <c r="O19" i="109"/>
  <c r="D19" i="109"/>
  <c r="M18" i="109"/>
  <c r="C18" i="109"/>
  <c r="M17" i="109"/>
  <c r="N20" i="109"/>
  <c r="J19" i="109"/>
  <c r="R18" i="109"/>
  <c r="E18" i="109"/>
  <c r="N17" i="109"/>
  <c r="H17" i="109"/>
  <c r="P18" i="109"/>
  <c r="K19" i="109"/>
  <c r="D20" i="109"/>
  <c r="Q20" i="109"/>
  <c r="AF41" i="109"/>
  <c r="X41" i="109"/>
  <c r="AD40" i="109"/>
  <c r="V40" i="109"/>
  <c r="AB39" i="109"/>
  <c r="AH38" i="109"/>
  <c r="Z38" i="109"/>
  <c r="Z41" i="109"/>
  <c r="AB40" i="109"/>
  <c r="AE39" i="109"/>
  <c r="V39" i="109"/>
  <c r="AG38" i="109"/>
  <c r="X38" i="109"/>
  <c r="AG41" i="109"/>
  <c r="V41" i="109"/>
  <c r="AF40" i="109"/>
  <c r="U40" i="109"/>
  <c r="AD39" i="109"/>
  <c r="AC38" i="109"/>
  <c r="Y41" i="109"/>
  <c r="AE40" i="109"/>
  <c r="Y39" i="109"/>
  <c r="AE38" i="109"/>
  <c r="AD41" i="109"/>
  <c r="Y40" i="109"/>
  <c r="AF39" i="109"/>
  <c r="Y38" i="109"/>
  <c r="U39" i="109"/>
  <c r="W40" i="109"/>
  <c r="W41" i="109"/>
  <c r="AB48" i="109"/>
  <c r="AH47" i="109"/>
  <c r="Z47" i="109"/>
  <c r="AF46" i="109"/>
  <c r="X46" i="109"/>
  <c r="AD45" i="109"/>
  <c r="V45" i="109"/>
  <c r="AD48" i="109"/>
  <c r="U48" i="109"/>
  <c r="AF47" i="109"/>
  <c r="W47" i="109"/>
  <c r="Z46" i="109"/>
  <c r="AB45" i="109"/>
  <c r="AG48" i="109"/>
  <c r="W48" i="109"/>
  <c r="AE47" i="109"/>
  <c r="U47" i="109"/>
  <c r="AD46" i="109"/>
  <c r="AC45" i="109"/>
  <c r="AH48" i="109"/>
  <c r="V48" i="109"/>
  <c r="AC47" i="109"/>
  <c r="Y46" i="109"/>
  <c r="AH45" i="109"/>
  <c r="W45" i="109"/>
  <c r="AA48" i="109"/>
  <c r="X47" i="109"/>
  <c r="AE46" i="109"/>
  <c r="AA45" i="109"/>
  <c r="Y45" i="109"/>
  <c r="AH46" i="109"/>
  <c r="AB47" i="109"/>
  <c r="X48" i="109"/>
  <c r="AF50" i="109"/>
  <c r="U52" i="109"/>
  <c r="E53" i="109"/>
  <c r="W53" i="109"/>
  <c r="F54" i="109"/>
  <c r="Y54" i="109"/>
  <c r="H55" i="109"/>
  <c r="AA55" i="109"/>
  <c r="AF57" i="109"/>
  <c r="AE59" i="109"/>
  <c r="AA60" i="109"/>
  <c r="U61" i="109"/>
  <c r="AG62" i="109"/>
  <c r="P34" i="108"/>
  <c r="H34" i="108"/>
  <c r="P33" i="108"/>
  <c r="H33" i="108"/>
  <c r="P32" i="108"/>
  <c r="H32" i="108"/>
  <c r="P31" i="108"/>
  <c r="H31" i="108"/>
  <c r="N34" i="108"/>
  <c r="E34" i="108"/>
  <c r="J33" i="108"/>
  <c r="N32" i="108"/>
  <c r="E32" i="108"/>
  <c r="J31" i="108"/>
  <c r="M34" i="108"/>
  <c r="C34" i="108"/>
  <c r="Q33" i="108"/>
  <c r="F33" i="108"/>
  <c r="J32" i="108"/>
  <c r="M31" i="108"/>
  <c r="C31" i="108"/>
  <c r="K34" i="108"/>
  <c r="L33" i="108"/>
  <c r="M32" i="108"/>
  <c r="O31" i="108"/>
  <c r="D31" i="108"/>
  <c r="J34" i="108"/>
  <c r="K33" i="108"/>
  <c r="L32" i="108"/>
  <c r="N31" i="108"/>
  <c r="Q34" i="108"/>
  <c r="D34" i="108"/>
  <c r="O33" i="108"/>
  <c r="D33" i="108"/>
  <c r="R32" i="108"/>
  <c r="F32" i="108"/>
  <c r="G31" i="108"/>
  <c r="P29" i="108"/>
  <c r="O34" i="108"/>
  <c r="K31" i="108"/>
  <c r="Q32" i="108"/>
  <c r="E33" i="108"/>
  <c r="R34" i="108"/>
  <c r="AJ48" i="108"/>
  <c r="AB48" i="108"/>
  <c r="AE48" i="108"/>
  <c r="V48" i="108"/>
  <c r="AD47" i="108"/>
  <c r="V47" i="108"/>
  <c r="AD46" i="108"/>
  <c r="V46" i="108"/>
  <c r="AD45" i="108"/>
  <c r="V45" i="108"/>
  <c r="AF48" i="108"/>
  <c r="U48" i="108"/>
  <c r="AI47" i="108"/>
  <c r="Z47" i="108"/>
  <c r="AE46" i="108"/>
  <c r="U46" i="108"/>
  <c r="AI45" i="108"/>
  <c r="Z45" i="108"/>
  <c r="Y48" i="108"/>
  <c r="AJ47" i="108"/>
  <c r="Y47" i="108"/>
  <c r="AJ46" i="108"/>
  <c r="Z46" i="108"/>
  <c r="AA45" i="108"/>
  <c r="AA48" i="108"/>
  <c r="X47" i="108"/>
  <c r="AH46" i="108"/>
  <c r="W46" i="108"/>
  <c r="AG45" i="108"/>
  <c r="U45" i="108"/>
  <c r="Z48" i="108"/>
  <c r="AH47" i="108"/>
  <c r="W47" i="108"/>
  <c r="AG46" i="108"/>
  <c r="AF45" i="108"/>
  <c r="AG48" i="108"/>
  <c r="AC47" i="108"/>
  <c r="AA46" i="108"/>
  <c r="Y45" i="108"/>
  <c r="AD48" i="108"/>
  <c r="AB47" i="108"/>
  <c r="Y46" i="108"/>
  <c r="AJ45" i="108"/>
  <c r="X45" i="108"/>
  <c r="AH43" i="108"/>
  <c r="AC45" i="108"/>
  <c r="X46" i="108"/>
  <c r="AF62" i="108"/>
  <c r="X62" i="108"/>
  <c r="AF61" i="108"/>
  <c r="X61" i="108"/>
  <c r="AF60" i="108"/>
  <c r="X60" i="108"/>
  <c r="AF59" i="108"/>
  <c r="X59" i="108"/>
  <c r="AB62" i="108"/>
  <c r="AG61" i="108"/>
  <c r="W61" i="108"/>
  <c r="AB60" i="108"/>
  <c r="AG59" i="108"/>
  <c r="W59" i="108"/>
  <c r="AH62" i="108"/>
  <c r="W62" i="108"/>
  <c r="AI61" i="108"/>
  <c r="Y61" i="108"/>
  <c r="AI60" i="108"/>
  <c r="Y60" i="108"/>
  <c r="AJ59" i="108"/>
  <c r="Z59" i="108"/>
  <c r="AA62" i="108"/>
  <c r="AJ61" i="108"/>
  <c r="V61" i="108"/>
  <c r="AE60" i="108"/>
  <c r="AB59" i="108"/>
  <c r="Z62" i="108"/>
  <c r="AH61" i="108"/>
  <c r="U61" i="108"/>
  <c r="AD60" i="108"/>
  <c r="AA59" i="108"/>
  <c r="AH57" i="108"/>
  <c r="AI62" i="108"/>
  <c r="AJ60" i="108"/>
  <c r="U60" i="108"/>
  <c r="AI59" i="108"/>
  <c r="AG62" i="108"/>
  <c r="AE61" i="108"/>
  <c r="AH60" i="108"/>
  <c r="AH59" i="108"/>
  <c r="AD62" i="108"/>
  <c r="AC61" i="108"/>
  <c r="AC60" i="108"/>
  <c r="AD59" i="108"/>
  <c r="Y62" i="108"/>
  <c r="AA61" i="108"/>
  <c r="Z60" i="108"/>
  <c r="Y59" i="108"/>
  <c r="V62" i="108"/>
  <c r="Z61" i="108"/>
  <c r="W60" i="108"/>
  <c r="V59" i="108"/>
  <c r="AJ62" i="108"/>
  <c r="U62" i="108"/>
  <c r="V60" i="108"/>
  <c r="U59" i="108"/>
  <c r="AA60" i="108"/>
  <c r="AC62" i="108"/>
  <c r="R76" i="105"/>
  <c r="J76" i="105"/>
  <c r="R75" i="105"/>
  <c r="J75" i="105"/>
  <c r="R74" i="105"/>
  <c r="J74" i="105"/>
  <c r="R73" i="105"/>
  <c r="J73" i="105"/>
  <c r="P71" i="105"/>
  <c r="I76" i="105"/>
  <c r="P75" i="105"/>
  <c r="G75" i="105"/>
  <c r="N74" i="105"/>
  <c r="E74" i="105"/>
  <c r="L73" i="105"/>
  <c r="C73" i="105"/>
  <c r="M73" i="105"/>
  <c r="G74" i="105"/>
  <c r="Q74" i="105"/>
  <c r="L75" i="105"/>
  <c r="F76" i="105"/>
  <c r="P76" i="105"/>
  <c r="R20" i="107"/>
  <c r="J20" i="107"/>
  <c r="R19" i="107"/>
  <c r="J19" i="107"/>
  <c r="R18" i="107"/>
  <c r="J18" i="107"/>
  <c r="R17" i="107"/>
  <c r="J17" i="107"/>
  <c r="Q20" i="107"/>
  <c r="H20" i="107"/>
  <c r="M19" i="107"/>
  <c r="D19" i="107"/>
  <c r="Q18" i="107"/>
  <c r="H18" i="107"/>
  <c r="M17" i="107"/>
  <c r="D17" i="107"/>
  <c r="I17" i="107"/>
  <c r="I18" i="107"/>
  <c r="H19" i="107"/>
  <c r="G20" i="107"/>
  <c r="N76" i="107"/>
  <c r="F76" i="107"/>
  <c r="N75" i="107"/>
  <c r="F75" i="107"/>
  <c r="N74" i="107"/>
  <c r="F74" i="107"/>
  <c r="N73" i="107"/>
  <c r="F73" i="107"/>
  <c r="P69" i="107"/>
  <c r="H69" i="107"/>
  <c r="P68" i="107"/>
  <c r="H68" i="107"/>
  <c r="P67" i="107"/>
  <c r="H67" i="107"/>
  <c r="P66" i="107"/>
  <c r="H66" i="107"/>
  <c r="P64" i="107"/>
  <c r="P76" i="107"/>
  <c r="G76" i="107"/>
  <c r="M75" i="107"/>
  <c r="D75" i="107"/>
  <c r="K74" i="107"/>
  <c r="R73" i="107"/>
  <c r="I73" i="107"/>
  <c r="O69" i="107"/>
  <c r="F69" i="107"/>
  <c r="K68" i="107"/>
  <c r="O67" i="107"/>
  <c r="F67" i="107"/>
  <c r="K66" i="107"/>
  <c r="I76" i="107"/>
  <c r="O75" i="107"/>
  <c r="C75" i="107"/>
  <c r="I74" i="107"/>
  <c r="O73" i="107"/>
  <c r="D73" i="107"/>
  <c r="R69" i="107"/>
  <c r="G69" i="107"/>
  <c r="R68" i="107"/>
  <c r="G68" i="107"/>
  <c r="I67" i="107"/>
  <c r="I66" i="107"/>
  <c r="L66" i="107"/>
  <c r="C67" i="107"/>
  <c r="N67" i="107"/>
  <c r="F68" i="107"/>
  <c r="K69" i="107"/>
  <c r="L73" i="107"/>
  <c r="H74" i="107"/>
  <c r="E75" i="107"/>
  <c r="Q75" i="107"/>
  <c r="L76" i="107"/>
  <c r="AC10" i="109"/>
  <c r="U11" i="109"/>
  <c r="AB12" i="109"/>
  <c r="W13" i="109"/>
  <c r="P15" i="109"/>
  <c r="I17" i="109"/>
  <c r="D18" i="109"/>
  <c r="L19" i="109"/>
  <c r="E20" i="109"/>
  <c r="I24" i="109"/>
  <c r="F25" i="109"/>
  <c r="C26" i="109"/>
  <c r="Q26" i="109"/>
  <c r="M27" i="109"/>
  <c r="G31" i="109"/>
  <c r="D32" i="109"/>
  <c r="E33" i="109"/>
  <c r="F34" i="109"/>
  <c r="AF36" i="109"/>
  <c r="U38" i="109"/>
  <c r="W39" i="109"/>
  <c r="X40" i="109"/>
  <c r="AA41" i="109"/>
  <c r="AF43" i="109"/>
  <c r="Z45" i="109"/>
  <c r="U46" i="109"/>
  <c r="AD47" i="109"/>
  <c r="Y48" i="109"/>
  <c r="E52" i="109"/>
  <c r="V52" i="109"/>
  <c r="F53" i="109"/>
  <c r="Y53" i="109"/>
  <c r="H54" i="109"/>
  <c r="Z54" i="109"/>
  <c r="J55" i="109"/>
  <c r="AB55" i="109"/>
  <c r="AG59" i="109"/>
  <c r="AB60" i="109"/>
  <c r="Y61" i="109"/>
  <c r="U62" i="109"/>
  <c r="AA66" i="109"/>
  <c r="V67" i="109"/>
  <c r="AG68" i="109"/>
  <c r="AE69" i="109"/>
  <c r="AF13" i="108"/>
  <c r="AE12" i="108"/>
  <c r="U11" i="108"/>
  <c r="AH8" i="108"/>
  <c r="AG12" i="108"/>
  <c r="AG10" i="108"/>
  <c r="AH13" i="108"/>
  <c r="AJ12" i="108"/>
  <c r="U10" i="108"/>
  <c r="AJ13" i="108"/>
  <c r="AI12" i="108"/>
  <c r="AH11" i="108"/>
  <c r="AH10" i="108"/>
  <c r="U13" i="108"/>
  <c r="AE11" i="108"/>
  <c r="AH12" i="108"/>
  <c r="AF27" i="108"/>
  <c r="X27" i="108"/>
  <c r="AF26" i="108"/>
  <c r="X26" i="108"/>
  <c r="AF25" i="108"/>
  <c r="X25" i="108"/>
  <c r="AF24" i="108"/>
  <c r="X24" i="108"/>
  <c r="AG27" i="108"/>
  <c r="W27" i="108"/>
  <c r="AB26" i="108"/>
  <c r="AG25" i="108"/>
  <c r="W25" i="108"/>
  <c r="AB24" i="108"/>
  <c r="AI27" i="108"/>
  <c r="Y27" i="108"/>
  <c r="AI26" i="108"/>
  <c r="Y26" i="108"/>
  <c r="AJ25" i="108"/>
  <c r="Z25" i="108"/>
  <c r="AJ24" i="108"/>
  <c r="Z24" i="108"/>
  <c r="AH27" i="108"/>
  <c r="U27" i="108"/>
  <c r="AD26" i="108"/>
  <c r="AA25" i="108"/>
  <c r="AH24" i="108"/>
  <c r="V24" i="108"/>
  <c r="AE27" i="108"/>
  <c r="AC26" i="108"/>
  <c r="Y25" i="108"/>
  <c r="AG24" i="108"/>
  <c r="U24" i="108"/>
  <c r="AA27" i="108"/>
  <c r="AH26" i="108"/>
  <c r="V26" i="108"/>
  <c r="AD25" i="108"/>
  <c r="AA24" i="108"/>
  <c r="AH22" i="108"/>
  <c r="AB25" i="108"/>
  <c r="AG26" i="108"/>
  <c r="L31" i="108"/>
  <c r="G33" i="108"/>
  <c r="AC39" i="108"/>
  <c r="Y41" i="108"/>
  <c r="AE45" i="108"/>
  <c r="AB46" i="108"/>
  <c r="U47" i="108"/>
  <c r="AG60" i="108"/>
  <c r="AE62" i="108"/>
  <c r="N41" i="109"/>
  <c r="F41" i="109"/>
  <c r="L40" i="109"/>
  <c r="D40" i="109"/>
  <c r="R39" i="109"/>
  <c r="J39" i="109"/>
  <c r="P38" i="109"/>
  <c r="H38" i="109"/>
  <c r="P36" i="109"/>
  <c r="O41" i="109"/>
  <c r="E41" i="109"/>
  <c r="Q40" i="109"/>
  <c r="H40" i="109"/>
  <c r="K39" i="109"/>
  <c r="M38" i="109"/>
  <c r="D38" i="109"/>
  <c r="J41" i="109"/>
  <c r="I40" i="109"/>
  <c r="Q39" i="109"/>
  <c r="G39" i="109"/>
  <c r="Q38" i="109"/>
  <c r="F38" i="109"/>
  <c r="K38" i="109"/>
  <c r="E39" i="109"/>
  <c r="P39" i="109"/>
  <c r="K40" i="109"/>
  <c r="D41" i="109"/>
  <c r="Q41" i="109"/>
  <c r="L24" i="108"/>
  <c r="E25" i="108"/>
  <c r="Q25" i="108"/>
  <c r="I26" i="108"/>
  <c r="M27" i="108"/>
  <c r="R41" i="108"/>
  <c r="J41" i="108"/>
  <c r="R40" i="108"/>
  <c r="J40" i="108"/>
  <c r="R39" i="108"/>
  <c r="J39" i="108"/>
  <c r="R38" i="108"/>
  <c r="J38" i="108"/>
  <c r="P41" i="108"/>
  <c r="G41" i="108"/>
  <c r="L40" i="108"/>
  <c r="C40" i="108"/>
  <c r="P39" i="108"/>
  <c r="G39" i="108"/>
  <c r="L38" i="108"/>
  <c r="C38" i="108"/>
  <c r="L41" i="108"/>
  <c r="M40" i="108"/>
  <c r="M39" i="108"/>
  <c r="C39" i="108"/>
  <c r="N38" i="108"/>
  <c r="D38" i="108"/>
  <c r="G38" i="108"/>
  <c r="K39" i="108"/>
  <c r="D40" i="108"/>
  <c r="O40" i="108"/>
  <c r="F41" i="108"/>
  <c r="G10" i="110"/>
  <c r="N11" i="110"/>
  <c r="AA10" i="102"/>
  <c r="AI10" i="102"/>
  <c r="AA11" i="102"/>
  <c r="AI11" i="102"/>
  <c r="AA12" i="102"/>
  <c r="AI12" i="102"/>
  <c r="AA13" i="102"/>
  <c r="AD27" i="102"/>
  <c r="V27" i="102"/>
  <c r="AD26" i="102"/>
  <c r="V26" i="102"/>
  <c r="AD25" i="102"/>
  <c r="AA24" i="102"/>
  <c r="AI24" i="102"/>
  <c r="AA25" i="102"/>
  <c r="AJ25" i="102"/>
  <c r="W26" i="102"/>
  <c r="AF26" i="102"/>
  <c r="AA27" i="102"/>
  <c r="AJ27" i="102"/>
  <c r="P48" i="102"/>
  <c r="H48" i="102"/>
  <c r="P47" i="102"/>
  <c r="H47" i="102"/>
  <c r="P46" i="102"/>
  <c r="H46" i="102"/>
  <c r="P45" i="102"/>
  <c r="H45" i="102"/>
  <c r="P43" i="102"/>
  <c r="I45" i="102"/>
  <c r="R45" i="102"/>
  <c r="D46" i="102"/>
  <c r="M46" i="102"/>
  <c r="I47" i="102"/>
  <c r="R47" i="102"/>
  <c r="D48" i="102"/>
  <c r="M48" i="102"/>
  <c r="AH62" i="102"/>
  <c r="Z62" i="102"/>
  <c r="AH61" i="102"/>
  <c r="Z61" i="102"/>
  <c r="AH60" i="102"/>
  <c r="Z60" i="102"/>
  <c r="AH59" i="102"/>
  <c r="Z59" i="102"/>
  <c r="U59" i="102"/>
  <c r="AD59" i="102"/>
  <c r="Y60" i="102"/>
  <c r="AI60" i="102"/>
  <c r="U61" i="102"/>
  <c r="AD61" i="102"/>
  <c r="Y62" i="102"/>
  <c r="AI62" i="102"/>
  <c r="L97" i="102"/>
  <c r="D97" i="102"/>
  <c r="L96" i="102"/>
  <c r="D96" i="102"/>
  <c r="L95" i="102"/>
  <c r="D95" i="102"/>
  <c r="L94" i="102"/>
  <c r="D94" i="102"/>
  <c r="H94" i="102"/>
  <c r="Q94" i="102"/>
  <c r="C95" i="102"/>
  <c r="M95" i="102"/>
  <c r="H96" i="102"/>
  <c r="Q96" i="102"/>
  <c r="C97" i="102"/>
  <c r="M97" i="102"/>
  <c r="AD27" i="105"/>
  <c r="V27" i="105"/>
  <c r="AD26" i="105"/>
  <c r="V26" i="105"/>
  <c r="AD25" i="105"/>
  <c r="V25" i="105"/>
  <c r="AD24" i="105"/>
  <c r="V24" i="105"/>
  <c r="U24" i="105"/>
  <c r="AE24" i="105"/>
  <c r="Z25" i="105"/>
  <c r="AI25" i="105"/>
  <c r="U26" i="105"/>
  <c r="AE26" i="105"/>
  <c r="Z27" i="105"/>
  <c r="AI27" i="105"/>
  <c r="P62" i="105"/>
  <c r="H62" i="105"/>
  <c r="P61" i="105"/>
  <c r="H61" i="105"/>
  <c r="P60" i="105"/>
  <c r="H60" i="105"/>
  <c r="P59" i="105"/>
  <c r="H59" i="105"/>
  <c r="P57" i="105"/>
  <c r="I59" i="105"/>
  <c r="R59" i="105"/>
  <c r="D60" i="105"/>
  <c r="M60" i="105"/>
  <c r="I61" i="105"/>
  <c r="R61" i="105"/>
  <c r="D62" i="105"/>
  <c r="M62" i="105"/>
  <c r="N13" i="107"/>
  <c r="F13" i="107"/>
  <c r="N12" i="107"/>
  <c r="F12" i="107"/>
  <c r="N11" i="107"/>
  <c r="F11" i="107"/>
  <c r="N10" i="107"/>
  <c r="F10" i="107"/>
  <c r="H10" i="107"/>
  <c r="Q10" i="107"/>
  <c r="C11" i="107"/>
  <c r="L11" i="107"/>
  <c r="H12" i="107"/>
  <c r="Q12" i="107"/>
  <c r="C13" i="107"/>
  <c r="L13" i="107"/>
  <c r="AH41" i="107"/>
  <c r="Z41" i="107"/>
  <c r="AG41" i="107"/>
  <c r="X41" i="107"/>
  <c r="AF40" i="107"/>
  <c r="X40" i="107"/>
  <c r="AF39" i="107"/>
  <c r="X39" i="107"/>
  <c r="AF38" i="107"/>
  <c r="X38" i="107"/>
  <c r="U38" i="107"/>
  <c r="AD38" i="107"/>
  <c r="Z39" i="107"/>
  <c r="AI39" i="107"/>
  <c r="U40" i="107"/>
  <c r="AD40" i="107"/>
  <c r="AA41" i="107"/>
  <c r="L48" i="107"/>
  <c r="D48" i="107"/>
  <c r="L47" i="107"/>
  <c r="D47" i="107"/>
  <c r="L46" i="107"/>
  <c r="D46" i="107"/>
  <c r="L45" i="107"/>
  <c r="D45" i="107"/>
  <c r="R48" i="107"/>
  <c r="I48" i="107"/>
  <c r="N47" i="107"/>
  <c r="E47" i="107"/>
  <c r="R46" i="107"/>
  <c r="I46" i="107"/>
  <c r="N45" i="107"/>
  <c r="E45" i="107"/>
  <c r="I45" i="107"/>
  <c r="H46" i="107"/>
  <c r="H47" i="107"/>
  <c r="R47" i="107"/>
  <c r="G48" i="107"/>
  <c r="Q48" i="107"/>
  <c r="N13" i="109"/>
  <c r="Q13" i="109"/>
  <c r="H13" i="109"/>
  <c r="N12" i="109"/>
  <c r="F12" i="109"/>
  <c r="L11" i="109"/>
  <c r="D11" i="109"/>
  <c r="R10" i="109"/>
  <c r="J10" i="109"/>
  <c r="P13" i="109"/>
  <c r="F13" i="109"/>
  <c r="R12" i="109"/>
  <c r="I12" i="109"/>
  <c r="K11" i="109"/>
  <c r="N10" i="109"/>
  <c r="E10" i="109"/>
  <c r="I10" i="109"/>
  <c r="J11" i="109"/>
  <c r="L12" i="109"/>
  <c r="C13" i="109"/>
  <c r="M13" i="109"/>
  <c r="E38" i="109"/>
  <c r="R38" i="109"/>
  <c r="L39" i="109"/>
  <c r="E40" i="109"/>
  <c r="P40" i="109"/>
  <c r="K41" i="109"/>
  <c r="M13" i="108"/>
  <c r="E13" i="108"/>
  <c r="L12" i="108"/>
  <c r="D12" i="108"/>
  <c r="K11" i="108"/>
  <c r="C11" i="108"/>
  <c r="R10" i="108"/>
  <c r="J10" i="108"/>
  <c r="Q13" i="108"/>
  <c r="H13" i="108"/>
  <c r="M12" i="108"/>
  <c r="C12" i="108"/>
  <c r="Q11" i="108"/>
  <c r="H11" i="108"/>
  <c r="M10" i="108"/>
  <c r="D10" i="108"/>
  <c r="L13" i="108"/>
  <c r="O12" i="108"/>
  <c r="E12" i="108"/>
  <c r="P11" i="108"/>
  <c r="F11" i="108"/>
  <c r="H10" i="108"/>
  <c r="K10" i="108"/>
  <c r="L11" i="108"/>
  <c r="K12" i="108"/>
  <c r="N13" i="108"/>
  <c r="G24" i="108"/>
  <c r="J25" i="108"/>
  <c r="C26" i="108"/>
  <c r="O26" i="108"/>
  <c r="G27" i="108"/>
  <c r="M38" i="108"/>
  <c r="E39" i="108"/>
  <c r="Q39" i="108"/>
  <c r="H40" i="108"/>
  <c r="M41" i="108"/>
  <c r="P13" i="110"/>
  <c r="H13" i="110"/>
  <c r="P12" i="110"/>
  <c r="H12" i="110"/>
  <c r="P11" i="110"/>
  <c r="H11" i="110"/>
  <c r="P10" i="110"/>
  <c r="H10" i="110"/>
  <c r="P8" i="110"/>
  <c r="R13" i="110"/>
  <c r="I13" i="110"/>
  <c r="M12" i="110"/>
  <c r="D12" i="110"/>
  <c r="R11" i="110"/>
  <c r="I11" i="110"/>
  <c r="M10" i="110"/>
  <c r="D10" i="110"/>
  <c r="J13" i="110"/>
  <c r="J12" i="110"/>
  <c r="K11" i="110"/>
  <c r="K10" i="110"/>
  <c r="N13" i="110"/>
  <c r="C13" i="110"/>
  <c r="K12" i="110"/>
  <c r="M13" i="110"/>
  <c r="I12" i="110"/>
  <c r="Q11" i="110"/>
  <c r="E11" i="110"/>
  <c r="N10" i="110"/>
  <c r="O13" i="110"/>
  <c r="E12" i="110"/>
  <c r="L11" i="110"/>
  <c r="R10" i="110"/>
  <c r="E10" i="110"/>
  <c r="L13" i="110"/>
  <c r="R12" i="110"/>
  <c r="C12" i="110"/>
  <c r="J11" i="110"/>
  <c r="Q10" i="110"/>
  <c r="C10" i="110"/>
  <c r="K13" i="110"/>
  <c r="Q12" i="110"/>
  <c r="G11" i="110"/>
  <c r="O10" i="110"/>
  <c r="G13" i="110"/>
  <c r="O12" i="110"/>
  <c r="F11" i="110"/>
  <c r="L10" i="110"/>
  <c r="E13" i="110"/>
  <c r="N27" i="108"/>
  <c r="F27" i="108"/>
  <c r="N26" i="108"/>
  <c r="F26" i="108"/>
  <c r="N25" i="108"/>
  <c r="F25" i="108"/>
  <c r="N24" i="108"/>
  <c r="F24" i="108"/>
  <c r="P22" i="108"/>
  <c r="L27" i="108"/>
  <c r="C27" i="108"/>
  <c r="Q26" i="108"/>
  <c r="H26" i="108"/>
  <c r="L25" i="108"/>
  <c r="C25" i="108"/>
  <c r="Q24" i="108"/>
  <c r="H24" i="108"/>
  <c r="K27" i="108"/>
  <c r="L26" i="108"/>
  <c r="M25" i="108"/>
  <c r="M24" i="108"/>
  <c r="C24" i="108"/>
  <c r="I24" i="108"/>
  <c r="K25" i="108"/>
  <c r="D26" i="108"/>
  <c r="P26" i="108"/>
  <c r="H27" i="108"/>
  <c r="O38" i="108"/>
  <c r="F39" i="108"/>
  <c r="I40" i="108"/>
  <c r="C41" i="108"/>
  <c r="N41" i="108"/>
  <c r="C11" i="110"/>
  <c r="F12" i="110"/>
  <c r="F13" i="110"/>
  <c r="H73" i="108"/>
  <c r="C74" i="108"/>
  <c r="P74" i="108"/>
  <c r="K75" i="108"/>
  <c r="R20" i="110"/>
  <c r="J20" i="110"/>
  <c r="R19" i="110"/>
  <c r="J19" i="110"/>
  <c r="R18" i="110"/>
  <c r="J18" i="110"/>
  <c r="R17" i="110"/>
  <c r="J17" i="110"/>
  <c r="K20" i="110"/>
  <c r="O19" i="110"/>
  <c r="F19" i="110"/>
  <c r="K18" i="110"/>
  <c r="O17" i="110"/>
  <c r="F17" i="110"/>
  <c r="P15" i="110"/>
  <c r="I20" i="110"/>
  <c r="K19" i="110"/>
  <c r="L18" i="110"/>
  <c r="L17" i="110"/>
  <c r="H20" i="110"/>
  <c r="Q19" i="110"/>
  <c r="E19" i="110"/>
  <c r="N18" i="110"/>
  <c r="C18" i="110"/>
  <c r="I17" i="110"/>
  <c r="G20" i="110"/>
  <c r="P19" i="110"/>
  <c r="D19" i="110"/>
  <c r="M18" i="110"/>
  <c r="H17" i="110"/>
  <c r="G17" i="110"/>
  <c r="G18" i="110"/>
  <c r="H19" i="110"/>
  <c r="F20" i="110"/>
  <c r="N24" i="110"/>
  <c r="H25" i="110"/>
  <c r="M27" i="110"/>
  <c r="P31" i="110"/>
  <c r="Q32" i="110"/>
  <c r="E33" i="110"/>
  <c r="L34" i="110"/>
  <c r="J74" i="110"/>
  <c r="L20" i="110"/>
  <c r="Q24" i="110"/>
  <c r="I25" i="110"/>
  <c r="O27" i="110"/>
  <c r="Q31" i="110"/>
  <c r="F33" i="110"/>
  <c r="N34" i="110"/>
  <c r="G75" i="110"/>
  <c r="L76" i="108"/>
  <c r="D76" i="108"/>
  <c r="O76" i="108"/>
  <c r="F76" i="108"/>
  <c r="M75" i="108"/>
  <c r="E75" i="108"/>
  <c r="M74" i="108"/>
  <c r="E74" i="108"/>
  <c r="M73" i="108"/>
  <c r="E73" i="108"/>
  <c r="J76" i="108"/>
  <c r="P75" i="108"/>
  <c r="G75" i="108"/>
  <c r="N74" i="108"/>
  <c r="D74" i="108"/>
  <c r="K73" i="108"/>
  <c r="K76" i="108"/>
  <c r="O75" i="108"/>
  <c r="D75" i="108"/>
  <c r="J74" i="108"/>
  <c r="P73" i="108"/>
  <c r="F73" i="108"/>
  <c r="J73" i="108"/>
  <c r="G74" i="108"/>
  <c r="R74" i="108"/>
  <c r="N75" i="108"/>
  <c r="M76" i="108"/>
  <c r="L19" i="110"/>
  <c r="M20" i="110"/>
  <c r="J25" i="110"/>
  <c r="C26" i="110"/>
  <c r="P27" i="110"/>
  <c r="M33" i="110"/>
  <c r="K75" i="110"/>
  <c r="AH55" i="107"/>
  <c r="Z55" i="107"/>
  <c r="AH54" i="107"/>
  <c r="Z54" i="107"/>
  <c r="AH53" i="107"/>
  <c r="Z53" i="107"/>
  <c r="AH52" i="107"/>
  <c r="Z52" i="107"/>
  <c r="U52" i="107"/>
  <c r="AD52" i="107"/>
  <c r="Y53" i="107"/>
  <c r="AI53" i="107"/>
  <c r="U54" i="107"/>
  <c r="AD54" i="107"/>
  <c r="Y55" i="107"/>
  <c r="AI55" i="107"/>
  <c r="R62" i="109"/>
  <c r="J62" i="109"/>
  <c r="P61" i="109"/>
  <c r="H61" i="109"/>
  <c r="N60" i="109"/>
  <c r="F60" i="109"/>
  <c r="L59" i="109"/>
  <c r="D59" i="109"/>
  <c r="Q62" i="109"/>
  <c r="H62" i="109"/>
  <c r="K61" i="109"/>
  <c r="M60" i="109"/>
  <c r="D60" i="109"/>
  <c r="P59" i="109"/>
  <c r="G59" i="109"/>
  <c r="I59" i="109"/>
  <c r="J60" i="109"/>
  <c r="L61" i="109"/>
  <c r="C62" i="109"/>
  <c r="M62" i="109"/>
  <c r="N76" i="109"/>
  <c r="F76" i="109"/>
  <c r="N75" i="109"/>
  <c r="F75" i="109"/>
  <c r="N74" i="109"/>
  <c r="F74" i="109"/>
  <c r="N73" i="109"/>
  <c r="F73" i="109"/>
  <c r="N69" i="109"/>
  <c r="F69" i="109"/>
  <c r="L68" i="109"/>
  <c r="D68" i="109"/>
  <c r="R67" i="109"/>
  <c r="J67" i="109"/>
  <c r="P66" i="109"/>
  <c r="H66" i="109"/>
  <c r="P64" i="109"/>
  <c r="O76" i="109"/>
  <c r="E76" i="109"/>
  <c r="L75" i="109"/>
  <c r="C75" i="109"/>
  <c r="J74" i="109"/>
  <c r="Q73" i="109"/>
  <c r="H73" i="109"/>
  <c r="L69" i="109"/>
  <c r="C69" i="109"/>
  <c r="O68" i="109"/>
  <c r="F68" i="109"/>
  <c r="Q67" i="109"/>
  <c r="H67" i="109"/>
  <c r="K66" i="109"/>
  <c r="J66" i="109"/>
  <c r="L67" i="109"/>
  <c r="M68" i="109"/>
  <c r="D69" i="109"/>
  <c r="O69" i="109"/>
  <c r="C73" i="109"/>
  <c r="M73" i="109"/>
  <c r="H74" i="109"/>
  <c r="R74" i="109"/>
  <c r="M75" i="109"/>
  <c r="H76" i="109"/>
  <c r="R76" i="109"/>
  <c r="L55" i="108"/>
  <c r="D55" i="108"/>
  <c r="L54" i="108"/>
  <c r="D54" i="108"/>
  <c r="L53" i="108"/>
  <c r="D53" i="108"/>
  <c r="L52" i="108"/>
  <c r="D52" i="108"/>
  <c r="N55" i="108"/>
  <c r="E55" i="108"/>
  <c r="R54" i="108"/>
  <c r="I54" i="108"/>
  <c r="N53" i="108"/>
  <c r="E53" i="108"/>
  <c r="R52" i="108"/>
  <c r="I52" i="108"/>
  <c r="I55" i="108"/>
  <c r="J54" i="108"/>
  <c r="J53" i="108"/>
  <c r="K52" i="108"/>
  <c r="F52" i="108"/>
  <c r="Q52" i="108"/>
  <c r="G53" i="108"/>
  <c r="R53" i="108"/>
  <c r="G54" i="108"/>
  <c r="H55" i="108"/>
  <c r="P71" i="108"/>
  <c r="L73" i="108"/>
  <c r="H74" i="108"/>
  <c r="C75" i="108"/>
  <c r="Q75" i="108"/>
  <c r="N76" i="108"/>
  <c r="N17" i="110"/>
  <c r="O18" i="110"/>
  <c r="M19" i="110"/>
  <c r="N20" i="110"/>
  <c r="F24" i="110"/>
  <c r="M25" i="110"/>
  <c r="C32" i="110"/>
  <c r="N33" i="110"/>
  <c r="N76" i="110"/>
  <c r="F76" i="110"/>
  <c r="N75" i="110"/>
  <c r="F75" i="110"/>
  <c r="N74" i="110"/>
  <c r="F74" i="110"/>
  <c r="N73" i="110"/>
  <c r="F73" i="110"/>
  <c r="Q76" i="110"/>
  <c r="H76" i="110"/>
  <c r="O75" i="110"/>
  <c r="E75" i="110"/>
  <c r="L74" i="110"/>
  <c r="C74" i="110"/>
  <c r="J73" i="110"/>
  <c r="P71" i="110"/>
  <c r="M76" i="110"/>
  <c r="C76" i="110"/>
  <c r="I75" i="110"/>
  <c r="O74" i="110"/>
  <c r="D74" i="110"/>
  <c r="I73" i="110"/>
  <c r="P76" i="110"/>
  <c r="D76" i="110"/>
  <c r="H75" i="110"/>
  <c r="K74" i="110"/>
  <c r="P73" i="110"/>
  <c r="D73" i="110"/>
  <c r="R76" i="110"/>
  <c r="R75" i="110"/>
  <c r="D75" i="110"/>
  <c r="H74" i="110"/>
  <c r="K73" i="110"/>
  <c r="O76" i="110"/>
  <c r="Q75" i="110"/>
  <c r="C75" i="110"/>
  <c r="G74" i="110"/>
  <c r="H73" i="110"/>
  <c r="K76" i="110"/>
  <c r="M75" i="110"/>
  <c r="Q74" i="110"/>
  <c r="R73" i="110"/>
  <c r="E73" i="110"/>
  <c r="J76" i="110"/>
  <c r="L75" i="110"/>
  <c r="P74" i="110"/>
  <c r="Q73" i="110"/>
  <c r="C73" i="110"/>
  <c r="E76" i="110"/>
  <c r="I74" i="110"/>
  <c r="P75" i="110"/>
  <c r="E74" i="110"/>
  <c r="J75" i="110"/>
  <c r="M73" i="110"/>
  <c r="L76" i="110"/>
  <c r="R74" i="110"/>
  <c r="G73" i="110"/>
  <c r="I76" i="110"/>
  <c r="M74" i="110"/>
  <c r="L27" i="110"/>
  <c r="D27" i="110"/>
  <c r="L26" i="110"/>
  <c r="D26" i="110"/>
  <c r="L25" i="110"/>
  <c r="D25" i="110"/>
  <c r="L24" i="110"/>
  <c r="D24" i="110"/>
  <c r="N27" i="110"/>
  <c r="E27" i="110"/>
  <c r="R26" i="110"/>
  <c r="I26" i="110"/>
  <c r="N25" i="110"/>
  <c r="E25" i="110"/>
  <c r="R24" i="110"/>
  <c r="I24" i="110"/>
  <c r="J27" i="110"/>
  <c r="K26" i="110"/>
  <c r="K25" i="110"/>
  <c r="M24" i="110"/>
  <c r="R27" i="110"/>
  <c r="G27" i="110"/>
  <c r="Q26" i="110"/>
  <c r="F26" i="110"/>
  <c r="Q25" i="110"/>
  <c r="F25" i="110"/>
  <c r="P24" i="110"/>
  <c r="E24" i="110"/>
  <c r="Q27" i="110"/>
  <c r="F27" i="110"/>
  <c r="P26" i="110"/>
  <c r="E26" i="110"/>
  <c r="P25" i="110"/>
  <c r="C25" i="110"/>
  <c r="O24" i="110"/>
  <c r="C24" i="110"/>
  <c r="K27" i="110"/>
  <c r="J26" i="110"/>
  <c r="H24" i="110"/>
  <c r="R25" i="110"/>
  <c r="M26" i="110"/>
  <c r="C27" i="110"/>
  <c r="H31" i="110"/>
  <c r="J32" i="110"/>
  <c r="K24" i="110"/>
  <c r="G25" i="110"/>
  <c r="O26" i="110"/>
  <c r="I27" i="110"/>
  <c r="O34" i="110"/>
  <c r="G34" i="110"/>
  <c r="O33" i="110"/>
  <c r="G33" i="110"/>
  <c r="M34" i="110"/>
  <c r="D34" i="110"/>
  <c r="R33" i="110"/>
  <c r="I33" i="110"/>
  <c r="N32" i="110"/>
  <c r="F32" i="110"/>
  <c r="N31" i="110"/>
  <c r="F31" i="110"/>
  <c r="P29" i="110"/>
  <c r="I34" i="110"/>
  <c r="J33" i="110"/>
  <c r="K32" i="110"/>
  <c r="P34" i="110"/>
  <c r="C34" i="110"/>
  <c r="L33" i="110"/>
  <c r="I32" i="110"/>
  <c r="L31" i="110"/>
  <c r="C31" i="110"/>
  <c r="F34" i="110"/>
  <c r="K33" i="110"/>
  <c r="P32" i="110"/>
  <c r="D32" i="110"/>
  <c r="O31" i="110"/>
  <c r="D31" i="110"/>
  <c r="R34" i="110"/>
  <c r="D33" i="110"/>
  <c r="G32" i="110"/>
  <c r="M31" i="110"/>
  <c r="Q34" i="110"/>
  <c r="Q33" i="110"/>
  <c r="C33" i="110"/>
  <c r="R32" i="110"/>
  <c r="E32" i="110"/>
  <c r="K31" i="110"/>
  <c r="J34" i="110"/>
  <c r="H33" i="110"/>
  <c r="L32" i="110"/>
  <c r="R31" i="110"/>
  <c r="G31" i="110"/>
  <c r="J31" i="110"/>
  <c r="O32" i="110"/>
  <c r="K34" i="110"/>
  <c r="O73" i="110"/>
  <c r="AI69" i="110"/>
  <c r="AA69" i="110"/>
  <c r="AI68" i="110"/>
  <c r="AA68" i="110"/>
  <c r="AI67" i="110"/>
  <c r="AA67" i="110"/>
  <c r="AI66" i="110"/>
  <c r="AA66" i="110"/>
  <c r="AH64" i="110"/>
  <c r="AC69" i="110"/>
  <c r="AG68" i="110"/>
  <c r="X68" i="110"/>
  <c r="AC67" i="110"/>
  <c r="AG66" i="110"/>
  <c r="X66" i="110"/>
  <c r="AJ69" i="110"/>
  <c r="Y69" i="110"/>
  <c r="Z68" i="110"/>
  <c r="Z67" i="110"/>
  <c r="AB66" i="110"/>
  <c r="AD69" i="110"/>
  <c r="Y68" i="110"/>
  <c r="AG67" i="110"/>
  <c r="V67" i="110"/>
  <c r="AD66" i="110"/>
  <c r="AG69" i="110"/>
  <c r="U69" i="110"/>
  <c r="W68" i="110"/>
  <c r="AD67" i="110"/>
  <c r="AH66" i="110"/>
  <c r="U66" i="110"/>
  <c r="AF69" i="110"/>
  <c r="AJ68" i="110"/>
  <c r="V68" i="110"/>
  <c r="AB67" i="110"/>
  <c r="AF66" i="110"/>
  <c r="AB69" i="110"/>
  <c r="AF68" i="110"/>
  <c r="X67" i="110"/>
  <c r="AC66" i="110"/>
  <c r="Z69" i="110"/>
  <c r="AE68" i="110"/>
  <c r="AJ67" i="110"/>
  <c r="W67" i="110"/>
  <c r="Z66" i="110"/>
  <c r="Y66" i="110"/>
  <c r="U67" i="110"/>
  <c r="O68" i="110"/>
  <c r="J69" i="110"/>
  <c r="G20" i="81"/>
  <c r="C20" i="81"/>
  <c r="E20" i="81"/>
  <c r="K20" i="81"/>
  <c r="D20" i="81"/>
  <c r="J20" i="81"/>
  <c r="H20" i="81"/>
  <c r="AB20" i="109"/>
  <c r="AH19" i="109"/>
  <c r="Z19" i="109"/>
  <c r="AF18" i="109"/>
  <c r="X18" i="109"/>
  <c r="AD17" i="109"/>
  <c r="V17" i="109"/>
  <c r="U17" i="109"/>
  <c r="AE17" i="109"/>
  <c r="AB18" i="109"/>
  <c r="Y19" i="109"/>
  <c r="W20" i="109"/>
  <c r="AF20" i="109"/>
  <c r="R48" i="109"/>
  <c r="J48" i="109"/>
  <c r="P47" i="109"/>
  <c r="H47" i="109"/>
  <c r="N46" i="109"/>
  <c r="F46" i="109"/>
  <c r="L45" i="109"/>
  <c r="D45" i="109"/>
  <c r="H45" i="109"/>
  <c r="Q45" i="109"/>
  <c r="E46" i="109"/>
  <c r="O46" i="109"/>
  <c r="C47" i="109"/>
  <c r="L47" i="109"/>
  <c r="I48" i="109"/>
  <c r="K20" i="108"/>
  <c r="C20" i="108"/>
  <c r="R19" i="108"/>
  <c r="J19" i="108"/>
  <c r="Q18" i="108"/>
  <c r="I18" i="108"/>
  <c r="P17" i="108"/>
  <c r="H17" i="108"/>
  <c r="E17" i="108"/>
  <c r="N17" i="108"/>
  <c r="J18" i="108"/>
  <c r="E19" i="108"/>
  <c r="N19" i="108"/>
  <c r="I20" i="108"/>
  <c r="R20" i="108"/>
  <c r="L48" i="108"/>
  <c r="D48" i="108"/>
  <c r="L47" i="108"/>
  <c r="D47" i="108"/>
  <c r="L46" i="108"/>
  <c r="D46" i="108"/>
  <c r="L45" i="108"/>
  <c r="D45" i="108"/>
  <c r="F45" i="108"/>
  <c r="O45" i="108"/>
  <c r="J46" i="108"/>
  <c r="F47" i="108"/>
  <c r="O47" i="108"/>
  <c r="J48" i="108"/>
  <c r="V17" i="110"/>
  <c r="AG17" i="110"/>
  <c r="Z18" i="110"/>
  <c r="AD19" i="110"/>
  <c r="U20" i="110"/>
  <c r="AG34" i="110"/>
  <c r="Y34" i="110"/>
  <c r="AG33" i="110"/>
  <c r="Y33" i="110"/>
  <c r="AG32" i="110"/>
  <c r="Y32" i="110"/>
  <c r="AH34" i="110"/>
  <c r="X34" i="110"/>
  <c r="AC33" i="110"/>
  <c r="AH32" i="110"/>
  <c r="X32" i="110"/>
  <c r="AF31" i="110"/>
  <c r="X31" i="110"/>
  <c r="AE34" i="110"/>
  <c r="U34" i="110"/>
  <c r="AF33" i="110"/>
  <c r="V33" i="110"/>
  <c r="AF32" i="110"/>
  <c r="V32" i="110"/>
  <c r="AJ31" i="110"/>
  <c r="AC34" i="110"/>
  <c r="Z33" i="110"/>
  <c r="AI32" i="110"/>
  <c r="U32" i="110"/>
  <c r="AG31" i="110"/>
  <c r="W31" i="110"/>
  <c r="AJ34" i="110"/>
  <c r="V34" i="110"/>
  <c r="AA33" i="110"/>
  <c r="AD32" i="110"/>
  <c r="AA31" i="110"/>
  <c r="Z31" i="110"/>
  <c r="AI33" i="110"/>
  <c r="AI34" i="110"/>
  <c r="G38" i="110"/>
  <c r="C39" i="110"/>
  <c r="O40" i="110"/>
  <c r="V45" i="110"/>
  <c r="AA46" i="110"/>
  <c r="N66" i="110"/>
  <c r="K67" i="110"/>
  <c r="AH68" i="110"/>
  <c r="AE69" i="110"/>
  <c r="AJ20" i="110"/>
  <c r="AB20" i="110"/>
  <c r="AJ19" i="110"/>
  <c r="AB19" i="110"/>
  <c r="AJ18" i="110"/>
  <c r="AB18" i="110"/>
  <c r="AJ17" i="110"/>
  <c r="AB17" i="110"/>
  <c r="AE20" i="110"/>
  <c r="V20" i="110"/>
  <c r="AI19" i="110"/>
  <c r="Z19" i="110"/>
  <c r="AE18" i="110"/>
  <c r="V18" i="110"/>
  <c r="AI17" i="110"/>
  <c r="Z17" i="110"/>
  <c r="AG20" i="110"/>
  <c r="W20" i="110"/>
  <c r="AG19" i="110"/>
  <c r="W19" i="110"/>
  <c r="AH18" i="110"/>
  <c r="X18" i="110"/>
  <c r="AH17" i="110"/>
  <c r="X17" i="110"/>
  <c r="W17" i="110"/>
  <c r="AA18" i="110"/>
  <c r="AE19" i="110"/>
  <c r="X20" i="110"/>
  <c r="AI20" i="110"/>
  <c r="Q41" i="110"/>
  <c r="I41" i="110"/>
  <c r="Q40" i="110"/>
  <c r="I40" i="110"/>
  <c r="Q39" i="110"/>
  <c r="I39" i="110"/>
  <c r="Q38" i="110"/>
  <c r="I38" i="110"/>
  <c r="P41" i="110"/>
  <c r="G41" i="110"/>
  <c r="L40" i="110"/>
  <c r="C40" i="110"/>
  <c r="P39" i="110"/>
  <c r="G39" i="110"/>
  <c r="L38" i="110"/>
  <c r="C38" i="110"/>
  <c r="K41" i="110"/>
  <c r="K40" i="110"/>
  <c r="L39" i="110"/>
  <c r="M38" i="110"/>
  <c r="L41" i="110"/>
  <c r="G40" i="110"/>
  <c r="O39" i="110"/>
  <c r="D39" i="110"/>
  <c r="K38" i="110"/>
  <c r="E41" i="110"/>
  <c r="J40" i="110"/>
  <c r="N39" i="110"/>
  <c r="F38" i="110"/>
  <c r="H38" i="110"/>
  <c r="E39" i="110"/>
  <c r="P40" i="110"/>
  <c r="N41" i="110"/>
  <c r="AC48" i="110"/>
  <c r="U48" i="110"/>
  <c r="AC47" i="110"/>
  <c r="U47" i="110"/>
  <c r="AC46" i="110"/>
  <c r="U46" i="110"/>
  <c r="AC45" i="110"/>
  <c r="U45" i="110"/>
  <c r="AE48" i="110"/>
  <c r="V48" i="110"/>
  <c r="AI47" i="110"/>
  <c r="Z47" i="110"/>
  <c r="AE46" i="110"/>
  <c r="V46" i="110"/>
  <c r="AI45" i="110"/>
  <c r="Z45" i="110"/>
  <c r="AH48" i="110"/>
  <c r="X48" i="110"/>
  <c r="AH47" i="110"/>
  <c r="X47" i="110"/>
  <c r="AI46" i="110"/>
  <c r="Y46" i="110"/>
  <c r="AJ45" i="110"/>
  <c r="Y45" i="110"/>
  <c r="Z48" i="110"/>
  <c r="AJ47" i="110"/>
  <c r="W47" i="110"/>
  <c r="AG46" i="110"/>
  <c r="AE45" i="110"/>
  <c r="AD48" i="110"/>
  <c r="Y47" i="110"/>
  <c r="AF46" i="110"/>
  <c r="AB45" i="110"/>
  <c r="W45" i="110"/>
  <c r="AB46" i="110"/>
  <c r="V47" i="110"/>
  <c r="AF48" i="110"/>
  <c r="Q69" i="110"/>
  <c r="I69" i="110"/>
  <c r="Q68" i="110"/>
  <c r="I68" i="110"/>
  <c r="Q67" i="110"/>
  <c r="I67" i="110"/>
  <c r="Q66" i="110"/>
  <c r="I66" i="110"/>
  <c r="R69" i="110"/>
  <c r="H69" i="110"/>
  <c r="M68" i="110"/>
  <c r="D68" i="110"/>
  <c r="R67" i="110"/>
  <c r="H67" i="110"/>
  <c r="M66" i="110"/>
  <c r="D66" i="110"/>
  <c r="M69" i="110"/>
  <c r="C69" i="110"/>
  <c r="N68" i="110"/>
  <c r="C68" i="110"/>
  <c r="N67" i="110"/>
  <c r="D67" i="110"/>
  <c r="O66" i="110"/>
  <c r="E66" i="110"/>
  <c r="O69" i="110"/>
  <c r="D69" i="110"/>
  <c r="K68" i="110"/>
  <c r="G67" i="110"/>
  <c r="P66" i="110"/>
  <c r="C66" i="110"/>
  <c r="E69" i="110"/>
  <c r="H68" i="110"/>
  <c r="M67" i="110"/>
  <c r="F66" i="110"/>
  <c r="P69" i="110"/>
  <c r="G68" i="110"/>
  <c r="L67" i="110"/>
  <c r="R66" i="110"/>
  <c r="L69" i="110"/>
  <c r="R68" i="110"/>
  <c r="E68" i="110"/>
  <c r="J67" i="110"/>
  <c r="L66" i="110"/>
  <c r="K69" i="110"/>
  <c r="P68" i="110"/>
  <c r="F67" i="110"/>
  <c r="K66" i="110"/>
  <c r="P64" i="110"/>
  <c r="V66" i="110"/>
  <c r="O67" i="110"/>
  <c r="J68" i="110"/>
  <c r="F69" i="110"/>
  <c r="AH69" i="110"/>
  <c r="G26" i="81"/>
  <c r="C26" i="81"/>
  <c r="H26" i="81"/>
  <c r="E26" i="81"/>
  <c r="J26" i="81"/>
  <c r="D26" i="81"/>
  <c r="AI17" i="108"/>
  <c r="AJ18" i="108"/>
  <c r="Z31" i="108"/>
  <c r="AH31" i="108"/>
  <c r="Z32" i="108"/>
  <c r="AH32" i="108"/>
  <c r="Z33" i="108"/>
  <c r="AH33" i="108"/>
  <c r="Z34" i="108"/>
  <c r="AD55" i="108"/>
  <c r="V55" i="108"/>
  <c r="AD54" i="108"/>
  <c r="V54" i="108"/>
  <c r="AD53" i="108"/>
  <c r="V53" i="108"/>
  <c r="AD52" i="108"/>
  <c r="V52" i="108"/>
  <c r="AC52" i="108"/>
  <c r="Y53" i="108"/>
  <c r="AH53" i="108"/>
  <c r="AC54" i="108"/>
  <c r="Y55" i="108"/>
  <c r="AH55" i="108"/>
  <c r="P69" i="108"/>
  <c r="H69" i="108"/>
  <c r="P68" i="108"/>
  <c r="H68" i="108"/>
  <c r="P67" i="108"/>
  <c r="H67" i="108"/>
  <c r="P66" i="108"/>
  <c r="H66" i="108"/>
  <c r="E66" i="108"/>
  <c r="N66" i="108"/>
  <c r="J67" i="108"/>
  <c r="E68" i="108"/>
  <c r="N68" i="108"/>
  <c r="J69" i="108"/>
  <c r="AH13" i="110"/>
  <c r="Z13" i="110"/>
  <c r="AH12" i="110"/>
  <c r="Z12" i="110"/>
  <c r="AH11" i="110"/>
  <c r="Z11" i="110"/>
  <c r="AH10" i="110"/>
  <c r="Z10" i="110"/>
  <c r="AC13" i="110"/>
  <c r="AG12" i="110"/>
  <c r="X12" i="110"/>
  <c r="AC11" i="110"/>
  <c r="AG10" i="110"/>
  <c r="X10" i="110"/>
  <c r="W10" i="110"/>
  <c r="AI10" i="110"/>
  <c r="W11" i="110"/>
  <c r="AG11" i="110"/>
  <c r="V12" i="110"/>
  <c r="AF12" i="110"/>
  <c r="V13" i="110"/>
  <c r="AF13" i="110"/>
  <c r="AE55" i="110"/>
  <c r="W55" i="110"/>
  <c r="AE54" i="110"/>
  <c r="W54" i="110"/>
  <c r="AE53" i="110"/>
  <c r="W53" i="110"/>
  <c r="AE52" i="110"/>
  <c r="W52" i="110"/>
  <c r="AG55" i="110"/>
  <c r="X55" i="110"/>
  <c r="AB54" i="110"/>
  <c r="AG53" i="110"/>
  <c r="X53" i="110"/>
  <c r="AB52" i="110"/>
  <c r="AH55" i="110"/>
  <c r="V55" i="110"/>
  <c r="AJ54" i="110"/>
  <c r="Z54" i="110"/>
  <c r="AC53" i="110"/>
  <c r="AG52" i="110"/>
  <c r="V52" i="110"/>
  <c r="AJ55" i="110"/>
  <c r="Y55" i="110"/>
  <c r="AI54" i="110"/>
  <c r="X54" i="110"/>
  <c r="Z53" i="110"/>
  <c r="AA52" i="110"/>
  <c r="AH52" i="110"/>
  <c r="AH53" i="110"/>
  <c r="AG54" i="110"/>
  <c r="U55" i="110"/>
  <c r="O62" i="110"/>
  <c r="G62" i="110"/>
  <c r="O61" i="110"/>
  <c r="G61" i="110"/>
  <c r="O60" i="110"/>
  <c r="G60" i="110"/>
  <c r="O59" i="110"/>
  <c r="G59" i="110"/>
  <c r="N62" i="110"/>
  <c r="E62" i="110"/>
  <c r="J61" i="110"/>
  <c r="N60" i="110"/>
  <c r="E60" i="110"/>
  <c r="J59" i="110"/>
  <c r="K62" i="110"/>
  <c r="L61" i="110"/>
  <c r="L60" i="110"/>
  <c r="M59" i="110"/>
  <c r="C59" i="110"/>
  <c r="R62" i="110"/>
  <c r="F62" i="110"/>
  <c r="N61" i="110"/>
  <c r="C61" i="110"/>
  <c r="J60" i="110"/>
  <c r="R59" i="110"/>
  <c r="F59" i="110"/>
  <c r="I59" i="110"/>
  <c r="X59" i="110"/>
  <c r="D60" i="110"/>
  <c r="R60" i="110"/>
  <c r="AF60" i="110"/>
  <c r="M61" i="110"/>
  <c r="AC61" i="110"/>
  <c r="I62" i="110"/>
  <c r="X62" i="110"/>
  <c r="G14" i="81"/>
  <c r="E14" i="81"/>
  <c r="J14" i="81"/>
  <c r="D14" i="81"/>
  <c r="C14" i="81"/>
  <c r="K14" i="81"/>
  <c r="K29" i="81"/>
  <c r="H29" i="81"/>
  <c r="E29" i="81"/>
  <c r="J29" i="81"/>
  <c r="G29" i="81"/>
  <c r="D29" i="81"/>
  <c r="C29" i="81"/>
  <c r="M39" i="81"/>
  <c r="AA59" i="110"/>
  <c r="U60" i="110"/>
  <c r="AH60" i="110"/>
  <c r="AE61" i="110"/>
  <c r="G22" i="81"/>
  <c r="E22" i="81"/>
  <c r="J22" i="81"/>
  <c r="D22" i="81"/>
  <c r="C22" i="81"/>
  <c r="K22" i="81"/>
  <c r="AG62" i="110"/>
  <c r="Y62" i="110"/>
  <c r="AG61" i="110"/>
  <c r="Y61" i="110"/>
  <c r="AG60" i="110"/>
  <c r="Y60" i="110"/>
  <c r="AG59" i="110"/>
  <c r="Y59" i="110"/>
  <c r="AI62" i="110"/>
  <c r="Z62" i="110"/>
  <c r="AD61" i="110"/>
  <c r="U61" i="110"/>
  <c r="AI60" i="110"/>
  <c r="Z60" i="110"/>
  <c r="AD59" i="110"/>
  <c r="U59" i="110"/>
  <c r="AH57" i="110"/>
  <c r="AH62" i="110"/>
  <c r="W62" i="110"/>
  <c r="AI61" i="110"/>
  <c r="X61" i="110"/>
  <c r="AJ60" i="110"/>
  <c r="X60" i="110"/>
  <c r="AJ59" i="110"/>
  <c r="Z59" i="110"/>
  <c r="AE62" i="110"/>
  <c r="AB61" i="110"/>
  <c r="W60" i="110"/>
  <c r="AF59" i="110"/>
  <c r="AC59" i="110"/>
  <c r="AA60" i="110"/>
  <c r="AH61" i="110"/>
  <c r="AC62" i="110"/>
  <c r="H22" i="81"/>
  <c r="G8" i="81"/>
  <c r="J8" i="81"/>
  <c r="K8" i="81"/>
  <c r="D8" i="81"/>
  <c r="E8" i="81"/>
  <c r="K31" i="81"/>
  <c r="C31" i="81"/>
  <c r="J31" i="81"/>
  <c r="E31" i="81"/>
  <c r="D31" i="81"/>
  <c r="G31" i="81"/>
  <c r="G13" i="81"/>
  <c r="D13" i="81"/>
  <c r="H13" i="81"/>
  <c r="K13" i="81"/>
  <c r="G15" i="81"/>
  <c r="H15" i="81"/>
  <c r="K15" i="81"/>
  <c r="D15" i="81"/>
  <c r="G21" i="81"/>
  <c r="D21" i="81"/>
  <c r="H21" i="81"/>
  <c r="E21" i="81"/>
  <c r="K30" i="81"/>
  <c r="J30" i="81"/>
  <c r="H30" i="81"/>
  <c r="D30" i="81"/>
  <c r="J13" i="81"/>
  <c r="J15" i="81"/>
  <c r="K21" i="81"/>
  <c r="K28" i="81"/>
  <c r="G28" i="81"/>
  <c r="C28" i="81"/>
  <c r="E28" i="81"/>
  <c r="H28" i="81"/>
  <c r="G30" i="81"/>
  <c r="F42" i="81"/>
  <c r="I42" i="81"/>
  <c r="L42" i="81"/>
  <c r="K42" i="81"/>
  <c r="G42" i="81"/>
  <c r="D42" i="81"/>
  <c r="C42" i="81"/>
  <c r="Z66" i="108"/>
  <c r="AH66" i="108"/>
  <c r="Z67" i="108"/>
  <c r="AH67" i="108"/>
  <c r="Z68" i="108"/>
  <c r="AH68" i="108"/>
  <c r="Z69" i="108"/>
  <c r="AD27" i="110"/>
  <c r="V27" i="110"/>
  <c r="AD26" i="110"/>
  <c r="V26" i="110"/>
  <c r="AD25" i="110"/>
  <c r="V25" i="110"/>
  <c r="AD24" i="110"/>
  <c r="V24" i="110"/>
  <c r="AC24" i="110"/>
  <c r="Y25" i="110"/>
  <c r="AH25" i="110"/>
  <c r="AC26" i="110"/>
  <c r="Y27" i="110"/>
  <c r="AH27" i="110"/>
  <c r="AI41" i="110"/>
  <c r="AA41" i="110"/>
  <c r="AI40" i="110"/>
  <c r="AA40" i="110"/>
  <c r="AI39" i="110"/>
  <c r="AA39" i="110"/>
  <c r="AI38" i="110"/>
  <c r="AA38" i="110"/>
  <c r="AH36" i="110"/>
  <c r="AB41" i="110"/>
  <c r="AF40" i="110"/>
  <c r="W40" i="110"/>
  <c r="AB39" i="110"/>
  <c r="AF38" i="110"/>
  <c r="W38" i="110"/>
  <c r="AG41" i="110"/>
  <c r="W41" i="110"/>
  <c r="AH40" i="110"/>
  <c r="X40" i="110"/>
  <c r="AH39" i="110"/>
  <c r="X39" i="110"/>
  <c r="AJ38" i="110"/>
  <c r="Y38" i="110"/>
  <c r="Z38" i="110"/>
  <c r="AD39" i="110"/>
  <c r="U40" i="110"/>
  <c r="AG40" i="110"/>
  <c r="Y41" i="110"/>
  <c r="G12" i="81"/>
  <c r="C12" i="81"/>
  <c r="E12" i="81"/>
  <c r="K12" i="81"/>
  <c r="D12" i="81"/>
  <c r="J28" i="81"/>
  <c r="F44" i="81"/>
  <c r="K44" i="81"/>
  <c r="I44" i="81"/>
  <c r="D44" i="81"/>
  <c r="C44" i="81"/>
  <c r="L44" i="81"/>
  <c r="G44" i="81"/>
  <c r="H51" i="81"/>
  <c r="K34" i="81"/>
  <c r="D34" i="81"/>
  <c r="G34" i="81"/>
  <c r="J34" i="81"/>
  <c r="G18" i="81"/>
  <c r="C18" i="81"/>
  <c r="G24" i="81"/>
  <c r="J24" i="81"/>
  <c r="C34" i="81"/>
  <c r="J50" i="81"/>
  <c r="G10" i="81"/>
  <c r="C10" i="81"/>
  <c r="G16" i="81"/>
  <c r="J16" i="81"/>
  <c r="H18" i="81"/>
  <c r="G23" i="81"/>
  <c r="H23" i="81"/>
  <c r="K23" i="81"/>
  <c r="E24" i="81"/>
  <c r="K33" i="81"/>
  <c r="C33" i="81"/>
  <c r="D33" i="81"/>
  <c r="G33" i="81"/>
  <c r="F38" i="81"/>
  <c r="L38" i="81"/>
  <c r="M38" i="81" s="1"/>
  <c r="C38" i="81"/>
  <c r="E38" i="81" s="1"/>
  <c r="G38" i="81"/>
  <c r="I38" i="81"/>
  <c r="I53" i="81"/>
  <c r="J53" i="81" s="1"/>
  <c r="L53" i="81"/>
  <c r="M53" i="81" s="1"/>
  <c r="C53" i="81"/>
  <c r="K48" i="110"/>
  <c r="C48" i="110"/>
  <c r="K47" i="110"/>
  <c r="C47" i="110"/>
  <c r="K46" i="110"/>
  <c r="C46" i="110"/>
  <c r="K45" i="110"/>
  <c r="C45" i="110"/>
  <c r="F45" i="110"/>
  <c r="O45" i="110"/>
  <c r="J46" i="110"/>
  <c r="F47" i="110"/>
  <c r="O47" i="110"/>
  <c r="J48" i="110"/>
  <c r="D11" i="81"/>
  <c r="D19" i="81"/>
  <c r="D27" i="81"/>
  <c r="D40" i="81"/>
  <c r="E40" i="81" s="1"/>
  <c r="I45" i="81"/>
  <c r="J45" i="81" s="1"/>
  <c r="L45" i="81"/>
  <c r="C45" i="81"/>
  <c r="I46" i="81"/>
  <c r="J46" i="81" s="1"/>
  <c r="G46" i="81"/>
  <c r="H46" i="81" s="1"/>
  <c r="I47" i="81"/>
  <c r="F47" i="81"/>
  <c r="H47" i="81" s="1"/>
  <c r="I49" i="81"/>
  <c r="J49" i="81" s="1"/>
  <c r="C49" i="81"/>
  <c r="G50" i="81"/>
  <c r="H50" i="81" s="1"/>
  <c r="K50" i="81"/>
  <c r="M50" i="81" s="1"/>
  <c r="I51" i="81"/>
  <c r="J51" i="81" s="1"/>
  <c r="D51" i="81"/>
  <c r="F52" i="81"/>
  <c r="H52" i="81" s="1"/>
  <c r="K52" i="81"/>
  <c r="I52" i="81"/>
  <c r="D53" i="81"/>
  <c r="E54" i="81"/>
  <c r="K62" i="81"/>
  <c r="C62" i="81"/>
  <c r="F62" i="81"/>
  <c r="I62" i="81"/>
  <c r="D62" i="81"/>
  <c r="L62" i="81"/>
  <c r="F92" i="81"/>
  <c r="G92" i="81"/>
  <c r="D92" i="81"/>
  <c r="J92" i="81"/>
  <c r="I92" i="81"/>
  <c r="C92" i="81"/>
  <c r="D45" i="81"/>
  <c r="C46" i="81"/>
  <c r="E46" i="81" s="1"/>
  <c r="C47" i="81"/>
  <c r="E47" i="81" s="1"/>
  <c r="L48" i="81"/>
  <c r="M48" i="81" s="1"/>
  <c r="C48" i="81"/>
  <c r="D48" i="81"/>
  <c r="D49" i="81"/>
  <c r="C50" i="81"/>
  <c r="E50" i="81" s="1"/>
  <c r="C51" i="81"/>
  <c r="C52" i="81"/>
  <c r="E52" i="81" s="1"/>
  <c r="G62" i="81"/>
  <c r="M55" i="81"/>
  <c r="C79" i="81"/>
  <c r="I79" i="81"/>
  <c r="F79" i="81"/>
  <c r="J79" i="81"/>
  <c r="G79" i="81"/>
  <c r="D79" i="81"/>
  <c r="L56" i="81"/>
  <c r="M56" i="81" s="1"/>
  <c r="C56" i="81"/>
  <c r="F56" i="81"/>
  <c r="I56" i="81"/>
  <c r="D56" i="81"/>
  <c r="G56" i="81"/>
  <c r="L40" i="81"/>
  <c r="M40" i="81" s="1"/>
  <c r="M43" i="81"/>
  <c r="K45" i="81"/>
  <c r="K46" i="81"/>
  <c r="M46" i="81" s="1"/>
  <c r="K47" i="81"/>
  <c r="M47" i="81" s="1"/>
  <c r="K49" i="81"/>
  <c r="M49" i="81" s="1"/>
  <c r="K51" i="81"/>
  <c r="M51" i="81" s="1"/>
  <c r="L52" i="81"/>
  <c r="M57" i="81"/>
  <c r="I61" i="81"/>
  <c r="G61" i="81"/>
  <c r="C61" i="81"/>
  <c r="E61" i="81" s="1"/>
  <c r="L61" i="81"/>
  <c r="K61" i="81"/>
  <c r="F61" i="81"/>
  <c r="D60" i="81"/>
  <c r="E60" i="81" s="1"/>
  <c r="K80" i="81"/>
  <c r="K94" i="81"/>
  <c r="C99" i="81"/>
  <c r="D99" i="81"/>
  <c r="E107" i="81"/>
  <c r="E124" i="81"/>
  <c r="D124" i="81"/>
  <c r="C124" i="81"/>
  <c r="G124" i="81"/>
  <c r="F60" i="81"/>
  <c r="H60" i="81" s="1"/>
  <c r="C71" i="81"/>
  <c r="J71" i="81"/>
  <c r="I71" i="81"/>
  <c r="D71" i="81"/>
  <c r="F99" i="81"/>
  <c r="G107" i="81"/>
  <c r="E110" i="81"/>
  <c r="C110" i="81"/>
  <c r="E120" i="81"/>
  <c r="D120" i="81"/>
  <c r="C120" i="81"/>
  <c r="E75" i="81"/>
  <c r="F84" i="81"/>
  <c r="G84" i="81"/>
  <c r="I84" i="81"/>
  <c r="K84" i="81" s="1"/>
  <c r="D84" i="81"/>
  <c r="F97" i="81"/>
  <c r="H97" i="81"/>
  <c r="I97" i="81" s="1"/>
  <c r="G99" i="81"/>
  <c r="H99" i="81" s="1"/>
  <c r="G102" i="81"/>
  <c r="C102" i="81"/>
  <c r="D102" i="81"/>
  <c r="C104" i="81"/>
  <c r="D104" i="81"/>
  <c r="D110" i="81"/>
  <c r="H116" i="81"/>
  <c r="I116" i="81" s="1"/>
  <c r="F116" i="81"/>
  <c r="G120" i="81"/>
  <c r="E52" i="110"/>
  <c r="M52" i="110"/>
  <c r="E53" i="110"/>
  <c r="M53" i="110"/>
  <c r="E54" i="110"/>
  <c r="M54" i="110"/>
  <c r="E55" i="110"/>
  <c r="G63" i="81"/>
  <c r="H63" i="81" s="1"/>
  <c r="L63" i="81"/>
  <c r="M63" i="81" s="1"/>
  <c r="C63" i="81"/>
  <c r="D63" i="81"/>
  <c r="I63" i="81"/>
  <c r="J63" i="81" s="1"/>
  <c r="F71" i="81"/>
  <c r="H71" i="81" s="1"/>
  <c r="C84" i="81"/>
  <c r="G91" i="81"/>
  <c r="F91" i="81"/>
  <c r="C91" i="81"/>
  <c r="J91" i="81"/>
  <c r="K91" i="81" s="1"/>
  <c r="D91" i="81"/>
  <c r="D93" i="81"/>
  <c r="E93" i="81" s="1"/>
  <c r="F93" i="81"/>
  <c r="G93" i="81"/>
  <c r="I93" i="81"/>
  <c r="K93" i="81" s="1"/>
  <c r="G100" i="81"/>
  <c r="H100" i="81" s="1"/>
  <c r="C100" i="81"/>
  <c r="F100" i="81" s="1"/>
  <c r="E102" i="81"/>
  <c r="E104" i="81"/>
  <c r="E106" i="81"/>
  <c r="D106" i="81"/>
  <c r="G106" i="81"/>
  <c r="C112" i="81"/>
  <c r="D112" i="81"/>
  <c r="E112" i="81"/>
  <c r="D77" i="81"/>
  <c r="F77" i="81"/>
  <c r="H77" i="81" s="1"/>
  <c r="J77" i="81"/>
  <c r="C77" i="81"/>
  <c r="I77" i="81"/>
  <c r="E98" i="81"/>
  <c r="D98" i="81"/>
  <c r="G110" i="81"/>
  <c r="E121" i="81"/>
  <c r="C121" i="81"/>
  <c r="G121" i="81"/>
  <c r="D121" i="81"/>
  <c r="D69" i="81"/>
  <c r="F69" i="81"/>
  <c r="H69" i="81" s="1"/>
  <c r="I69" i="81"/>
  <c r="C69" i="81"/>
  <c r="J69" i="81"/>
  <c r="D73" i="81"/>
  <c r="J73" i="81"/>
  <c r="I73" i="81"/>
  <c r="E115" i="81"/>
  <c r="C115" i="81"/>
  <c r="G115" i="81"/>
  <c r="D115" i="81"/>
  <c r="I55" i="81"/>
  <c r="F55" i="81"/>
  <c r="G55" i="81"/>
  <c r="I57" i="81"/>
  <c r="J57" i="81" s="1"/>
  <c r="D57" i="81"/>
  <c r="E57" i="81" s="1"/>
  <c r="I60" i="81"/>
  <c r="K60" i="81"/>
  <c r="M60" i="81" s="1"/>
  <c r="H70" i="81"/>
  <c r="C73" i="81"/>
  <c r="G83" i="81"/>
  <c r="H83" i="81" s="1"/>
  <c r="I83" i="81"/>
  <c r="J83" i="81"/>
  <c r="C83" i="81"/>
  <c r="E83" i="81" s="1"/>
  <c r="K86" i="81"/>
  <c r="E101" i="81"/>
  <c r="D101" i="81"/>
  <c r="H108" i="81"/>
  <c r="I108" i="81" s="1"/>
  <c r="C109" i="81"/>
  <c r="E109" i="81"/>
  <c r="G109" i="81"/>
  <c r="I59" i="81"/>
  <c r="J59" i="81" s="1"/>
  <c r="D59" i="81"/>
  <c r="E59" i="81" s="1"/>
  <c r="L59" i="81"/>
  <c r="G75" i="81"/>
  <c r="H75" i="81" s="1"/>
  <c r="J75" i="81"/>
  <c r="K75" i="81" s="1"/>
  <c r="D85" i="81"/>
  <c r="E85" i="81" s="1"/>
  <c r="F85" i="81"/>
  <c r="H85" i="81" s="1"/>
  <c r="I85" i="81"/>
  <c r="K85" i="81" s="1"/>
  <c r="C87" i="81"/>
  <c r="E87" i="81" s="1"/>
  <c r="G87" i="81"/>
  <c r="H87" i="81" s="1"/>
  <c r="D105" i="81"/>
  <c r="C105" i="81"/>
  <c r="F105" i="81" s="1"/>
  <c r="E114" i="81"/>
  <c r="C114" i="81"/>
  <c r="F68" i="81"/>
  <c r="G68" i="81"/>
  <c r="D81" i="81"/>
  <c r="E81" i="81" s="1"/>
  <c r="J81" i="81"/>
  <c r="K81" i="81" s="1"/>
  <c r="E122" i="81"/>
  <c r="G122" i="81"/>
  <c r="D122" i="81"/>
  <c r="L58" i="81"/>
  <c r="M58" i="81" s="1"/>
  <c r="K59" i="81"/>
  <c r="F76" i="81"/>
  <c r="G76" i="81"/>
  <c r="J76" i="81"/>
  <c r="K76" i="81" s="1"/>
  <c r="G81" i="81"/>
  <c r="D89" i="81"/>
  <c r="E89" i="81" s="1"/>
  <c r="J89" i="81"/>
  <c r="K89" i="81" s="1"/>
  <c r="G89" i="81"/>
  <c r="H103" i="81"/>
  <c r="I103" i="81" s="1"/>
  <c r="G113" i="81"/>
  <c r="H113" i="81" s="1"/>
  <c r="I113" i="81" s="1"/>
  <c r="K64" i="81"/>
  <c r="M64" i="81" s="1"/>
  <c r="C64" i="81"/>
  <c r="E64" i="81" s="1"/>
  <c r="I64" i="81"/>
  <c r="J64" i="81" s="1"/>
  <c r="H82" i="81"/>
  <c r="H67" i="81"/>
  <c r="E119" i="81"/>
  <c r="C119" i="81"/>
  <c r="H123" i="81"/>
  <c r="I123" i="81" s="1"/>
  <c r="E9" i="95"/>
  <c r="K15" i="95"/>
  <c r="E19" i="95"/>
  <c r="K11" i="95"/>
  <c r="E15" i="95"/>
  <c r="H90" i="81" l="1"/>
  <c r="J39" i="81"/>
  <c r="E30" i="98"/>
  <c r="H89" i="81"/>
  <c r="E17" i="114"/>
  <c r="H81" i="81"/>
  <c r="I46" i="106"/>
  <c r="I22" i="106"/>
  <c r="I14" i="106"/>
  <c r="I7" i="106"/>
  <c r="I38" i="106"/>
  <c r="I48" i="106"/>
  <c r="I20" i="106"/>
  <c r="K91" i="101"/>
  <c r="P91" i="101"/>
  <c r="C91" i="101"/>
  <c r="AK122" i="101"/>
  <c r="AI108" i="101"/>
  <c r="AD107" i="101"/>
  <c r="W121" i="98"/>
  <c r="H91" i="101"/>
  <c r="G91" i="98"/>
  <c r="K91" i="98"/>
  <c r="M91" i="98"/>
  <c r="X122" i="101"/>
  <c r="D91" i="98"/>
  <c r="Y114" i="101"/>
  <c r="AI100" i="101"/>
  <c r="AK123" i="101"/>
  <c r="H30" i="114"/>
  <c r="AB122" i="98"/>
  <c r="AG116" i="98"/>
  <c r="W123" i="98"/>
  <c r="AG121" i="98"/>
  <c r="AC120" i="98"/>
  <c r="E17" i="98"/>
  <c r="N91" i="98"/>
  <c r="AE122" i="98"/>
  <c r="D92" i="98"/>
  <c r="AI120" i="98"/>
  <c r="AH120" i="98"/>
  <c r="E92" i="98"/>
  <c r="E91" i="98"/>
  <c r="F92" i="98"/>
  <c r="AB121" i="98"/>
  <c r="AB120" i="98"/>
  <c r="AI122" i="98"/>
  <c r="AE123" i="98"/>
  <c r="AE120" i="98"/>
  <c r="AF120" i="98"/>
  <c r="W101" i="98"/>
  <c r="Y116" i="98"/>
  <c r="AC108" i="98"/>
  <c r="X115" i="98"/>
  <c r="AA106" i="98"/>
  <c r="AD100" i="98"/>
  <c r="AJ107" i="98"/>
  <c r="AH114" i="98"/>
  <c r="AF100" i="98"/>
  <c r="AD107" i="98"/>
  <c r="AJ114" i="98"/>
  <c r="AK109" i="98"/>
  <c r="AC102" i="98"/>
  <c r="J92" i="98"/>
  <c r="AC122" i="98"/>
  <c r="AG123" i="98"/>
  <c r="AE121" i="98"/>
  <c r="AC123" i="98"/>
  <c r="Q92" i="98"/>
  <c r="H93" i="98"/>
  <c r="X120" i="98"/>
  <c r="AF115" i="98"/>
  <c r="AI108" i="98"/>
  <c r="AB100" i="98"/>
  <c r="AH108" i="98"/>
  <c r="AK101" i="98"/>
  <c r="AD116" i="98"/>
  <c r="AG107" i="98"/>
  <c r="AJ100" i="98"/>
  <c r="AC114" i="98"/>
  <c r="AI101" i="98"/>
  <c r="AE109" i="98"/>
  <c r="AH100" i="98"/>
  <c r="AK115" i="98"/>
  <c r="AI114" i="98"/>
  <c r="AE102" i="98"/>
  <c r="V101" i="98"/>
  <c r="AB108" i="98"/>
  <c r="Z115" i="98"/>
  <c r="X101" i="98"/>
  <c r="V108" i="98"/>
  <c r="AB115" i="98"/>
  <c r="W116" i="98"/>
  <c r="Z109" i="98"/>
  <c r="R92" i="98"/>
  <c r="P91" i="98"/>
  <c r="L92" i="98"/>
  <c r="Y123" i="98"/>
  <c r="AI121" i="98"/>
  <c r="I91" i="98"/>
  <c r="I92" i="98"/>
  <c r="H92" i="98"/>
  <c r="M92" i="98"/>
  <c r="AG100" i="98"/>
  <c r="O92" i="98"/>
  <c r="K92" i="98"/>
  <c r="Y121" i="98"/>
  <c r="AE113" i="98"/>
  <c r="AF106" i="98"/>
  <c r="AA115" i="98"/>
  <c r="AG113" i="98"/>
  <c r="N92" i="98"/>
  <c r="AH114" i="101"/>
  <c r="AI110" i="101"/>
  <c r="AD123" i="101"/>
  <c r="AE116" i="101"/>
  <c r="Z101" i="101"/>
  <c r="AE114" i="101"/>
  <c r="Z100" i="101"/>
  <c r="AD114" i="101"/>
  <c r="X100" i="101"/>
  <c r="AH121" i="101"/>
  <c r="K30" i="101"/>
  <c r="Y122" i="101"/>
  <c r="X101" i="101"/>
  <c r="W121" i="101"/>
  <c r="H17" i="101"/>
  <c r="AA121" i="101"/>
  <c r="AC114" i="101"/>
  <c r="W107" i="101"/>
  <c r="Y100" i="101"/>
  <c r="AI116" i="101"/>
  <c r="AK109" i="101"/>
  <c r="AE102" i="101"/>
  <c r="E91" i="101"/>
  <c r="Z115" i="101"/>
  <c r="AB108" i="101"/>
  <c r="V101" i="101"/>
  <c r="AF116" i="101"/>
  <c r="AH109" i="101"/>
  <c r="AJ102" i="101"/>
  <c r="AI124" i="101"/>
  <c r="AK117" i="101"/>
  <c r="AE110" i="101"/>
  <c r="AG103" i="101"/>
  <c r="AA116" i="101"/>
  <c r="AC109" i="101"/>
  <c r="W102" i="101"/>
  <c r="AG123" i="101"/>
  <c r="AG122" i="101"/>
  <c r="AJ121" i="101"/>
  <c r="AD100" i="101"/>
  <c r="X116" i="101"/>
  <c r="Z109" i="101"/>
  <c r="AB102" i="101"/>
  <c r="V123" i="101"/>
  <c r="M91" i="101"/>
  <c r="AG107" i="101"/>
  <c r="F91" i="101"/>
  <c r="AG121" i="101"/>
  <c r="AE117" i="101"/>
  <c r="AB114" i="101"/>
  <c r="AK100" i="101"/>
  <c r="H59" i="81"/>
  <c r="AG190" i="100"/>
  <c r="H42" i="81"/>
  <c r="AC195" i="100"/>
  <c r="AF192" i="100"/>
  <c r="AC196" i="100"/>
  <c r="AC194" i="100"/>
  <c r="AM192" i="100"/>
  <c r="AG192" i="100"/>
  <c r="AJ194" i="100"/>
  <c r="AG191" i="100"/>
  <c r="AD192" i="100"/>
  <c r="AJ196" i="100"/>
  <c r="AK196" i="100"/>
  <c r="AB191" i="100"/>
  <c r="AF189" i="100"/>
  <c r="AL189" i="100"/>
  <c r="AF190" i="100"/>
  <c r="AA189" i="100"/>
  <c r="AL192" i="100"/>
  <c r="AN189" i="100"/>
  <c r="AB196" i="100"/>
  <c r="AK193" i="100"/>
  <c r="AH190" i="100"/>
  <c r="AC192" i="100"/>
  <c r="AK194" i="100"/>
  <c r="AC190" i="100"/>
  <c r="AE189" i="100"/>
  <c r="AN190" i="100"/>
  <c r="AE190" i="100"/>
  <c r="AM193" i="100"/>
  <c r="AH189" i="100"/>
  <c r="AJ191" i="100"/>
  <c r="AJ193" i="100"/>
  <c r="AD189" i="100"/>
  <c r="AM190" i="100"/>
  <c r="AD193" i="100"/>
  <c r="AM189" i="100"/>
  <c r="AD190" i="100"/>
  <c r="AB195" i="100"/>
  <c r="AH193" i="100"/>
  <c r="AC189" i="100"/>
  <c r="J52" i="81"/>
  <c r="H17" i="114"/>
  <c r="K92" i="81"/>
  <c r="H94" i="81"/>
  <c r="H61" i="81"/>
  <c r="E45" i="81"/>
  <c r="J54" i="81"/>
  <c r="H48" i="81"/>
  <c r="AI189" i="100"/>
  <c r="AK192" i="100"/>
  <c r="AF121" i="98"/>
  <c r="AF116" i="98"/>
  <c r="AI109" i="98"/>
  <c r="AB102" i="98"/>
  <c r="X123" i="101"/>
  <c r="Z116" i="101"/>
  <c r="AB109" i="101"/>
  <c r="V102" i="101"/>
  <c r="AH109" i="98"/>
  <c r="AK102" i="98"/>
  <c r="AG108" i="98"/>
  <c r="AJ101" i="98"/>
  <c r="AF117" i="101"/>
  <c r="AH110" i="101"/>
  <c r="AJ103" i="101"/>
  <c r="AC116" i="98"/>
  <c r="AI102" i="98"/>
  <c r="AA114" i="98"/>
  <c r="W102" i="98"/>
  <c r="Y113" i="98"/>
  <c r="AG99" i="98"/>
  <c r="AA122" i="101"/>
  <c r="AC115" i="101"/>
  <c r="W108" i="101"/>
  <c r="Y101" i="101"/>
  <c r="X116" i="98"/>
  <c r="AA108" i="98"/>
  <c r="AD99" i="98"/>
  <c r="AJ106" i="98"/>
  <c r="AH113" i="98"/>
  <c r="AF99" i="98"/>
  <c r="AD106" i="98"/>
  <c r="AJ113" i="98"/>
  <c r="AK106" i="98"/>
  <c r="AI117" i="101"/>
  <c r="AK110" i="101"/>
  <c r="AE103" i="101"/>
  <c r="V122" i="101"/>
  <c r="AK190" i="100"/>
  <c r="AL195" i="100"/>
  <c r="Z120" i="98"/>
  <c r="X121" i="98"/>
  <c r="V116" i="98"/>
  <c r="Y109" i="98"/>
  <c r="AB101" i="98"/>
  <c r="AF122" i="101"/>
  <c r="AH115" i="101"/>
  <c r="AJ108" i="101"/>
  <c r="AD101" i="101"/>
  <c r="X109" i="98"/>
  <c r="AA102" i="98"/>
  <c r="W108" i="98"/>
  <c r="Z101" i="98"/>
  <c r="X117" i="101"/>
  <c r="Z110" i="101"/>
  <c r="AB103" i="101"/>
  <c r="AC115" i="98"/>
  <c r="Y102" i="98"/>
  <c r="AA113" i="98"/>
  <c r="AH101" i="98"/>
  <c r="AK116" i="98"/>
  <c r="AC109" i="98"/>
  <c r="AI121" i="101"/>
  <c r="AK114" i="101"/>
  <c r="AE107" i="101"/>
  <c r="AG100" i="101"/>
  <c r="AI115" i="98"/>
  <c r="AA107" i="98"/>
  <c r="V100" i="98"/>
  <c r="AB107" i="98"/>
  <c r="Z114" i="98"/>
  <c r="X100" i="98"/>
  <c r="V107" i="98"/>
  <c r="AB114" i="98"/>
  <c r="W113" i="98"/>
  <c r="Z106" i="98"/>
  <c r="AA117" i="101"/>
  <c r="AC110" i="101"/>
  <c r="W103" i="101"/>
  <c r="N91" i="101"/>
  <c r="R91" i="98"/>
  <c r="AL190" i="100"/>
  <c r="AL196" i="100"/>
  <c r="AD195" i="100"/>
  <c r="AD196" i="100"/>
  <c r="AB99" i="98"/>
  <c r="AD115" i="98"/>
  <c r="AC113" i="98"/>
  <c r="AE108" i="98"/>
  <c r="AC107" i="98"/>
  <c r="AC101" i="98"/>
  <c r="AL193" i="100"/>
  <c r="AI193" i="100"/>
  <c r="AG193" i="100"/>
  <c r="AA190" i="100"/>
  <c r="AH122" i="98"/>
  <c r="AG196" i="100"/>
  <c r="AF123" i="98"/>
  <c r="AF114" i="98"/>
  <c r="AI107" i="98"/>
  <c r="X121" i="101"/>
  <c r="Z114" i="101"/>
  <c r="AB107" i="101"/>
  <c r="V100" i="101"/>
  <c r="AE116" i="98"/>
  <c r="AH107" i="98"/>
  <c r="AK100" i="98"/>
  <c r="AD114" i="98"/>
  <c r="AG106" i="98"/>
  <c r="AJ99" i="98"/>
  <c r="AF115" i="101"/>
  <c r="AH108" i="101"/>
  <c r="AJ101" i="101"/>
  <c r="AF109" i="98"/>
  <c r="AI100" i="98"/>
  <c r="AE107" i="98"/>
  <c r="W100" i="98"/>
  <c r="Y115" i="98"/>
  <c r="AC106" i="98"/>
  <c r="AA124" i="101"/>
  <c r="AC117" i="101"/>
  <c r="W110" i="101"/>
  <c r="Y103" i="101"/>
  <c r="X114" i="98"/>
  <c r="AE101" i="98"/>
  <c r="AD101" i="98"/>
  <c r="AJ108" i="98"/>
  <c r="AH115" i="98"/>
  <c r="AF101" i="98"/>
  <c r="AD108" i="98"/>
  <c r="AJ115" i="98"/>
  <c r="AG115" i="98"/>
  <c r="AK108" i="98"/>
  <c r="AC100" i="98"/>
  <c r="AI115" i="101"/>
  <c r="AK108" i="101"/>
  <c r="AE101" i="101"/>
  <c r="Y123" i="101"/>
  <c r="AD121" i="101"/>
  <c r="AE192" i="100"/>
  <c r="AA192" i="100"/>
  <c r="AB193" i="100"/>
  <c r="Z122" i="98"/>
  <c r="AA195" i="100"/>
  <c r="X123" i="98"/>
  <c r="V114" i="98"/>
  <c r="Y107" i="98"/>
  <c r="AH117" i="101"/>
  <c r="AJ110" i="101"/>
  <c r="AD103" i="101"/>
  <c r="AE115" i="98"/>
  <c r="X107" i="98"/>
  <c r="AA100" i="98"/>
  <c r="AD113" i="98"/>
  <c r="W106" i="98"/>
  <c r="Z99" i="98"/>
  <c r="X115" i="101"/>
  <c r="Z108" i="101"/>
  <c r="AB101" i="101"/>
  <c r="AF108" i="98"/>
  <c r="Y100" i="98"/>
  <c r="AE106" i="98"/>
  <c r="AH99" i="98"/>
  <c r="AK114" i="98"/>
  <c r="AG102" i="98"/>
  <c r="AI123" i="101"/>
  <c r="AK116" i="101"/>
  <c r="AE109" i="101"/>
  <c r="AG102" i="101"/>
  <c r="AI113" i="98"/>
  <c r="AE100" i="98"/>
  <c r="V102" i="98"/>
  <c r="AB109" i="98"/>
  <c r="Z116" i="98"/>
  <c r="X102" i="98"/>
  <c r="V109" i="98"/>
  <c r="AB116" i="98"/>
  <c r="W115" i="98"/>
  <c r="Z108" i="98"/>
  <c r="AC99" i="98"/>
  <c r="AA115" i="101"/>
  <c r="AC108" i="101"/>
  <c r="W101" i="101"/>
  <c r="AD122" i="101"/>
  <c r="V121" i="101"/>
  <c r="J91" i="101"/>
  <c r="AH121" i="98"/>
  <c r="AF122" i="98"/>
  <c r="AF113" i="98"/>
  <c r="AI106" i="98"/>
  <c r="Z117" i="101"/>
  <c r="AB110" i="101"/>
  <c r="V103" i="101"/>
  <c r="AE114" i="98"/>
  <c r="AH106" i="98"/>
  <c r="AK99" i="98"/>
  <c r="AG109" i="98"/>
  <c r="AJ102" i="98"/>
  <c r="AF114" i="101"/>
  <c r="AH107" i="101"/>
  <c r="AJ100" i="101"/>
  <c r="AF107" i="98"/>
  <c r="AI99" i="98"/>
  <c r="AA116" i="98"/>
  <c r="AH123" i="98"/>
  <c r="W99" i="98"/>
  <c r="Y114" i="98"/>
  <c r="AG101" i="98"/>
  <c r="AA123" i="101"/>
  <c r="AC116" i="101"/>
  <c r="W109" i="101"/>
  <c r="Y102" i="101"/>
  <c r="X113" i="98"/>
  <c r="AE99" i="98"/>
  <c r="AD102" i="98"/>
  <c r="AJ109" i="98"/>
  <c r="AH116" i="98"/>
  <c r="AF102" i="98"/>
  <c r="AD109" i="98"/>
  <c r="AJ116" i="98"/>
  <c r="AG114" i="98"/>
  <c r="AK107" i="98"/>
  <c r="AI114" i="101"/>
  <c r="AK107" i="101"/>
  <c r="AE100" i="101"/>
  <c r="Y121" i="101"/>
  <c r="AF124" i="101"/>
  <c r="AH194" i="100"/>
  <c r="AK189" i="100"/>
  <c r="Z121" i="98"/>
  <c r="X122" i="98"/>
  <c r="V113" i="98"/>
  <c r="Y106" i="98"/>
  <c r="X124" i="101"/>
  <c r="AH116" i="101"/>
  <c r="AJ109" i="101"/>
  <c r="AD102" i="101"/>
  <c r="X106" i="98"/>
  <c r="AA99" i="98"/>
  <c r="W109" i="98"/>
  <c r="Z102" i="98"/>
  <c r="X114" i="101"/>
  <c r="Z107" i="101"/>
  <c r="AB100" i="101"/>
  <c r="Y99" i="98"/>
  <c r="AH102" i="98"/>
  <c r="AK113" i="98"/>
  <c r="AI122" i="101"/>
  <c r="AK115" i="101"/>
  <c r="AE108" i="101"/>
  <c r="AG101" i="101"/>
  <c r="AI116" i="98"/>
  <c r="AA109" i="98"/>
  <c r="V99" i="98"/>
  <c r="AB106" i="98"/>
  <c r="Z113" i="98"/>
  <c r="X99" i="98"/>
  <c r="V106" i="98"/>
  <c r="AB113" i="98"/>
  <c r="W114" i="98"/>
  <c r="Z107" i="98"/>
  <c r="AA114" i="101"/>
  <c r="AC107" i="101"/>
  <c r="W100" i="101"/>
  <c r="AF123" i="101"/>
  <c r="AH192" i="100"/>
  <c r="J61" i="81"/>
  <c r="H84" i="81"/>
  <c r="I99" i="81"/>
  <c r="H93" i="81"/>
  <c r="K83" i="81"/>
  <c r="J56" i="81"/>
  <c r="M44" i="81"/>
  <c r="H72" i="81"/>
  <c r="J43" i="81"/>
  <c r="E76" i="81"/>
  <c r="J38" i="81"/>
  <c r="H40" i="81"/>
  <c r="H43" i="81"/>
  <c r="H38" i="81"/>
  <c r="J42" i="81"/>
  <c r="M54" i="81"/>
  <c r="J40" i="81"/>
  <c r="H105" i="81"/>
  <c r="I105" i="81" s="1"/>
  <c r="J48" i="81"/>
  <c r="E43" i="81"/>
  <c r="F103" i="81"/>
  <c r="K68" i="81"/>
  <c r="E68" i="81"/>
  <c r="H92" i="81"/>
  <c r="AE193" i="100"/>
  <c r="AB194" i="100"/>
  <c r="AE196" i="100"/>
  <c r="AE194" i="100"/>
  <c r="E88" i="81"/>
  <c r="H54" i="81"/>
  <c r="E41" i="81"/>
  <c r="H118" i="81"/>
  <c r="I118" i="81" s="1"/>
  <c r="H73" i="81"/>
  <c r="J60" i="81"/>
  <c r="K79" i="81"/>
  <c r="K78" i="81"/>
  <c r="H91" i="81"/>
  <c r="E71" i="81"/>
  <c r="E56" i="81"/>
  <c r="E49" i="81"/>
  <c r="F118" i="81"/>
  <c r="H117" i="81"/>
  <c r="I117" i="81" s="1"/>
  <c r="F117" i="81"/>
  <c r="AI194" i="100"/>
  <c r="H53" i="81"/>
  <c r="E92" i="81"/>
  <c r="AM196" i="100"/>
  <c r="AG194" i="100"/>
  <c r="AM194" i="100"/>
  <c r="AI196" i="100"/>
  <c r="H88" i="81"/>
  <c r="AH196" i="100"/>
  <c r="M59" i="81"/>
  <c r="E48" i="81"/>
  <c r="J55" i="81"/>
  <c r="K77" i="81"/>
  <c r="H76" i="81"/>
  <c r="E73" i="81"/>
  <c r="E84" i="81"/>
  <c r="M52" i="81"/>
  <c r="E79" i="81"/>
  <c r="M45" i="81"/>
  <c r="E42" i="81"/>
  <c r="K73" i="81"/>
  <c r="K71" i="81"/>
  <c r="H68" i="81"/>
  <c r="K69" i="81"/>
  <c r="E77" i="81"/>
  <c r="E91" i="81"/>
  <c r="E63" i="81"/>
  <c r="H56" i="81"/>
  <c r="H79" i="81"/>
  <c r="H62" i="81"/>
  <c r="E53" i="81"/>
  <c r="H44" i="81"/>
  <c r="M62" i="81"/>
  <c r="M61" i="81"/>
  <c r="E62" i="81"/>
  <c r="M42" i="81"/>
  <c r="I100" i="81"/>
  <c r="J62" i="81"/>
  <c r="J47" i="81"/>
  <c r="E44" i="81"/>
  <c r="H55" i="81"/>
  <c r="E69" i="81"/>
  <c r="E51" i="81"/>
  <c r="J44" i="81"/>
  <c r="F119" i="81"/>
  <c r="H119" i="81"/>
  <c r="I119" i="81" s="1"/>
  <c r="H122" i="81"/>
  <c r="I122" i="81" s="1"/>
  <c r="F122" i="81"/>
  <c r="F114" i="81"/>
  <c r="H114" i="81"/>
  <c r="I114" i="81" s="1"/>
  <c r="H109" i="81"/>
  <c r="I109" i="81" s="1"/>
  <c r="F109" i="81"/>
  <c r="H101" i="81"/>
  <c r="I101" i="81" s="1"/>
  <c r="F101" i="81"/>
  <c r="F115" i="81"/>
  <c r="H115" i="81"/>
  <c r="I115" i="81" s="1"/>
  <c r="F121" i="81"/>
  <c r="H121" i="81"/>
  <c r="I121" i="81" s="1"/>
  <c r="H98" i="81"/>
  <c r="I98" i="81" s="1"/>
  <c r="F98" i="81"/>
  <c r="H112" i="81"/>
  <c r="I112" i="81" s="1"/>
  <c r="F112" i="81"/>
  <c r="F106" i="81"/>
  <c r="H106" i="81"/>
  <c r="I106" i="81" s="1"/>
  <c r="H104" i="81"/>
  <c r="I104" i="81" s="1"/>
  <c r="F104" i="81"/>
  <c r="H102" i="81"/>
  <c r="I102" i="81" s="1"/>
  <c r="F102" i="81"/>
  <c r="F120" i="81"/>
  <c r="H120" i="81"/>
  <c r="I120" i="81" s="1"/>
  <c r="H110" i="81"/>
  <c r="I110" i="81" s="1"/>
  <c r="F110" i="81"/>
  <c r="H124" i="81"/>
  <c r="I124" i="81" s="1"/>
  <c r="F124" i="81"/>
  <c r="F107" i="81"/>
  <c r="H107" i="81"/>
  <c r="I107" i="81" s="1"/>
  <c r="AF193" i="100"/>
  <c r="AF194" i="100"/>
  <c r="AF196" i="100"/>
  <c r="AB192" i="100"/>
  <c r="AB189" i="100"/>
  <c r="AB190" i="100"/>
  <c r="AN194" i="100"/>
  <c r="AN196" i="100"/>
  <c r="AN193" i="100"/>
  <c r="AI191" i="100"/>
  <c r="AI190" i="100"/>
  <c r="AJ190" i="100"/>
  <c r="AJ192" i="100"/>
  <c r="AJ189" i="100"/>
  <c r="AA194" i="100"/>
  <c r="AA193" i="100"/>
  <c r="C21" i="87"/>
  <c r="B6" i="87"/>
  <c r="C35" i="82"/>
  <c r="B35" i="82"/>
  <c r="C42" i="82"/>
  <c r="B42" i="82"/>
  <c r="F42" i="82"/>
  <c r="G42" i="82"/>
  <c r="F37" i="82"/>
  <c r="G37" i="82"/>
  <c r="C41" i="82"/>
  <c r="B41" i="82"/>
  <c r="C39" i="82"/>
  <c r="B39" i="82"/>
  <c r="B44" i="82"/>
  <c r="C44" i="82"/>
  <c r="C36" i="82"/>
  <c r="B36" i="82"/>
  <c r="B38" i="82"/>
  <c r="C38" i="82"/>
  <c r="F40" i="82"/>
  <c r="G40" i="82"/>
  <c r="G36" i="82"/>
  <c r="F36" i="82"/>
  <c r="C37" i="82"/>
  <c r="B37" i="82"/>
  <c r="F38" i="82"/>
  <c r="G38" i="82"/>
  <c r="B40" i="82"/>
  <c r="C40" i="82"/>
  <c r="G41" i="82"/>
  <c r="F41" i="82"/>
  <c r="B43" i="82"/>
  <c r="C43" i="82"/>
  <c r="G44" i="82"/>
  <c r="F44" i="82"/>
  <c r="G35" i="82"/>
  <c r="F35" i="82"/>
  <c r="F39" i="82"/>
  <c r="G39" i="82"/>
  <c r="G43" i="82"/>
  <c r="F43" i="82"/>
  <c r="L91" i="101"/>
  <c r="D91" i="101"/>
  <c r="Q91" i="101"/>
  <c r="I91" i="101"/>
  <c r="O91" i="101"/>
  <c r="G91" i="101"/>
  <c r="K28" i="82"/>
  <c r="J28" i="82"/>
  <c r="F21" i="82"/>
  <c r="G21" i="82"/>
  <c r="J25" i="82"/>
  <c r="K25" i="82"/>
  <c r="K22" i="82"/>
  <c r="J22" i="82"/>
  <c r="G27" i="82"/>
  <c r="F27" i="82"/>
  <c r="F24" i="82"/>
  <c r="G24" i="82"/>
  <c r="J21" i="82"/>
  <c r="K21" i="82"/>
  <c r="G23" i="82"/>
  <c r="F23" i="82"/>
  <c r="K24" i="82"/>
  <c r="J24" i="82"/>
  <c r="G29" i="82"/>
  <c r="F29" i="82"/>
  <c r="F20" i="82"/>
  <c r="G20" i="82"/>
  <c r="G26" i="82"/>
  <c r="F26" i="82"/>
  <c r="J26" i="82"/>
  <c r="K26" i="82"/>
  <c r="J29" i="82"/>
  <c r="K29" i="82"/>
  <c r="K23" i="82"/>
  <c r="J23" i="82"/>
  <c r="G28" i="82"/>
  <c r="F28" i="82"/>
  <c r="K20" i="82"/>
  <c r="J20" i="82"/>
  <c r="G25" i="82"/>
  <c r="F25" i="82"/>
  <c r="F22" i="82"/>
  <c r="G22" i="82"/>
  <c r="K27" i="82"/>
  <c r="J27" i="82"/>
  <c r="Q91" i="98"/>
  <c r="H91" i="98"/>
  <c r="F91" i="98"/>
  <c r="L91" i="98"/>
  <c r="J91" i="98"/>
  <c r="E10" i="87"/>
  <c r="H10" i="87"/>
  <c r="E18" i="87"/>
  <c r="H18" i="87"/>
  <c r="H7" i="87"/>
  <c r="E7" i="87"/>
  <c r="H15" i="87"/>
  <c r="E15" i="87"/>
  <c r="H12" i="87"/>
  <c r="E12" i="87"/>
  <c r="H20" i="87"/>
  <c r="E20" i="87"/>
  <c r="H9" i="87"/>
  <c r="E9" i="87"/>
  <c r="H17" i="87"/>
  <c r="E17" i="87"/>
  <c r="G21" i="87"/>
  <c r="H6" i="87"/>
  <c r="E6" i="87"/>
  <c r="H14" i="87"/>
  <c r="E14" i="87"/>
  <c r="H11" i="87"/>
  <c r="E11" i="87"/>
  <c r="H19" i="87"/>
  <c r="E19" i="87"/>
  <c r="H8" i="87"/>
  <c r="E8" i="87"/>
  <c r="H16" i="87"/>
  <c r="E16" i="87"/>
  <c r="E13" i="87"/>
  <c r="H13" i="8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<sst xmlns="http://schemas.openxmlformats.org/spreadsheetml/2006/main" count="6565" uniqueCount="1517">
  <si>
    <t>Workload Measurement Overview Report</t>
  </si>
  <si>
    <t>contents (click to jump to):</t>
  </si>
  <si>
    <t>FAQs</t>
  </si>
  <si>
    <t>PDU overview</t>
  </si>
  <si>
    <t>Regional overview</t>
  </si>
  <si>
    <t>team overview</t>
  </si>
  <si>
    <t>Regional capacities</t>
  </si>
  <si>
    <t>Regional capacities, unallocated cases and reductions in hours</t>
  </si>
  <si>
    <t>PDU capacity top ten rankings</t>
  </si>
  <si>
    <t>Regional over-capacity ratios</t>
  </si>
  <si>
    <t>Regional reasons for reduction</t>
  </si>
  <si>
    <t>PDU reasons for reduction</t>
  </si>
  <si>
    <t>Regional reduction in hours</t>
  </si>
  <si>
    <t>National caseload allocation by tier</t>
  </si>
  <si>
    <t>National breakdown ratios of caseload allocation by tier</t>
  </si>
  <si>
    <t>Regional overall allocation of cases</t>
  </si>
  <si>
    <t>Regional overall allocation of cases as percentage</t>
  </si>
  <si>
    <t>Regional allocation of custody cases</t>
  </si>
  <si>
    <t>Regional allocation of custody cases as percentage</t>
  </si>
  <si>
    <t>Regional allocation of cases in the community as percentage</t>
  </si>
  <si>
    <t>East of England</t>
  </si>
  <si>
    <t>NPS Greater Manchester</t>
  </si>
  <si>
    <t>London</t>
  </si>
  <si>
    <t>North East Region</t>
  </si>
  <si>
    <t>NPS North West Region</t>
  </si>
  <si>
    <t>South Central</t>
  </si>
  <si>
    <t>South West</t>
  </si>
  <si>
    <t>Wales</t>
  </si>
  <si>
    <t>West Midlands Region</t>
  </si>
  <si>
    <t>CPA Cheshire and Gtr Manchester</t>
  </si>
  <si>
    <t>CPA Cumbria and Lancashire</t>
  </si>
  <si>
    <t>CPA Derby Leics Notts Rutland</t>
  </si>
  <si>
    <t>CPA Humber Lincs &amp; N Yorks</t>
  </si>
  <si>
    <t>CPA Kent Surrey and Sussex</t>
  </si>
  <si>
    <t>CPA Merseyside</t>
  </si>
  <si>
    <t>CPA South Yorkshire</t>
  </si>
  <si>
    <t>CPA West Yorkshire</t>
  </si>
  <si>
    <t>Derby City - N53</t>
  </si>
  <si>
    <t>Accredited Programmes and Structured Interventions</t>
  </si>
  <si>
    <t>Bolton - N50</t>
  </si>
  <si>
    <t>Brighton and East Sussex</t>
  </si>
  <si>
    <t>Accredited Programmes and Structured Interventions - N07</t>
  </si>
  <si>
    <t>County Durham and Darlington</t>
  </si>
  <si>
    <t>Blackburn and Darwen - N51</t>
  </si>
  <si>
    <t>All South Central</t>
  </si>
  <si>
    <t>Accredited Programmes and Structured Interventions - N58</t>
  </si>
  <si>
    <t>Cardiff and Vale - N03</t>
  </si>
  <si>
    <t>All West Midlands</t>
  </si>
  <si>
    <t>Barnsley and Rotherham</t>
  </si>
  <si>
    <t>CHESHIRE - C07</t>
  </si>
  <si>
    <t xml:space="preserve">CRC Cumbria &amp; Lancashire </t>
  </si>
  <si>
    <t>Derbyshire Cluster</t>
  </si>
  <si>
    <t>All H, L &amp; NY</t>
  </si>
  <si>
    <t>Surrey&amp;Sussex Probation Trust</t>
  </si>
  <si>
    <t>Central - C06</t>
  </si>
  <si>
    <t>South Yorkshire CRC</t>
  </si>
  <si>
    <t>PSC - C05</t>
  </si>
  <si>
    <t>Derby City  - N53</t>
  </si>
  <si>
    <t>Admin Hub BDS</t>
  </si>
  <si>
    <t>Bolton 1</t>
  </si>
  <si>
    <t>SXE-Brighton</t>
  </si>
  <si>
    <t>ACO CLUSTERS</t>
  </si>
  <si>
    <t>Awaiting Allocation County Durham Darlington</t>
  </si>
  <si>
    <t>Blackburn 1</t>
  </si>
  <si>
    <t>Aldershot, Farnborough</t>
  </si>
  <si>
    <t>Bournemouth OM and Ass</t>
  </si>
  <si>
    <t>Cardiff - East Team</t>
  </si>
  <si>
    <t>Central Birmingham Team 1 - N52</t>
  </si>
  <si>
    <t>Flex Team 10</t>
  </si>
  <si>
    <t>CRC: Barrow NC 1</t>
  </si>
  <si>
    <t>Community - Liverpool</t>
  </si>
  <si>
    <t>Derbyshire - N53</t>
  </si>
  <si>
    <t>Bedfordshire - N56</t>
  </si>
  <si>
    <t>Bury and Rochdale</t>
  </si>
  <si>
    <t>East Kent</t>
  </si>
  <si>
    <t>All London</t>
  </si>
  <si>
    <t>Default Unallocated Borough - N54</t>
  </si>
  <si>
    <t>Central Lancashire</t>
  </si>
  <si>
    <t>Buckinghamshire and M Keynes - N59</t>
  </si>
  <si>
    <t>All South West</t>
  </si>
  <si>
    <t>Cwm Taf Morgannwg</t>
  </si>
  <si>
    <t>Birmingham Central and South - N52</t>
  </si>
  <si>
    <t>Bradford and Calderdale</t>
  </si>
  <si>
    <t>Headquarters CGM CRC</t>
  </si>
  <si>
    <t>Leicestershire Cluster</t>
  </si>
  <si>
    <t>Greater Lincolnshire</t>
  </si>
  <si>
    <t>East</t>
  </si>
  <si>
    <t>West Yorkshire All Boroughs</t>
  </si>
  <si>
    <t>Buxton - N53</t>
  </si>
  <si>
    <t>Admin Hub CBS</t>
  </si>
  <si>
    <t>Bolton 2</t>
  </si>
  <si>
    <t>SXE-Eastbourne</t>
  </si>
  <si>
    <t>Attendance Centre 1 - N07</t>
  </si>
  <si>
    <t>Awaiting Allocation Gateshead and S Tyneside</t>
  </si>
  <si>
    <t>Blackburn 2</t>
  </si>
  <si>
    <t>Andover, Basingstoke, Winchester</t>
  </si>
  <si>
    <t>BSG Bristol 1</t>
  </si>
  <si>
    <t>Cardiff - IOM Wisdom Team</t>
  </si>
  <si>
    <t>Central Birmingham Team 2 - N52</t>
  </si>
  <si>
    <t>Flex Team 11</t>
  </si>
  <si>
    <t>CRC: Carlisle LMC 1</t>
  </si>
  <si>
    <t>Community - Liverpool and Sefton</t>
  </si>
  <si>
    <t>Leicester, Leicestershire and Rutland</t>
  </si>
  <si>
    <t>Cambridgeshire and Peterborough</t>
  </si>
  <si>
    <t>Manchester North - N50</t>
  </si>
  <si>
    <t>Surrey - N57</t>
  </si>
  <si>
    <t>Barking and Dagenham and Havering</t>
  </si>
  <si>
    <t>Gateshead and South Tyneside</t>
  </si>
  <si>
    <t>Cheshire East</t>
  </si>
  <si>
    <t>Corporate Services - N59</t>
  </si>
  <si>
    <t>Bath and North Somerset - N58</t>
  </si>
  <si>
    <t>Dyfed Powys</t>
  </si>
  <si>
    <t>Birmingham North, East and Solihull - N52</t>
  </si>
  <si>
    <t>Doncaster - N55</t>
  </si>
  <si>
    <t>MST</t>
  </si>
  <si>
    <t>Nottinghamshire Cluster</t>
  </si>
  <si>
    <t>Hull &amp; East Riding</t>
  </si>
  <si>
    <t>PSC - C06</t>
  </si>
  <si>
    <t>West Yorkshire CRC Cluster</t>
  </si>
  <si>
    <t>Chesterfield - N53</t>
  </si>
  <si>
    <t>Admin Hub HFS</t>
  </si>
  <si>
    <t>Bolton NPS Admin - N50</t>
  </si>
  <si>
    <t>SXE-Hastings</t>
  </si>
  <si>
    <t>Awaiting Allocation BARKING DAGENHAM HAVERING</t>
  </si>
  <si>
    <t>Awaiting Allocation N Tyneside Northumberland</t>
  </si>
  <si>
    <t>Chorley</t>
  </si>
  <si>
    <t>Bicester PPU</t>
  </si>
  <si>
    <t>BSG Bristol 2</t>
  </si>
  <si>
    <t>Cardiff - North Team</t>
  </si>
  <si>
    <t>IOM Birmingham Team</t>
  </si>
  <si>
    <t>Flex Team 12</t>
  </si>
  <si>
    <t>CRC: Kendal NC 1</t>
  </si>
  <si>
    <t>Engagement - Liverpool</t>
  </si>
  <si>
    <t>Lincolnshire East and West - N53</t>
  </si>
  <si>
    <t>Corporate Services - N56</t>
  </si>
  <si>
    <t>Manchester South - N50</t>
  </si>
  <si>
    <t>Unallocated Level2(N57)</t>
  </si>
  <si>
    <t>Brent - N07</t>
  </si>
  <si>
    <t>Inactive Level 2(N54)</t>
  </si>
  <si>
    <t>Cheshire West</t>
  </si>
  <si>
    <t>Default Unallocated Borough - N59</t>
  </si>
  <si>
    <t>Bristol and South Gloucestershire - N58</t>
  </si>
  <si>
    <t>Gwent</t>
  </si>
  <si>
    <t>Coventry - N52</t>
  </si>
  <si>
    <t>Hull and East Riding</t>
  </si>
  <si>
    <t>OR</t>
  </si>
  <si>
    <t>PSC - C04</t>
  </si>
  <si>
    <t>West</t>
  </si>
  <si>
    <t>Ilkeston - N53</t>
  </si>
  <si>
    <t>Admin Hub NFK</t>
  </si>
  <si>
    <t>Bury 2</t>
  </si>
  <si>
    <t>KTE-Canterbury</t>
  </si>
  <si>
    <t>Awaiting Allocation BARNET</t>
  </si>
  <si>
    <t>Darlington - N54</t>
  </si>
  <si>
    <t>Preston 1</t>
  </si>
  <si>
    <t>Bracknell OM - N59</t>
  </si>
  <si>
    <t>BSG Bristol 3</t>
  </si>
  <si>
    <t>Cardiff - South Team</t>
  </si>
  <si>
    <t>Multi-Agency Gang Unit (MAGU) - N52</t>
  </si>
  <si>
    <t>Flex Team 13</t>
  </si>
  <si>
    <t>CRC: Workington NC 1</t>
  </si>
  <si>
    <t>Resettlement - Liverpool</t>
  </si>
  <si>
    <t>Nottingham City</t>
  </si>
  <si>
    <t>Essex North - N56</t>
  </si>
  <si>
    <t>Oldham</t>
  </si>
  <si>
    <t>West Kent</t>
  </si>
  <si>
    <t>Camden, Islington</t>
  </si>
  <si>
    <t>Newcastle Upon Tyne - N54</t>
  </si>
  <si>
    <t>Cumbria - N51</t>
  </si>
  <si>
    <t>East Berkshire</t>
  </si>
  <si>
    <t>Cornwall and Isles of Scilly</t>
  </si>
  <si>
    <t>Inactive Level 2(N03)</t>
  </si>
  <si>
    <t>Dudley and Sandwell</t>
  </si>
  <si>
    <t>Inactive Level 2(N55)</t>
  </si>
  <si>
    <t>PSC - C07</t>
  </si>
  <si>
    <t>York &amp; North Yorkshire</t>
  </si>
  <si>
    <t>Coalville Loughb'h Melton Mowbray (County North)</t>
  </si>
  <si>
    <t>Admin Hub NTH</t>
  </si>
  <si>
    <t>Rochdale 2</t>
  </si>
  <si>
    <t>KTE-South East Kent</t>
  </si>
  <si>
    <t>Awaiting Allocation BEXLEY</t>
  </si>
  <si>
    <t>Default Designated Transfer Team - N54</t>
  </si>
  <si>
    <t>Preston 2</t>
  </si>
  <si>
    <t>Bucks ACE - N59</t>
  </si>
  <si>
    <t>BSG Bristol IOM (IRiS)</t>
  </si>
  <si>
    <t>Cardiff - West Team</t>
  </si>
  <si>
    <t>South Birmingham Team 1 - N52</t>
  </si>
  <si>
    <t>Flex Team 14</t>
  </si>
  <si>
    <t>CRC: Hub Team</t>
  </si>
  <si>
    <t>Resettlement - Liverpool and Sefton</t>
  </si>
  <si>
    <t>Nottinghamshire - N53</t>
  </si>
  <si>
    <t>Essex South - N56</t>
  </si>
  <si>
    <t>Salford - N50</t>
  </si>
  <si>
    <t>West Sussex</t>
  </si>
  <si>
    <t>Community Integration</t>
  </si>
  <si>
    <t>North Tyneside and Northumberland</t>
  </si>
  <si>
    <t>East Lancashire</t>
  </si>
  <si>
    <t>Hampshire North and East - N59</t>
  </si>
  <si>
    <t>Devon and Torbay - N58</t>
  </si>
  <si>
    <t>North Wales</t>
  </si>
  <si>
    <t>Herefordshire, Shropshire and Telford</t>
  </si>
  <si>
    <t>Kirklees - N55</t>
  </si>
  <si>
    <t>ST</t>
  </si>
  <si>
    <t>Leicester City 1 - N53</t>
  </si>
  <si>
    <t>Admin Hub SFK</t>
  </si>
  <si>
    <t>Cheetham 1</t>
  </si>
  <si>
    <t>KTE-Thanet</t>
  </si>
  <si>
    <t>Awaiting Allocation BRENT</t>
  </si>
  <si>
    <t>DTV Admin</t>
  </si>
  <si>
    <t>Skelmersdale</t>
  </si>
  <si>
    <t>Bucks Male</t>
  </si>
  <si>
    <t>BSG Under 25</t>
  </si>
  <si>
    <t>Cardiff - Women's Pathfinder Team</t>
  </si>
  <si>
    <t>South Birmingham Team 2 - N52</t>
  </si>
  <si>
    <t>IT Services &amp; Business Systems</t>
  </si>
  <si>
    <t>CRC: Hub UPW Completed</t>
  </si>
  <si>
    <t>Women - Liverpool and Sefton</t>
  </si>
  <si>
    <t xml:space="preserve">Headquarters </t>
  </si>
  <si>
    <t>Stockport and Trafford</t>
  </si>
  <si>
    <t>Corporate Services - N07</t>
  </si>
  <si>
    <t>Redcar, Cleveland and Middlesbrough</t>
  </si>
  <si>
    <t>Halton and Warrington</t>
  </si>
  <si>
    <t>Oxfordshire</t>
  </si>
  <si>
    <t>Dorset - N58</t>
  </si>
  <si>
    <t>Swansea, Neath Port-Talbot</t>
  </si>
  <si>
    <t>Personality Disorder Projects - N52</t>
  </si>
  <si>
    <t>Leeds - N55</t>
  </si>
  <si>
    <t>WBB - C07</t>
  </si>
  <si>
    <t>Leicester City 2 - N53</t>
  </si>
  <si>
    <t>ADMIN Interventions</t>
  </si>
  <si>
    <t>Miles Platting 1</t>
  </si>
  <si>
    <t>Inactive Team(N57)</t>
  </si>
  <si>
    <t>Awaiting Allocation BROMLEY</t>
  </si>
  <si>
    <t>DTV Durham</t>
  </si>
  <si>
    <t>Crewe - N51</t>
  </si>
  <si>
    <t>Bucks Male 1 - N59</t>
  </si>
  <si>
    <t>GCS Cheltenham and Tewkesbury</t>
  </si>
  <si>
    <t>Cardiff and Vale - STS Team</t>
  </si>
  <si>
    <t>South Birmingham Team 3 - N52</t>
  </si>
  <si>
    <t>Flex Team 01</t>
  </si>
  <si>
    <t>CRC: Blackpool LMC 1</t>
  </si>
  <si>
    <t>Community - Prescot</t>
  </si>
  <si>
    <t>Hertfordshire - N56</t>
  </si>
  <si>
    <t>Tameside - N50</t>
  </si>
  <si>
    <t>Croydon - N07</t>
  </si>
  <si>
    <t>Stockton and Hartlepool</t>
  </si>
  <si>
    <t>Knowsley and St Helens</t>
  </si>
  <si>
    <t>Performance And Quality</t>
  </si>
  <si>
    <t>Gloucestershire - N58</t>
  </si>
  <si>
    <t>Unallocated Level 2(N03)</t>
  </si>
  <si>
    <t>Staffordshire and Stoke</t>
  </si>
  <si>
    <t>North and North East Lincs - N55</t>
  </si>
  <si>
    <t>Leicester City 3 - N53</t>
  </si>
  <si>
    <t>BDS-Accredited Programmes</t>
  </si>
  <si>
    <t>Longsight 1</t>
  </si>
  <si>
    <t>SRY-Guildford - N57</t>
  </si>
  <si>
    <t>Awaiting Allocation CAMDEN</t>
  </si>
  <si>
    <t>DTV Durham - N54</t>
  </si>
  <si>
    <t>Macclesfield - N51</t>
  </si>
  <si>
    <t>Bucks Male 2 - N59</t>
  </si>
  <si>
    <t>GCS Cheltenham and Tewkesbury 2</t>
  </si>
  <si>
    <t>NPS - Cardiff - Team 3</t>
  </si>
  <si>
    <t>East Birmingham - N52</t>
  </si>
  <si>
    <t>Flex Team 02</t>
  </si>
  <si>
    <t>CRC: Blackpool LMC 2</t>
  </si>
  <si>
    <t>Engagement - Prescot</t>
  </si>
  <si>
    <t>Inactive Level 2(N56)</t>
  </si>
  <si>
    <t>Wigan - N50</t>
  </si>
  <si>
    <t>Ealing and Hillingdon</t>
  </si>
  <si>
    <t>Sunderland - N54</t>
  </si>
  <si>
    <t>Liverpool North - N51</t>
  </si>
  <si>
    <t>Portsmouth and IoW</t>
  </si>
  <si>
    <t>Plymouth - N58</t>
  </si>
  <si>
    <t>Unpaid Work and Attendance Centres - N52</t>
  </si>
  <si>
    <t>North Yorkshire - N55</t>
  </si>
  <si>
    <t>Leicester City PQUIP - N53</t>
  </si>
  <si>
    <t>BDS-Bedford IOM</t>
  </si>
  <si>
    <t>Moss Side 1</t>
  </si>
  <si>
    <t>SRY-Redhill - N57</t>
  </si>
  <si>
    <t>Awaiting Allocation CROYDON</t>
  </si>
  <si>
    <t>DTV Durham IOM</t>
  </si>
  <si>
    <t>Chester</t>
  </si>
  <si>
    <t>Bucks PPU - N59</t>
  </si>
  <si>
    <t>GCS Gloucester</t>
  </si>
  <si>
    <t>Vale - IOM Women Team</t>
  </si>
  <si>
    <t>North Birmingham Team 1 - N52</t>
  </si>
  <si>
    <t>Flex Team 06</t>
  </si>
  <si>
    <t>CRC: Blackpool LMC 3</t>
  </si>
  <si>
    <t>Resettlement - Prescot</t>
  </si>
  <si>
    <t>Norfolk - N56</t>
  </si>
  <si>
    <t>Enfield and Haringey</t>
  </si>
  <si>
    <t>Unallocated Level(N54)</t>
  </si>
  <si>
    <t>Liverpool South - N51</t>
  </si>
  <si>
    <t>Public Protection Community</t>
  </si>
  <si>
    <t>Somerset - N58</t>
  </si>
  <si>
    <t>Walsall and Wolverhampton</t>
  </si>
  <si>
    <t>Sheffield - N55</t>
  </si>
  <si>
    <t>Leicester City PSOs - N53</t>
  </si>
  <si>
    <t>BDS-Bedford OM1 - N56</t>
  </si>
  <si>
    <t>Wythenshawe 1</t>
  </si>
  <si>
    <t>SRY-Staines - N57</t>
  </si>
  <si>
    <t>Awaiting Allocation EALING</t>
  </si>
  <si>
    <t>DTV Durham IOM - N54</t>
  </si>
  <si>
    <t>Northwich</t>
  </si>
  <si>
    <t>Bucks Women - N59</t>
  </si>
  <si>
    <t>GCS Gloucester and Forest</t>
  </si>
  <si>
    <t>Vale - Team</t>
  </si>
  <si>
    <t>North Birmingham Team 3 - N52</t>
  </si>
  <si>
    <t>Flex Team 07</t>
  </si>
  <si>
    <t>CRC: Lancaster NC 1</t>
  </si>
  <si>
    <t>Women - Prescot</t>
  </si>
  <si>
    <t>Northamptonshire - N56</t>
  </si>
  <si>
    <t>Greenwich and Bexley</t>
  </si>
  <si>
    <t>Unpaid Work and Attendance Centres - N54</t>
  </si>
  <si>
    <t>Merseyside Resettle - N51</t>
  </si>
  <si>
    <t>Southampton, Eastleigh and New Forest</t>
  </si>
  <si>
    <t>Swindon and Wiltshire</t>
  </si>
  <si>
    <t>Warwickshire - N52</t>
  </si>
  <si>
    <t>Unallocated Level 2(N55)</t>
  </si>
  <si>
    <t>Leicester City Resettlement - N53</t>
  </si>
  <si>
    <t>BDS-Luton IOM</t>
  </si>
  <si>
    <t>Oldham 2</t>
  </si>
  <si>
    <t>Unallocated Team(N57)</t>
  </si>
  <si>
    <t>Awaiting Allocation ENFIELD</t>
  </si>
  <si>
    <t>DTV Hartlepool</t>
  </si>
  <si>
    <t>Barrow</t>
  </si>
  <si>
    <t>CP Hub Pod 1 - C20</t>
  </si>
  <si>
    <t>Inactive Team(N58)</t>
  </si>
  <si>
    <t>Awaiting Allocation Cwm Taf Morgannwg</t>
  </si>
  <si>
    <t>Solihull - N52</t>
  </si>
  <si>
    <t>Flex Team 04</t>
  </si>
  <si>
    <t>CRC: Accrington LMC 1</t>
  </si>
  <si>
    <t>CP Hub Pod 1 - C06</t>
  </si>
  <si>
    <t>Public Protection Residential - N56</t>
  </si>
  <si>
    <t>Hackney and City</t>
  </si>
  <si>
    <t>North West Lancashire</t>
  </si>
  <si>
    <t>Unpaid Work and Attendance Centres - N59</t>
  </si>
  <si>
    <t>Unpaid Work and Attendance Centres - N58</t>
  </si>
  <si>
    <t>Worcestershire - N52</t>
  </si>
  <si>
    <t>Wakefield - N55</t>
  </si>
  <si>
    <t>Leicestershire Priority IOM - N53</t>
  </si>
  <si>
    <t>BDS-Luton OM1 - N56</t>
  </si>
  <si>
    <t>MAPPT - MAPPA and Public Protection Team</t>
  </si>
  <si>
    <t>KTW-Dartford and Gravesham</t>
  </si>
  <si>
    <t>Awaiting Allocation GREENWICH</t>
  </si>
  <si>
    <t>DTV Hartlepool - N54</t>
  </si>
  <si>
    <t>Carlisle 1</t>
  </si>
  <si>
    <t>CP Hub Pod 1 - N59</t>
  </si>
  <si>
    <t>Interventions - Bristol</t>
  </si>
  <si>
    <t>Bridgend - IOM Team</t>
  </si>
  <si>
    <t>Flex Team 05</t>
  </si>
  <si>
    <t>CRC: Accrington LMC 2</t>
  </si>
  <si>
    <t>CP Hub Pod 2 - C06</t>
  </si>
  <si>
    <t>Suffolk</t>
  </si>
  <si>
    <t>Hammersmith, Fulham, Kensington, Chelsea and Westminster</t>
  </si>
  <si>
    <t>Sefton</t>
  </si>
  <si>
    <t>West Berkshire</t>
  </si>
  <si>
    <t>York - N55</t>
  </si>
  <si>
    <t>Boston - N53</t>
  </si>
  <si>
    <t>BDS-Luton OM2 - N56</t>
  </si>
  <si>
    <t>Salford 1</t>
  </si>
  <si>
    <t>KTW-Medway</t>
  </si>
  <si>
    <t>Awaiting Allocation HACKNEY</t>
  </si>
  <si>
    <t>DTV Interventions</t>
  </si>
  <si>
    <t>Carlisle 2</t>
  </si>
  <si>
    <t>CP Hub Pod 2 - C20</t>
  </si>
  <si>
    <t>Offender Management - East - N58</t>
  </si>
  <si>
    <t>Bridgend - STS Team</t>
  </si>
  <si>
    <t>Dudley Team 1 - N52</t>
  </si>
  <si>
    <t>Flex Team 17</t>
  </si>
  <si>
    <t>CRC: Accrington LMC 3</t>
  </si>
  <si>
    <t>CP Hub Pod 3 - C06</t>
  </si>
  <si>
    <t>Unallocated Level2(N56)</t>
  </si>
  <si>
    <t>Harrow and Barnet</t>
  </si>
  <si>
    <t>Wirral - N51</t>
  </si>
  <si>
    <t>Grantham - N53</t>
  </si>
  <si>
    <t>BDS-Luton OM3</t>
  </si>
  <si>
    <t>Salford 2</t>
  </si>
  <si>
    <t>KTW-Mid Kent</t>
  </si>
  <si>
    <t>Awaiting Allocation HAMMERSMITH &amp; FULHAM</t>
  </si>
  <si>
    <t>DTV Middlesbrough</t>
  </si>
  <si>
    <t>Kendal</t>
  </si>
  <si>
    <t>CP Hub Pod 2 - N59</t>
  </si>
  <si>
    <t>Offender Management - Plymouth - N58</t>
  </si>
  <si>
    <t>Bridgend - Team 1</t>
  </si>
  <si>
    <t>Dudley Team 2 - N52</t>
  </si>
  <si>
    <t>Flex Team 18</t>
  </si>
  <si>
    <t>CRC: Accrington LMC 4</t>
  </si>
  <si>
    <t>Community - Wirral</t>
  </si>
  <si>
    <t>Unpaid Work and Attendance Centres - N56</t>
  </si>
  <si>
    <t>Headquarters - N07</t>
  </si>
  <si>
    <t>Lincoln - N53</t>
  </si>
  <si>
    <t>BDS-Partner Link</t>
  </si>
  <si>
    <t>Stockport 3</t>
  </si>
  <si>
    <t>SXW-Crawley</t>
  </si>
  <si>
    <t>Awaiting Allocation HARINGEY</t>
  </si>
  <si>
    <t>DTV Middlesbrough - N54</t>
  </si>
  <si>
    <t>Workington</t>
  </si>
  <si>
    <t>CP Hub Pod 3 - C20</t>
  </si>
  <si>
    <t>Offender Management - Plymouth 2</t>
  </si>
  <si>
    <t>Bridgend - Team 2</t>
  </si>
  <si>
    <t>Sandwell Team 1 - N52</t>
  </si>
  <si>
    <t>Flex Team 15</t>
  </si>
  <si>
    <t>CRC: Chorley NC</t>
  </si>
  <si>
    <t>Engagement - Wirral</t>
  </si>
  <si>
    <t>Inactive Level 2(N07)</t>
  </si>
  <si>
    <t>Skegness - N53</t>
  </si>
  <si>
    <t>BDS-Resettlement OM</t>
  </si>
  <si>
    <t>Stockport 4</t>
  </si>
  <si>
    <t>SXW-Littlehampton</t>
  </si>
  <si>
    <t>Awaiting Allocation HILLINGDON</t>
  </si>
  <si>
    <t>DTV Performance &amp; ICT</t>
  </si>
  <si>
    <t>Burnley 1</t>
  </si>
  <si>
    <t>CP Hub Pod 3 - N59</t>
  </si>
  <si>
    <t>Offender Management - West - N58</t>
  </si>
  <si>
    <t>Merthyr - STS Team</t>
  </si>
  <si>
    <t>Sandwell Team 2 - N52</t>
  </si>
  <si>
    <t>Flex Team 16</t>
  </si>
  <si>
    <t>CRC: Preston LMC 2</t>
  </si>
  <si>
    <t>Resettlement - Wirral</t>
  </si>
  <si>
    <t>Kingston, Richmond and Hounslow</t>
  </si>
  <si>
    <t>Nottingham City North - N53</t>
  </si>
  <si>
    <t>BDS-Resettlement Prisons</t>
  </si>
  <si>
    <t>Trafford 1</t>
  </si>
  <si>
    <t>SXW-Worthing</t>
  </si>
  <si>
    <t>Awaiting Allocation HOUNSLOW</t>
  </si>
  <si>
    <t>DTV Programmes</t>
  </si>
  <si>
    <t>Burnley 2</t>
  </si>
  <si>
    <t>CP North</t>
  </si>
  <si>
    <t>OM - Camborne</t>
  </si>
  <si>
    <t>Merthyr - Team 1</t>
  </si>
  <si>
    <t>Sandwell Team 4 PQUIP - N52</t>
  </si>
  <si>
    <t>CP Hub POD 1 - C07</t>
  </si>
  <si>
    <t>CRC: Preston LMC 3</t>
  </si>
  <si>
    <t>Women - Wirral</t>
  </si>
  <si>
    <t>Lambeth - N07</t>
  </si>
  <si>
    <t>Nottingham City South - N53</t>
  </si>
  <si>
    <t>BDS-Str Interventions</t>
  </si>
  <si>
    <t>Tameside 1</t>
  </si>
  <si>
    <t>Awaiting Allocation ISLINGTON</t>
  </si>
  <si>
    <t>DTV Quality and Development</t>
  </si>
  <si>
    <t>Halton</t>
  </si>
  <si>
    <t>CP South East</t>
  </si>
  <si>
    <t>OM - Dorchester</t>
  </si>
  <si>
    <t>Merthyr - Team 2</t>
  </si>
  <si>
    <t>Hereford - N52</t>
  </si>
  <si>
    <t>CP Hub POD 2 - C07</t>
  </si>
  <si>
    <t>CRC: Skelmersdale NC</t>
  </si>
  <si>
    <t>Lewisham and Bromley</t>
  </si>
  <si>
    <t>Nottinghamshire IOM - N53</t>
  </si>
  <si>
    <t>BDS-UPW Proj Bedford</t>
  </si>
  <si>
    <t>Tameside 2</t>
  </si>
  <si>
    <t>Awaiting Allocation KENSINGTON CHELSEA WESTMIN</t>
  </si>
  <si>
    <t>DTV Redcar and Cleveland</t>
  </si>
  <si>
    <t>Warrington</t>
  </si>
  <si>
    <t>CP South West</t>
  </si>
  <si>
    <t>OM - North Devon - N58</t>
  </si>
  <si>
    <t>RCT - IOM Team</t>
  </si>
  <si>
    <t>Shrewsbury - N52</t>
  </si>
  <si>
    <t>CP Hub POD 3 - C07</t>
  </si>
  <si>
    <t>Newham - N07</t>
  </si>
  <si>
    <t>Nottinghamshire South - N53</t>
  </si>
  <si>
    <t>BDS-UPW Proj Cambridge</t>
  </si>
  <si>
    <t>Wigan 2</t>
  </si>
  <si>
    <t>Awaiting Allocation KINGSTON &amp; RICHMOND</t>
  </si>
  <si>
    <t>DTV Redcar and Cleveland - N54</t>
  </si>
  <si>
    <t>Knowsley 1</t>
  </si>
  <si>
    <t>Default Designated Transfer Team - N59</t>
  </si>
  <si>
    <t>OM - Poole 2</t>
  </si>
  <si>
    <t>RCT - STS Team</t>
  </si>
  <si>
    <t>Telford - N52</t>
  </si>
  <si>
    <t>Flex Team 20</t>
  </si>
  <si>
    <t>Public Protection Community - N07</t>
  </si>
  <si>
    <t>Bassetlaw (Worksop) - N53</t>
  </si>
  <si>
    <t>BDS-UPW Proj Luton</t>
  </si>
  <si>
    <t>Awaiting Allocation LAMBETH</t>
  </si>
  <si>
    <t>DTV Redcar Middlesbrough</t>
  </si>
  <si>
    <t>Knowsley 2</t>
  </si>
  <si>
    <t>East Berks Male - N59</t>
  </si>
  <si>
    <t>OM - St Austell</t>
  </si>
  <si>
    <t>RCT - Team 1</t>
  </si>
  <si>
    <t>PROSPER West Midlands - N52</t>
  </si>
  <si>
    <t>Flex Team 19</t>
  </si>
  <si>
    <t>Public Protection London</t>
  </si>
  <si>
    <t>Mansfield and Ashfield - N53</t>
  </si>
  <si>
    <t>BDS-UPW SA OM1</t>
  </si>
  <si>
    <t>Awaiting Allocation LEWISHAM</t>
  </si>
  <si>
    <t>DTV Redcar, Cleveland and Middlesbrough IOM</t>
  </si>
  <si>
    <t>Knowsley 3</t>
  </si>
  <si>
    <t>East Berks Women - N59</t>
  </si>
  <si>
    <t>OM - Torbay - N58</t>
  </si>
  <si>
    <t>RCT - Team 2</t>
  </si>
  <si>
    <t>West Midlands Private Prisons</t>
  </si>
  <si>
    <t>Inactive Team(N55)</t>
  </si>
  <si>
    <t>Flex Team 23</t>
  </si>
  <si>
    <t>Redbridge and Waltham Forest</t>
  </si>
  <si>
    <t>BDS-UPW Supervisors</t>
  </si>
  <si>
    <t>Awaiting Allocation MERTON</t>
  </si>
  <si>
    <t>DTV Redcar, Middlesbrough and Cleveland IOM - N54</t>
  </si>
  <si>
    <t>Knowsley 4</t>
  </si>
  <si>
    <t>East Community Orders - N59</t>
  </si>
  <si>
    <t>OM1 - Exeter - N58</t>
  </si>
  <si>
    <t>RCT - Team 3</t>
  </si>
  <si>
    <t>Cannock - N52</t>
  </si>
  <si>
    <t>Flex Team 24</t>
  </si>
  <si>
    <t>Southwark - N07</t>
  </si>
  <si>
    <t>CBS-Accredited Programmes</t>
  </si>
  <si>
    <t>Awaiting Allocation NEWHAM</t>
  </si>
  <si>
    <t>DTV South West Durham</t>
  </si>
  <si>
    <t>Merseyside SO IOM - N51</t>
  </si>
  <si>
    <t>East Engagement - N59</t>
  </si>
  <si>
    <t>OM2 North Devon</t>
  </si>
  <si>
    <t>Carmarthenshire - Team 1</t>
  </si>
  <si>
    <t>South East Staffordshire - N52</t>
  </si>
  <si>
    <t>Flex Team 25</t>
  </si>
  <si>
    <t>Tower Hamlets</t>
  </si>
  <si>
    <t>CBS-Cambridge - N56</t>
  </si>
  <si>
    <t>Awaiting Allocation REDBRIDGE</t>
  </si>
  <si>
    <t>DTV South West Durham - N54</t>
  </si>
  <si>
    <t>St Helens 1</t>
  </si>
  <si>
    <t>East Resettlement - N59</t>
  </si>
  <si>
    <t>OM2 Torbay</t>
  </si>
  <si>
    <t>Carmarthenshire - Team 2</t>
  </si>
  <si>
    <t>Stafford - N52</t>
  </si>
  <si>
    <t>Flex Team 21</t>
  </si>
  <si>
    <t>Unpaid Work and Attendance Centres - N07</t>
  </si>
  <si>
    <t>CBS-Huntingdon - N56</t>
  </si>
  <si>
    <t>Awaiting Allocation SOUTHWARK</t>
  </si>
  <si>
    <t>DTV Stockton</t>
  </si>
  <si>
    <t>St Helens 2</t>
  </si>
  <si>
    <t>East Women - N59</t>
  </si>
  <si>
    <t>OM3 Exeter</t>
  </si>
  <si>
    <t>Ceredigion - Team 1</t>
  </si>
  <si>
    <t>Stoke Allocations - N52</t>
  </si>
  <si>
    <t>Flex Team 22</t>
  </si>
  <si>
    <t>Wandsworth, Merton and Sutton</t>
  </si>
  <si>
    <t>CBS-Partner Link</t>
  </si>
  <si>
    <t>Awaiting Allocation TOWER HAMLETS</t>
  </si>
  <si>
    <t>DTV Stockton - N54</t>
  </si>
  <si>
    <t>Liverpool North 1</t>
  </si>
  <si>
    <t>Fareham</t>
  </si>
  <si>
    <t>Other Third Party EM Supervision - N58</t>
  </si>
  <si>
    <t>Pembrokeshire - Team 1</t>
  </si>
  <si>
    <t>Stoke Team 1 - N52</t>
  </si>
  <si>
    <t>CBS-Peterborough - N56</t>
  </si>
  <si>
    <t>Awaiting Allocation WALTHAM FOREST</t>
  </si>
  <si>
    <t>DTV Stockton and Hartlepool IOM</t>
  </si>
  <si>
    <t>Liverpool North 2</t>
  </si>
  <si>
    <t>Havant</t>
  </si>
  <si>
    <t>Plymouth - CP Team</t>
  </si>
  <si>
    <t>Powys - Team 1</t>
  </si>
  <si>
    <t>Stoke Team 2 - N52</t>
  </si>
  <si>
    <t>CBS-Str Interventions</t>
  </si>
  <si>
    <t>BAR 2</t>
  </si>
  <si>
    <t>DTV Stockton and Hartlepool IOM - N54</t>
  </si>
  <si>
    <t>Liverpool North 3</t>
  </si>
  <si>
    <t>Havant, Fareham</t>
  </si>
  <si>
    <t>SOM Banes</t>
  </si>
  <si>
    <t>Awaiting Allocation Gwent</t>
  </si>
  <si>
    <t>Stoke Team 3 - N52</t>
  </si>
  <si>
    <t>CBS-UPS SA OM1</t>
  </si>
  <si>
    <t>Barnet</t>
  </si>
  <si>
    <t>DTV TTG Durham</t>
  </si>
  <si>
    <t>Liverpool North 4</t>
  </si>
  <si>
    <t>HIoW IRT</t>
  </si>
  <si>
    <t>SOM Banes 2</t>
  </si>
  <si>
    <t>Caerphilly\Blaenau Gwent Team 1</t>
  </si>
  <si>
    <t>Walsall Team 1 - N52</t>
  </si>
  <si>
    <t>CBS-UPW Proj Huntingdon</t>
  </si>
  <si>
    <t>BDH 1 - N07</t>
  </si>
  <si>
    <t>DTV UPW and Enforcement</t>
  </si>
  <si>
    <t>Liverpool North 5</t>
  </si>
  <si>
    <t>HMP Coldingley</t>
  </si>
  <si>
    <t>SOM Bridgwater</t>
  </si>
  <si>
    <t>Caerphilly\Blaenau Gwent Team 2</t>
  </si>
  <si>
    <t>Walsall Team 2 - N52</t>
  </si>
  <si>
    <t>CBS-UPW Proj Peterborough</t>
  </si>
  <si>
    <t>BDH 2 - N07</t>
  </si>
  <si>
    <t>DTV UPW Introduction</t>
  </si>
  <si>
    <t>Liverpool North Unallocated</t>
  </si>
  <si>
    <t>HMP Winchester 2</t>
  </si>
  <si>
    <t>SOM Bridgwater 2</t>
  </si>
  <si>
    <t>Caerphilly\Blaenau Gwent Team 3</t>
  </si>
  <si>
    <t>Wolverhampton Team 1 - N52</t>
  </si>
  <si>
    <t>CBS-UPW Proj Wisbech</t>
  </si>
  <si>
    <t>BDH 3</t>
  </si>
  <si>
    <t>DTV UPW Projects Team</t>
  </si>
  <si>
    <t>Liverpool South 1</t>
  </si>
  <si>
    <t>Inactive Team(N59)</t>
  </si>
  <si>
    <t>SOM Nth Som</t>
  </si>
  <si>
    <t>East Gwent Team</t>
  </si>
  <si>
    <t>Wolverhampton Team 2 - N52</t>
  </si>
  <si>
    <t>CBS-UPW Supervisors</t>
  </si>
  <si>
    <t>BDH 4</t>
  </si>
  <si>
    <t>Durham Central</t>
  </si>
  <si>
    <t>Liverpool South 2</t>
  </si>
  <si>
    <t>IOW - N59</t>
  </si>
  <si>
    <t>SOM Nth Som 2</t>
  </si>
  <si>
    <t>Gwent - IOM Team</t>
  </si>
  <si>
    <t>Leamington - N52</t>
  </si>
  <si>
    <t>Default Designated Transfer Team - N56</t>
  </si>
  <si>
    <t>BDH 5</t>
  </si>
  <si>
    <t>Durham West</t>
  </si>
  <si>
    <t>Liverpool South 3</t>
  </si>
  <si>
    <t>Milton Keynes Male - N59</t>
  </si>
  <si>
    <t>SOM Taunton</t>
  </si>
  <si>
    <t>Gwent - STS Team</t>
  </si>
  <si>
    <t>Nuneaton and Rugby - N52</t>
  </si>
  <si>
    <t>EXN-Mid Essex OM1</t>
  </si>
  <si>
    <t>BEX 1 - N07</t>
  </si>
  <si>
    <t>Gateshead - N54</t>
  </si>
  <si>
    <t>Liverpool South 4</t>
  </si>
  <si>
    <t>Milton Keynes PPU - N59</t>
  </si>
  <si>
    <t>SOM Taunton 2</t>
  </si>
  <si>
    <t>Newport - Team 1</t>
  </si>
  <si>
    <t>Kidderminster - N52</t>
  </si>
  <si>
    <t>EXN-North East Essex OM1</t>
  </si>
  <si>
    <t>BEX 2</t>
  </si>
  <si>
    <t>Gateshead 2</t>
  </si>
  <si>
    <t>Liverpool South 5</t>
  </si>
  <si>
    <t>Milton Keynes Women - N59</t>
  </si>
  <si>
    <t>SOM Yeovil</t>
  </si>
  <si>
    <t>Newport - Team 2</t>
  </si>
  <si>
    <t>Redditch - N52</t>
  </si>
  <si>
    <t>EXN-West Essex OM1</t>
  </si>
  <si>
    <t>BRE 3</t>
  </si>
  <si>
    <t>Gateshead LMC</t>
  </si>
  <si>
    <t>Liverpool South IOM</t>
  </si>
  <si>
    <t>Network Developer</t>
  </si>
  <si>
    <t>SOM Yeovil 2</t>
  </si>
  <si>
    <t>Newport - Team 3</t>
  </si>
  <si>
    <t>Worcester - N52</t>
  </si>
  <si>
    <t>EXS-Felmores AP</t>
  </si>
  <si>
    <t>BRE 4</t>
  </si>
  <si>
    <t>Hartlepool - N54</t>
  </si>
  <si>
    <t>Merseyside Resettle</t>
  </si>
  <si>
    <t>New Forest, Eastleigh</t>
  </si>
  <si>
    <t>Unallocated Team(N58)</t>
  </si>
  <si>
    <t>NPS - Newport - Team 9</t>
  </si>
  <si>
    <t>Birmingham 1</t>
  </si>
  <si>
    <t>EXS-SEE and Southend OM1</t>
  </si>
  <si>
    <t>Brent</t>
  </si>
  <si>
    <t>Hub Practitioner</t>
  </si>
  <si>
    <t>Blackpool 1</t>
  </si>
  <si>
    <t>North Community Orders - N59</t>
  </si>
  <si>
    <t>Weymouth, Poole OM and Ass</t>
  </si>
  <si>
    <t>Inactive Team(N03)</t>
  </si>
  <si>
    <t>Birmingham 2</t>
  </si>
  <si>
    <t>EXS-SEE and Southend OM2</t>
  </si>
  <si>
    <t>BRO 1 - N07</t>
  </si>
  <si>
    <t>Inactive Team(N54)</t>
  </si>
  <si>
    <t>Blackpool 2</t>
  </si>
  <si>
    <t>North Engagement - N59</t>
  </si>
  <si>
    <t>WTS Chippenham</t>
  </si>
  <si>
    <t>Conwy - Team 1</t>
  </si>
  <si>
    <t>Birmingham 3</t>
  </si>
  <si>
    <t>EXS-South Essex OM</t>
  </si>
  <si>
    <t>BRO 2</t>
  </si>
  <si>
    <t>Middlesbrough - N54</t>
  </si>
  <si>
    <t>Blackpool 3</t>
  </si>
  <si>
    <t>North Resettlement - N59</t>
  </si>
  <si>
    <t>WTS Chippenham 2</t>
  </si>
  <si>
    <t>Denbighshire - Team 1</t>
  </si>
  <si>
    <t>Birmingham 4</t>
  </si>
  <si>
    <t>EXS-Thurrock OM</t>
  </si>
  <si>
    <t>Bromley Service Centre</t>
  </si>
  <si>
    <t>Middlesbrough OMU2</t>
  </si>
  <si>
    <t>Lancaster</t>
  </si>
  <si>
    <t>North Women - N59</t>
  </si>
  <si>
    <t>WTS Salisbury</t>
  </si>
  <si>
    <t>Flintshire - Team 1</t>
  </si>
  <si>
    <t>Birmingham IOM Team</t>
  </si>
  <si>
    <t>Extremism Unit EE</t>
  </si>
  <si>
    <t>CAI 1 - N07</t>
  </si>
  <si>
    <t>NBR Gateshead LMC - N54</t>
  </si>
  <si>
    <t>Sefton 2</t>
  </si>
  <si>
    <t>NPS Aldershot, Farnborough - N59</t>
  </si>
  <si>
    <t>WTS Salisbury 2</t>
  </si>
  <si>
    <t>Gwynedd - Team 1</t>
  </si>
  <si>
    <t>Birmingham Young Adults</t>
  </si>
  <si>
    <t>HFS- Accredited Programmes</t>
  </si>
  <si>
    <t>CAI 2 - N07</t>
  </si>
  <si>
    <t>NBR Newcastle LMC - N54</t>
  </si>
  <si>
    <t>Sefton 3</t>
  </si>
  <si>
    <t>NPS Andover, Basingstoke, Winchester - N59</t>
  </si>
  <si>
    <t>WTS Swindon 1</t>
  </si>
  <si>
    <t>North Wales - Central IOM STC Team</t>
  </si>
  <si>
    <t>Womens Team</t>
  </si>
  <si>
    <t>HFS-East Herts - N56</t>
  </si>
  <si>
    <t>CAI 3</t>
  </si>
  <si>
    <t>NBR North Tyneside LMC - N54</t>
  </si>
  <si>
    <t>Sefton 4</t>
  </si>
  <si>
    <t>NPS Havant, Fareham - N59</t>
  </si>
  <si>
    <t>WTS Swindon 3</t>
  </si>
  <si>
    <t>North Wales - West IOM STC Team</t>
  </si>
  <si>
    <t>Black Country Women's Team</t>
  </si>
  <si>
    <t>HFS-East Herts OM2</t>
  </si>
  <si>
    <t>CAI 4</t>
  </si>
  <si>
    <t>NBR Northumberland LMC - N54</t>
  </si>
  <si>
    <t>Sefton IOM</t>
  </si>
  <si>
    <t>NPS New Forest, Eastleigh - N59</t>
  </si>
  <si>
    <t>ZZ_Awaiting Reassignment - N58</t>
  </si>
  <si>
    <t>Wrexham - Team 1</t>
  </si>
  <si>
    <t>Black Country Central</t>
  </si>
  <si>
    <t>HFS-IOM</t>
  </si>
  <si>
    <t>CAI 5</t>
  </si>
  <si>
    <t>NBR South Tyneside LMC - N54</t>
  </si>
  <si>
    <t>Merseyside Womens Services</t>
  </si>
  <si>
    <t>NPS Southampton OM Team 1 - N59</t>
  </si>
  <si>
    <t>Ynys Mon - Team 1</t>
  </si>
  <si>
    <t>Black Country Community Hub</t>
  </si>
  <si>
    <t>HFS-Mid Herts - N56</t>
  </si>
  <si>
    <t>CAI 6</t>
  </si>
  <si>
    <t>NBR Sunderland LMC - N54</t>
  </si>
  <si>
    <t>Wirral 1</t>
  </si>
  <si>
    <t>NPS Southampton OM Team 2 - N59</t>
  </si>
  <si>
    <t>Awaiting Allocation Swansea Neath PT</t>
  </si>
  <si>
    <t>Dudley</t>
  </si>
  <si>
    <t>HFS-North Herts - N56</t>
  </si>
  <si>
    <t>CP North East 1 - N07</t>
  </si>
  <si>
    <t>NBR UPW Hub Practitioner - N54</t>
  </si>
  <si>
    <t>Wirral 2</t>
  </si>
  <si>
    <t>Operational Support Team</t>
  </si>
  <si>
    <t>Swansea - Team 1</t>
  </si>
  <si>
    <t>Sandwell</t>
  </si>
  <si>
    <t>HFS-North Herts OM2</t>
  </si>
  <si>
    <t>CP North East 2 - N07</t>
  </si>
  <si>
    <t>Newcastle LMC</t>
  </si>
  <si>
    <t>Wirral 3</t>
  </si>
  <si>
    <t>Other Third Party EM Supervision - N59</t>
  </si>
  <si>
    <t>Swansea - Team 2</t>
  </si>
  <si>
    <t>Walsall - C11</t>
  </si>
  <si>
    <t>HFS-Partner Link</t>
  </si>
  <si>
    <t>CP North East Legacy Caseload - N07</t>
  </si>
  <si>
    <t>Newcastle OMU2</t>
  </si>
  <si>
    <t>Wirral 4</t>
  </si>
  <si>
    <t>Oxford PPU</t>
  </si>
  <si>
    <t>Swansea - Team 3</t>
  </si>
  <si>
    <t>Wolverhampton</t>
  </si>
  <si>
    <t>HFS-South and West Herts - N56</t>
  </si>
  <si>
    <t>CP South 1 - N07</t>
  </si>
  <si>
    <t>Newcastle OMU3</t>
  </si>
  <si>
    <t>Wirral 5</t>
  </si>
  <si>
    <t>Oxfordshire Male</t>
  </si>
  <si>
    <t>Swansea - Team 4</t>
  </si>
  <si>
    <t>Coventry Interventions Team</t>
  </si>
  <si>
    <t>HFS-South and West Herts OM2</t>
  </si>
  <si>
    <t>CP South 2 - N07</t>
  </si>
  <si>
    <t>Newton Aycliffe</t>
  </si>
  <si>
    <t>Wirral 6</t>
  </si>
  <si>
    <t>Oxon ACE - N59</t>
  </si>
  <si>
    <t>Swansea - Team 5</t>
  </si>
  <si>
    <t>Coventry IOM-SMU</t>
  </si>
  <si>
    <t>HFS-Str Interventions</t>
  </si>
  <si>
    <t>CP South Legacy Caseload - N07</t>
  </si>
  <si>
    <t>North Tyneside</t>
  </si>
  <si>
    <t>Oxon Male 1 - N59</t>
  </si>
  <si>
    <t>Swansea - Team 6</t>
  </si>
  <si>
    <t>Solihull Early Interventions 4 CRC</t>
  </si>
  <si>
    <t>HFS-UPW Proj Chesnut</t>
  </si>
  <si>
    <t>CP West 1 - N07</t>
  </si>
  <si>
    <t>North Tyneside LMC</t>
  </si>
  <si>
    <t>Oxon Male 2 - N59</t>
  </si>
  <si>
    <t>Unallocated Team(N03)</t>
  </si>
  <si>
    <t>Solihull IOM CRC - C11</t>
  </si>
  <si>
    <t>HFS-UPW Proj Hemel Hempstead</t>
  </si>
  <si>
    <t>CP West 2 - N07</t>
  </si>
  <si>
    <t>Northumberland</t>
  </si>
  <si>
    <t>Oxon Women - N59</t>
  </si>
  <si>
    <t>IOM Stafford CRC</t>
  </si>
  <si>
    <t>HFS-UPW Proj St Albans</t>
  </si>
  <si>
    <t>CP West Legacy Caseload - N07</t>
  </si>
  <si>
    <t>Northumberland LMC</t>
  </si>
  <si>
    <t>P3 Team</t>
  </si>
  <si>
    <t>Stafford CRC - C11</t>
  </si>
  <si>
    <t>HFS-UPW Proj Stevenage</t>
  </si>
  <si>
    <t>CRO 1 - N07</t>
  </si>
  <si>
    <t>Peterlee</t>
  </si>
  <si>
    <t>Portsmouth and Isle of Wight OM Team 1 - N59</t>
  </si>
  <si>
    <t>Tamworth CRC</t>
  </si>
  <si>
    <t>HFS-UPW SA OM1</t>
  </si>
  <si>
    <t>CRO 2 - N07</t>
  </si>
  <si>
    <t>South Bank - N54</t>
  </si>
  <si>
    <t>Portsmouth and Isle of Wight OM Team 2 - N59</t>
  </si>
  <si>
    <t>Hanley Team 1</t>
  </si>
  <si>
    <t>HFS-UPW Supervisors</t>
  </si>
  <si>
    <t>CRO 3</t>
  </si>
  <si>
    <t>South Tyneside</t>
  </si>
  <si>
    <t>Programmes TV</t>
  </si>
  <si>
    <t>Hanley Team 2 - Leek</t>
  </si>
  <si>
    <t>Inactive Team(N56)</t>
  </si>
  <si>
    <t>CRO 4</t>
  </si>
  <si>
    <t>South Tyneside LMC</t>
  </si>
  <si>
    <t>PSC Allocation - N59</t>
  </si>
  <si>
    <t>IOM North - Stoke CRC</t>
  </si>
  <si>
    <t>NFK-Accredited Program</t>
  </si>
  <si>
    <t>CRO 5</t>
  </si>
  <si>
    <t>Stockton</t>
  </si>
  <si>
    <t>Reading OM1 - N59</t>
  </si>
  <si>
    <t>CP - Birmingham</t>
  </si>
  <si>
    <t>NFK-King's Lynn OM2</t>
  </si>
  <si>
    <t>CRO 6</t>
  </si>
  <si>
    <t>Sunderland LMC</t>
  </si>
  <si>
    <t>Reading OM2 - N59</t>
  </si>
  <si>
    <t>CP - Coventry</t>
  </si>
  <si>
    <t>NFK-Mainstream</t>
  </si>
  <si>
    <t>EAL 1 - N07</t>
  </si>
  <si>
    <t>Sunderland North</t>
  </si>
  <si>
    <t>Reading OM3</t>
  </si>
  <si>
    <t>CP - Staffordshire</t>
  </si>
  <si>
    <t>NFK-Norwich - N56</t>
  </si>
  <si>
    <t>EAL 2 - N07</t>
  </si>
  <si>
    <t>Sunderland South</t>
  </si>
  <si>
    <t>Slough OM1</t>
  </si>
  <si>
    <t>CP - Tamworth</t>
  </si>
  <si>
    <t>NFK-Partner Link</t>
  </si>
  <si>
    <t>EAL 4</t>
  </si>
  <si>
    <t>Unallocated Team(N02) - N54</t>
  </si>
  <si>
    <t>Slough OM2</t>
  </si>
  <si>
    <t>CP - Black Country North</t>
  </si>
  <si>
    <t>NFK-Resetllement OM</t>
  </si>
  <si>
    <t>EAL 5</t>
  </si>
  <si>
    <t>Unallocated Team(N54)</t>
  </si>
  <si>
    <t>Southampton OM Team 1</t>
  </si>
  <si>
    <t>CP - Black Country South</t>
  </si>
  <si>
    <t>NFK-Resettlement</t>
  </si>
  <si>
    <t>EHH PQIP</t>
  </si>
  <si>
    <t>Southampton OM Team 2</t>
  </si>
  <si>
    <t>Inactive Team(N52)</t>
  </si>
  <si>
    <t>NFK-SA UPW OM1</t>
  </si>
  <si>
    <t>ENF 3</t>
  </si>
  <si>
    <t>TV Allocation Hub</t>
  </si>
  <si>
    <t>Unallocated Team(N52)</t>
  </si>
  <si>
    <t>NFK-Str Interventions</t>
  </si>
  <si>
    <t>ENF 4</t>
  </si>
  <si>
    <t>TV Corporate Team - N59</t>
  </si>
  <si>
    <t>Birmingham 1 Centre City</t>
  </si>
  <si>
    <t>NFK-UPW Proj King's</t>
  </si>
  <si>
    <t>Enfield</t>
  </si>
  <si>
    <t>TVCorporate Team</t>
  </si>
  <si>
    <t>Birmingham 2 Centre City</t>
  </si>
  <si>
    <t>NFK-UPW Proj Norwich</t>
  </si>
  <si>
    <t>FOREIGN NATIONALS UNIT</t>
  </si>
  <si>
    <t>Unallocated Team(C16)</t>
  </si>
  <si>
    <t>Birmingham 3 Centre City</t>
  </si>
  <si>
    <t>NFK-UPW Supervision</t>
  </si>
  <si>
    <t>GRE 1 - N07</t>
  </si>
  <si>
    <t>Unallocated Team(N59)</t>
  </si>
  <si>
    <t>Birmingham 4 Centre City</t>
  </si>
  <si>
    <t>NS Executive Team</t>
  </si>
  <si>
    <t>GRE 2</t>
  </si>
  <si>
    <t>UPW North Hub - C16</t>
  </si>
  <si>
    <t>IOM Birmingham 2</t>
  </si>
  <si>
    <t>NTH-Accredited Programmes</t>
  </si>
  <si>
    <t>GRE 3</t>
  </si>
  <si>
    <t>UPW North Hub - N59</t>
  </si>
  <si>
    <t>Birmingham MC Staff - N52</t>
  </si>
  <si>
    <t>NTH-Kettering OM2</t>
  </si>
  <si>
    <t>HAC 1 - N07</t>
  </si>
  <si>
    <t>UPW South Hub - C16</t>
  </si>
  <si>
    <t xml:space="preserve">Birmingham Womens Team </t>
  </si>
  <si>
    <t>NTH-Mentors</t>
  </si>
  <si>
    <t>HAC 2 - N07</t>
  </si>
  <si>
    <t>UPW South Hub - N59</t>
  </si>
  <si>
    <t>Birmingham Young Adults Team</t>
  </si>
  <si>
    <t>NTH-Northampton - N56</t>
  </si>
  <si>
    <t>HAC 3</t>
  </si>
  <si>
    <t>West Berks ACE - N59</t>
  </si>
  <si>
    <t>Solihull 2</t>
  </si>
  <si>
    <t>NTH-Northampton OM2</t>
  </si>
  <si>
    <t>HAC 4</t>
  </si>
  <si>
    <t>West Berks Male - N59</t>
  </si>
  <si>
    <t>Solihull IOM</t>
  </si>
  <si>
    <t>NTH-Partner Link</t>
  </si>
  <si>
    <t>HAF 1 - N07</t>
  </si>
  <si>
    <t>West Berks Women - N59</t>
  </si>
  <si>
    <t>Coventry 2</t>
  </si>
  <si>
    <t>NTH-Resettlement OM</t>
  </si>
  <si>
    <t>HAF 2</t>
  </si>
  <si>
    <t>West Community Orders - N59</t>
  </si>
  <si>
    <t>Coventry IOM</t>
  </si>
  <si>
    <t>NTH-Str Interventions</t>
  </si>
  <si>
    <t>HAR 1</t>
  </si>
  <si>
    <t>West Engagement - N59</t>
  </si>
  <si>
    <t>Black Country Community Hub - N52</t>
  </si>
  <si>
    <t>NTH-UPW Proj Kettering</t>
  </si>
  <si>
    <t>HAR 2</t>
  </si>
  <si>
    <t>West Resettlement - N59</t>
  </si>
  <si>
    <t>Dudley Team 3</t>
  </si>
  <si>
    <t>NTH-UPW Proj Northampton</t>
  </si>
  <si>
    <t>HAR 3 - N07</t>
  </si>
  <si>
    <t>West Women - N59</t>
  </si>
  <si>
    <t>IOM Dudley and Sandwell</t>
  </si>
  <si>
    <t>NTH-UPW Proj Wellingborough</t>
  </si>
  <si>
    <t>HFKCW 1</t>
  </si>
  <si>
    <t>ZZ_Awaiting Reassignment - N59</t>
  </si>
  <si>
    <t>Sandwell Team 5</t>
  </si>
  <si>
    <t>NTH-UPW SA OM1</t>
  </si>
  <si>
    <t>HFKCW 2</t>
  </si>
  <si>
    <t>Hereford 2</t>
  </si>
  <si>
    <t>NTH-UPW Supervisors</t>
  </si>
  <si>
    <t>HFKCW 3</t>
  </si>
  <si>
    <t>Shrewsbury 2</t>
  </si>
  <si>
    <t>NTH-Wellingborough - N56</t>
  </si>
  <si>
    <t>HFKCW 4</t>
  </si>
  <si>
    <t>Telford 2</t>
  </si>
  <si>
    <t>NTH-Wellingborough OM2</t>
  </si>
  <si>
    <t>HIL 1 - N07</t>
  </si>
  <si>
    <t>IOM Stoke</t>
  </si>
  <si>
    <t>SFK- Accredited Programmes</t>
  </si>
  <si>
    <t>HIL 2 - N07</t>
  </si>
  <si>
    <t>Stafford Team 2</t>
  </si>
  <si>
    <t>SFK Ipswich OM2</t>
  </si>
  <si>
    <t>HIL 3</t>
  </si>
  <si>
    <t>Staffordshire Community Hub - N52</t>
  </si>
  <si>
    <t>SFK Resettlement</t>
  </si>
  <si>
    <t>HIL 4</t>
  </si>
  <si>
    <t>Stoke Team 4</t>
  </si>
  <si>
    <t>SFK Resettlement OM</t>
  </si>
  <si>
    <t>Hmp Belmarsh</t>
  </si>
  <si>
    <t>Stoke Team 5</t>
  </si>
  <si>
    <t>SFK-Bury St Edmunds</t>
  </si>
  <si>
    <t>Hmp Downview</t>
  </si>
  <si>
    <t>Tamworth - N52</t>
  </si>
  <si>
    <t>SFK-Ipswich</t>
  </si>
  <si>
    <t>HOU 1 - N07</t>
  </si>
  <si>
    <t>UPW Birmingham</t>
  </si>
  <si>
    <t>SFK-Lowestoft</t>
  </si>
  <si>
    <t>HOU 2</t>
  </si>
  <si>
    <t>UPW Black Country North</t>
  </si>
  <si>
    <t>SFK-Mainstream</t>
  </si>
  <si>
    <t>HRW 1 - N07</t>
  </si>
  <si>
    <t>UPW Black Country South</t>
  </si>
  <si>
    <t>SFK-Mentors</t>
  </si>
  <si>
    <t>HRW 3</t>
  </si>
  <si>
    <t>UPW Coventry</t>
  </si>
  <si>
    <t>SFK-Partner Link</t>
  </si>
  <si>
    <t>Inactive Team(N07)</t>
  </si>
  <si>
    <t>UPW Herefordshire - N52</t>
  </si>
  <si>
    <t>SFK-SA UPW OM1</t>
  </si>
  <si>
    <t>KAR 1 - N07</t>
  </si>
  <si>
    <t>UPW Staffordshire</t>
  </si>
  <si>
    <t>SFK-Str Interventions</t>
  </si>
  <si>
    <t>KAR 3</t>
  </si>
  <si>
    <t>UPW Tamworth</t>
  </si>
  <si>
    <t>SFK-UPW Proj Ipswich</t>
  </si>
  <si>
    <t>KCW 1 - N07</t>
  </si>
  <si>
    <t>UPW Telford and Shropshire</t>
  </si>
  <si>
    <t>SFK-UPW Supervisior</t>
  </si>
  <si>
    <t>KCW 4</t>
  </si>
  <si>
    <t>UPW Warwickshire - N52</t>
  </si>
  <si>
    <t>SKF-Bury St Edmunds</t>
  </si>
  <si>
    <t>KCW 5</t>
  </si>
  <si>
    <t>UPW Worcestershire - N52</t>
  </si>
  <si>
    <t>SKF-Lowestroft OM2</t>
  </si>
  <si>
    <t>LAM 1 - N07</t>
  </si>
  <si>
    <t>Black Country Women's Team - N52</t>
  </si>
  <si>
    <t>SKF-Partner Link</t>
  </si>
  <si>
    <t>LAM 2 - N07</t>
  </si>
  <si>
    <t>Walsall Team 3</t>
  </si>
  <si>
    <t>Unallocated Team(N56)</t>
  </si>
  <si>
    <t>LAM 3</t>
  </si>
  <si>
    <t>Wolverhampton Team 4</t>
  </si>
  <si>
    <t>UPW Projects EE</t>
  </si>
  <si>
    <t>LAM 4</t>
  </si>
  <si>
    <t>Leamington 2</t>
  </si>
  <si>
    <t>LAM 5</t>
  </si>
  <si>
    <t>Nuneaton and Rugby 2</t>
  </si>
  <si>
    <t>LEW 1 - N07</t>
  </si>
  <si>
    <t>Redditch 2</t>
  </si>
  <si>
    <t>LEW 2 - N07</t>
  </si>
  <si>
    <t>Worcester 2</t>
  </si>
  <si>
    <t>LEW 3</t>
  </si>
  <si>
    <t>LEW 4</t>
  </si>
  <si>
    <t>Low Risk Resettlement East</t>
  </si>
  <si>
    <t>Low Risk Resettlement North</t>
  </si>
  <si>
    <t>Low Risk Resettlement South</t>
  </si>
  <si>
    <t>Low Risk Resettlement West</t>
  </si>
  <si>
    <t>MER 1</t>
  </si>
  <si>
    <t>MER2</t>
  </si>
  <si>
    <t>MER3</t>
  </si>
  <si>
    <t>NEW 1 - N07</t>
  </si>
  <si>
    <t>NEW 2 - N07</t>
  </si>
  <si>
    <t>NEW 3</t>
  </si>
  <si>
    <t>NEW 4</t>
  </si>
  <si>
    <t>NEW 5</t>
  </si>
  <si>
    <t>New Case Allocation London</t>
  </si>
  <si>
    <t>Other Third Party EM Supervision - N07</t>
  </si>
  <si>
    <t>RED 5</t>
  </si>
  <si>
    <t>RWF 1</t>
  </si>
  <si>
    <t>RWF 2</t>
  </si>
  <si>
    <t>RWF 3</t>
  </si>
  <si>
    <t>RWF 4</t>
  </si>
  <si>
    <t>SAC East - N07</t>
  </si>
  <si>
    <t>SAC North - N07</t>
  </si>
  <si>
    <t>SAC South - N07</t>
  </si>
  <si>
    <t>SAC West - N07</t>
  </si>
  <si>
    <t>SOU 1 - N07</t>
  </si>
  <si>
    <t>SOU 2 - N07</t>
  </si>
  <si>
    <t>SOU 3</t>
  </si>
  <si>
    <t>SOU 4</t>
  </si>
  <si>
    <t>SOU 5</t>
  </si>
  <si>
    <t>SUT 1</t>
  </si>
  <si>
    <t>TWR 1 - N07</t>
  </si>
  <si>
    <t>TWR 2 - N07</t>
  </si>
  <si>
    <t>TWR 3</t>
  </si>
  <si>
    <t>TWR 4</t>
  </si>
  <si>
    <t>Unallocated Team(N07)</t>
  </si>
  <si>
    <t>WAF 3</t>
  </si>
  <si>
    <t>WAN 1 - N07</t>
  </si>
  <si>
    <t>WAN 3</t>
  </si>
  <si>
    <t>WAN PQIP</t>
  </si>
  <si>
    <t>Willesden MC</t>
  </si>
  <si>
    <t>WSAC - N07</t>
  </si>
  <si>
    <t>ZZ_Awaiting Reassignment - N07</t>
  </si>
  <si>
    <t>Region</t>
  </si>
  <si>
    <t>sentence type</t>
  </si>
  <si>
    <t>cluster</t>
  </si>
  <si>
    <t>grade</t>
  </si>
  <si>
    <t>A0</t>
  </si>
  <si>
    <t>A1</t>
  </si>
  <si>
    <t>A2</t>
  </si>
  <si>
    <t>A3</t>
  </si>
  <si>
    <t>B0</t>
  </si>
  <si>
    <t>B1</t>
  </si>
  <si>
    <t>B2</t>
  </si>
  <si>
    <t>B3</t>
  </si>
  <si>
    <t>C0</t>
  </si>
  <si>
    <t>C1</t>
  </si>
  <si>
    <t>C2</t>
  </si>
  <si>
    <t>C3</t>
  </si>
  <si>
    <t>D0</t>
  </si>
  <si>
    <t>D1</t>
  </si>
  <si>
    <t>D2</t>
  </si>
  <si>
    <t>D3</t>
  </si>
  <si>
    <t>untiered</t>
  </si>
  <si>
    <t>overall</t>
  </si>
  <si>
    <t>PO</t>
  </si>
  <si>
    <t>PSO</t>
  </si>
  <si>
    <t>TPO</t>
  </si>
  <si>
    <t>SPO</t>
  </si>
  <si>
    <t>LDU cluster</t>
  </si>
  <si>
    <t>team</t>
  </si>
  <si>
    <t>offender manager</t>
  </si>
  <si>
    <t>grade code</t>
  </si>
  <si>
    <t>capacity percentage</t>
  </si>
  <si>
    <t>capacity points</t>
  </si>
  <si>
    <t>remaining points</t>
  </si>
  <si>
    <t>contracted hours</t>
  </si>
  <si>
    <t>reduction hours</t>
  </si>
  <si>
    <t>total cases</t>
  </si>
  <si>
    <t>CMS points</t>
  </si>
  <si>
    <t>CMS percentage</t>
  </si>
  <si>
    <t>Division</t>
  </si>
  <si>
    <t>Cluster</t>
  </si>
  <si>
    <t>PO capacity</t>
  </si>
  <si>
    <t>PSO capacity</t>
  </si>
  <si>
    <t>PO/PSO range</t>
  </si>
  <si>
    <t>PSO  CMS % of overall available capacity</t>
  </si>
  <si>
    <t>TPO CMS % of overall available</t>
  </si>
  <si>
    <t>Commumity Integration</t>
  </si>
  <si>
    <t>NPS West Midlands Region</t>
  </si>
  <si>
    <t>Public Protection Community - N52</t>
  </si>
  <si>
    <t>CPA Staffs and West Mids</t>
  </si>
  <si>
    <t>Birmingham Cluster</t>
  </si>
  <si>
    <t>Black Country - C11</t>
  </si>
  <si>
    <t>Coventry &amp; Solihull Cluster</t>
  </si>
  <si>
    <t>Dudley &amp; Sandwell Cluster</t>
  </si>
  <si>
    <t>Staffordshire Cluster</t>
  </si>
  <si>
    <t>Unpaid Work - C11</t>
  </si>
  <si>
    <t>CPA Warwickshire and West Mercia</t>
  </si>
  <si>
    <t>Warwickshire - C12</t>
  </si>
  <si>
    <t>West Mercia - C12</t>
  </si>
  <si>
    <t>reason</t>
  </si>
  <si>
    <t>hours</t>
  </si>
  <si>
    <t>start date</t>
  </si>
  <si>
    <t>end date</t>
  </si>
  <si>
    <t>status</t>
  </si>
  <si>
    <t>additional notes</t>
  </si>
  <si>
    <t>Disability</t>
  </si>
  <si>
    <t>PQiP21 6-18</t>
  </si>
  <si>
    <t>NQO</t>
  </si>
  <si>
    <t>PQiP21 0-6</t>
  </si>
  <si>
    <t>Trade Union Facility Time</t>
  </si>
  <si>
    <t>VQ3</t>
  </si>
  <si>
    <t>Mentoring-early 1</t>
  </si>
  <si>
    <t>Long Term Sickness Absence</t>
  </si>
  <si>
    <t>PQiP15 6-12</t>
  </si>
  <si>
    <t>Phased Return to Work</t>
  </si>
  <si>
    <t>Learning &amp; Development</t>
  </si>
  <si>
    <t>PQiP15 12-15</t>
  </si>
  <si>
    <t>MARAC SPOC</t>
  </si>
  <si>
    <t>Mentoring-mid 1</t>
  </si>
  <si>
    <t>Other</t>
  </si>
  <si>
    <t>Mentoring-mid 2</t>
  </si>
  <si>
    <t>PSO PQiP 5-9 mths</t>
  </si>
  <si>
    <t>Co-Worked Cases</t>
  </si>
  <si>
    <t>Split Role</t>
  </si>
  <si>
    <t>MARAC</t>
  </si>
  <si>
    <t>PQiP15 0-6</t>
  </si>
  <si>
    <t>PSO Learning &amp; Development</t>
  </si>
  <si>
    <t>Court Duty</t>
  </si>
  <si>
    <t>Maternity Leave</t>
  </si>
  <si>
    <t>Wellbeing/Work-life balance</t>
  </si>
  <si>
    <t>Pre Sentence Reports – Court Duty / Sessional</t>
  </si>
  <si>
    <t>PQiP21 18-21</t>
  </si>
  <si>
    <t>PSO PQiP 10-13 mths</t>
  </si>
  <si>
    <t>Pregnancy</t>
  </si>
  <si>
    <t>PSO PQiP 0-4mths</t>
  </si>
  <si>
    <t>Groups (Induction)</t>
  </si>
  <si>
    <t>Wales Pilot Only - Short Term Sentences</t>
  </si>
  <si>
    <t>national frequency of applied active caseload reductions</t>
  </si>
  <si>
    <t>reduction reason</t>
  </si>
  <si>
    <t>NPS wide reduction in hours</t>
  </si>
  <si>
    <t>% of total reduction in hours</t>
  </si>
  <si>
    <t>Adoption Leave</t>
  </si>
  <si>
    <t>Groups (Group supervision)</t>
  </si>
  <si>
    <t>Level 4 and Level 5 Access</t>
  </si>
  <si>
    <t>Mentoring-Early 2</t>
  </si>
  <si>
    <t>Mentoring -Mid 2</t>
  </si>
  <si>
    <t>Mentoring-Early 3</t>
  </si>
  <si>
    <t>Mentoring-Mid 3</t>
  </si>
  <si>
    <t>OM Custody</t>
  </si>
  <si>
    <t>Other Paid Leave (e.g. Jury Service)</t>
  </si>
  <si>
    <t>Other Unpaid Leave</t>
  </si>
  <si>
    <t>Pre Sentence Reports â€“ Court Duty / Sessional</t>
  </si>
  <si>
    <t xml:space="preserve">PQiP21 18-21 </t>
  </si>
  <si>
    <t>Special Leave</t>
  </si>
  <si>
    <t>SPOC Lead</t>
  </si>
  <si>
    <t>Total frequency of active caseload reductions nationally</t>
  </si>
  <si>
    <t>Grand Total Hours</t>
  </si>
  <si>
    <t xml:space="preserve">Frequently Asked Questions
</t>
  </si>
  <si>
    <t xml:space="preserve">                   Regional Overview
</t>
  </si>
  <si>
    <t>Please select your region in the cell below:</t>
  </si>
  <si>
    <t>OM capacity in use</t>
  </si>
  <si>
    <t>PO capacity in use</t>
  </si>
  <si>
    <t>PSO capacity in use</t>
  </si>
  <si>
    <t>TPO capacity in use</t>
  </si>
  <si>
    <t>all OM capacity in use</t>
  </si>
  <si>
    <t>PSO CMS % of capacity  in use (see FAQ page)</t>
  </si>
  <si>
    <t>PSO  CMS % of overall available capacity (see FAQ page)</t>
  </si>
  <si>
    <t>TPO CMS % of capacity  in use (see FAQ page)</t>
  </si>
  <si>
    <t>TPO CMS % of overall capacity (see FAQ page)</t>
  </si>
  <si>
    <t>NPS average</t>
  </si>
  <si>
    <t>variance</t>
  </si>
  <si>
    <t>capacity over 110% and under 90%</t>
  </si>
  <si>
    <t>total POs present on WMT</t>
  </si>
  <si>
    <t>frequency of POs above 110% capacity</t>
  </si>
  <si>
    <t>percentage of POs above 110% capacity</t>
  </si>
  <si>
    <t>total PSOs present on WMT</t>
  </si>
  <si>
    <t>frequency of PSOs above 110% capacity</t>
  </si>
  <si>
    <t>percentage of PSOs above 110% capacity</t>
  </si>
  <si>
    <t>frequency of PSOs below 90% capacity</t>
  </si>
  <si>
    <t>percentage of PSOs below 90% capacity</t>
  </si>
  <si>
    <t>total TPOs present on WMT</t>
  </si>
  <si>
    <t>frequency of TPOs above 110% capacity</t>
  </si>
  <si>
    <t>percentage of TPOs above 110% capacity</t>
  </si>
  <si>
    <t>NPS total</t>
  </si>
  <si>
    <t>N/A</t>
  </si>
  <si>
    <t>unallocated cases</t>
  </si>
  <si>
    <t>held by SPOs</t>
  </si>
  <si>
    <t>held by 'DMY' profiles</t>
  </si>
  <si>
    <t>Sum of 'DMY' and profiles held by SPOs</t>
  </si>
  <si>
    <t>total cases overall</t>
  </si>
  <si>
    <t>SUM of 'DMY' and SPO held profiles  as % of total cases</t>
  </si>
  <si>
    <t>untiered cases</t>
  </si>
  <si>
    <t>reductions as % of contract hours</t>
  </si>
  <si>
    <t>PO contract hours</t>
  </si>
  <si>
    <t xml:space="preserve">PO reduction hours </t>
  </si>
  <si>
    <t>PO reductions as % of contract hours</t>
  </si>
  <si>
    <t>PSO contract hours</t>
  </si>
  <si>
    <t xml:space="preserve">PSO reduction hours </t>
  </si>
  <si>
    <t>PSO reductions as % of contract hours</t>
  </si>
  <si>
    <t>TPO contract hours</t>
  </si>
  <si>
    <t xml:space="preserve">TPO reduction hours </t>
  </si>
  <si>
    <t>TPO reductions as % of contract hours</t>
  </si>
  <si>
    <t>NPS</t>
  </si>
  <si>
    <t>division level applied active caseload reductions</t>
  </si>
  <si>
    <t>division reductions summary</t>
  </si>
  <si>
    <t>reason for reduction</t>
  </si>
  <si>
    <t>frequency of application of reduction</t>
  </si>
  <si>
    <t>hours of reduction applied by reason</t>
  </si>
  <si>
    <t>total frequency of applied reductions within division</t>
  </si>
  <si>
    <t>total division reduction in hours</t>
  </si>
  <si>
    <t>total division contracted hours</t>
  </si>
  <si>
    <t>reduction as % of total division contract hours</t>
  </si>
  <si>
    <t>variance on national reductions as % of contract hours</t>
  </si>
  <si>
    <t>Mentoring-Mid 2</t>
  </si>
  <si>
    <t>Pre Sentence Reports ‚Äì Court Duty / Sessional</t>
  </si>
  <si>
    <t>total cases within the division by tier and sentence type</t>
  </si>
  <si>
    <t>custody</t>
  </si>
  <si>
    <t>licence</t>
  </si>
  <si>
    <t>community</t>
  </si>
  <si>
    <t>ratio of total cases within the division by tier and sentence type</t>
  </si>
  <si>
    <t>tiering assumptions of caseload by percent</t>
  </si>
  <si>
    <t>Role</t>
  </si>
  <si>
    <t>PSO &amp; TPO (combined)</t>
  </si>
  <si>
    <t>allocation of community order/SSO cases by grade</t>
  </si>
  <si>
    <t>divisional allocation of community cases by grade as percentage</t>
  </si>
  <si>
    <t>staff grade</t>
  </si>
  <si>
    <t>allocation of licence cases by grade</t>
  </si>
  <si>
    <t>divisional allocation of licence cases by grade as percentage</t>
  </si>
  <si>
    <t>allocation of custody cases by grade</t>
  </si>
  <si>
    <t>divisional allocation of custody cases by grade as percentage</t>
  </si>
  <si>
    <t>overall allocation of cases by grade</t>
  </si>
  <si>
    <t xml:space="preserve"> divisional overall allocation of cases by grade as percentage</t>
  </si>
  <si>
    <t xml:space="preserve">                  PDU Overview
</t>
  </si>
  <si>
    <t>Please select your region in the cell below, and your cluster in the box below that:</t>
  </si>
  <si>
    <t>PSO CMS % of capacity in use (see FAQ page)</t>
  </si>
  <si>
    <t>held by unallocated profiles</t>
  </si>
  <si>
    <t>total cases that require allocation</t>
  </si>
  <si>
    <t>unallocated cases as % of total cases</t>
  </si>
  <si>
    <t xml:space="preserve">untiered cases </t>
  </si>
  <si>
    <t>cluster level applied active caseload reductions</t>
  </si>
  <si>
    <t>cluster reductions summary</t>
  </si>
  <si>
    <t>total frequency of applied reductions within cluster</t>
  </si>
  <si>
    <t>total cluster reduction in hours</t>
  </si>
  <si>
    <t>total cluster contracted hours</t>
  </si>
  <si>
    <t>reductions as % of total cluster contract hours</t>
  </si>
  <si>
    <t>total cases within the cluster by tier and sentence type</t>
  </si>
  <si>
    <t>Overall</t>
  </si>
  <si>
    <t>ratio of total cases within the cluster by tier and sentence type</t>
  </si>
  <si>
    <t>cluster allocation of community cases by grade as percentage</t>
  </si>
  <si>
    <t>cluster allocation of licence cases by grade as percentage</t>
  </si>
  <si>
    <t>C$luster alloC$ation of C$ustody C$ases by grade as perC$entage</t>
  </si>
  <si>
    <t xml:space="preserve"> C$luster overall alloC$ation of C$ases by grade as perC$entage</t>
  </si>
  <si>
    <t xml:space="preserve"> Team Overview
</t>
  </si>
  <si>
    <t>Please select your region in the cell below, and your team in the box below that:</t>
  </si>
  <si>
    <t>`</t>
  </si>
  <si>
    <t>team level applied active caseload reductions</t>
  </si>
  <si>
    <t>team reductions summary</t>
  </si>
  <si>
    <t>total frequency of applied reductions within team</t>
  </si>
  <si>
    <t>total team reduction in hours</t>
  </si>
  <si>
    <t>total team contracted hours</t>
  </si>
  <si>
    <t>reductions as % of total team contract hours</t>
  </si>
  <si>
    <t>t</t>
  </si>
  <si>
    <t>overall caseload allocation by grade</t>
  </si>
  <si>
    <t>overall caseload allocation by grade as percentage</t>
  </si>
  <si>
    <t>region</t>
  </si>
  <si>
    <t>role</t>
  </si>
  <si>
    <t>total</t>
  </si>
  <si>
    <t>total (including unallocated cases)</t>
  </si>
  <si>
    <t>allocation of cases in the community by grade</t>
  </si>
  <si>
    <t>allocation of cases in the community by grade as percentage</t>
  </si>
  <si>
    <t>allocation of cases in custody by grade</t>
  </si>
  <si>
    <t>allocation of cases in custody by grade as percentage</t>
  </si>
  <si>
    <t xml:space="preserve">National Breakdown Ratios of Caseload Allocation by Tier
</t>
  </si>
  <si>
    <t>overall total cases within regions by tier</t>
  </si>
  <si>
    <t>overall total cases within regions by tier as percentage</t>
  </si>
  <si>
    <t>total custody cases within regions by tier</t>
  </si>
  <si>
    <t>ratios of total custody cases within regions by tier</t>
  </si>
  <si>
    <t>total licence cases within regions by tier</t>
  </si>
  <si>
    <t>ratios of total licence cases within regions by tier</t>
  </si>
  <si>
    <t xml:space="preserve">South West </t>
  </si>
  <si>
    <t>total community cases within regions by tier</t>
  </si>
  <si>
    <t>ratios of total community cases within regions by tier</t>
  </si>
  <si>
    <t>Regional Overall Allocation of Cases</t>
  </si>
  <si>
    <t>total cases within cluster (including dummy officers):</t>
  </si>
  <si>
    <t>total cases within cluster including dummy officers):</t>
  </si>
  <si>
    <t>total cases within cluster (including dummy officers:</t>
  </si>
  <si>
    <t xml:space="preserve">Regional Overall Allocation of Cases as Percentage
</t>
  </si>
  <si>
    <t xml:space="preserve">Regional Allocation of Custody Cases
</t>
  </si>
  <si>
    <t>total custody cases within cluster (including dummy officers):</t>
  </si>
  <si>
    <t>total custody cases within cluster including dummy officers):</t>
  </si>
  <si>
    <t>Regional Allocation of Custody Cases as Percentage</t>
  </si>
  <si>
    <t xml:space="preserve">              Regional Allocation of Cases in the Community</t>
  </si>
  <si>
    <t>total cases in the community within cluster (including dummy officers):</t>
  </si>
  <si>
    <t>total cases in the community within cluster including dummy officers):</t>
  </si>
  <si>
    <t xml:space="preserve">Regional Allocation of Cases in the Community as Percentage
</t>
  </si>
  <si>
    <t>total cases in the community within cluster as percentage (including dummy officers):</t>
  </si>
  <si>
    <t>OM Capacity In Use</t>
  </si>
  <si>
    <t>national average</t>
  </si>
  <si>
    <t xml:space="preserve">  Cluster Level Capacities, Reduction of Hours and Unallocated Cases</t>
  </si>
  <si>
    <t>PDU</t>
  </si>
  <si>
    <t>PO capacity (in use)</t>
  </si>
  <si>
    <t>PSO capacity (in use)</t>
  </si>
  <si>
    <t>TPO capacity (in use)</t>
  </si>
  <si>
    <t>Midlands</t>
  </si>
  <si>
    <t>North East</t>
  </si>
  <si>
    <t>North West</t>
  </si>
  <si>
    <t>South East and Eastern</t>
  </si>
  <si>
    <t>South West and South Central</t>
  </si>
  <si>
    <t>total cluster POs present on WMT</t>
  </si>
  <si>
    <t>frequency of cluster POs above 110% capacity</t>
  </si>
  <si>
    <t>percentage of cluster POs above 110% capacity</t>
  </si>
  <si>
    <t>total cluster PSOs present on WMT</t>
  </si>
  <si>
    <t>frequency of cluster PSOs above 110% capacity</t>
  </si>
  <si>
    <t>percentage of cluster PSOs above 110% capacity</t>
  </si>
  <si>
    <t>frequency of cluster PSOs below 90% capacity</t>
  </si>
  <si>
    <t>percentage of cluster PSOs below 90% capacity</t>
  </si>
  <si>
    <t>total cluster TPOs present on WMT</t>
  </si>
  <si>
    <t>frequency of cluster TPOs above 110% capacity</t>
  </si>
  <si>
    <t>percentage of cluster TPOs above 110% capacity</t>
  </si>
  <si>
    <t>total active cases by cluster</t>
  </si>
  <si>
    <t>dummy officers</t>
  </si>
  <si>
    <t>cases held by dummy officers</t>
  </si>
  <si>
    <t>% of active cases held by dummy officers</t>
  </si>
  <si>
    <t>cases held by SPOs</t>
  </si>
  <si>
    <t>cases that require allocation as % of total</t>
  </si>
  <si>
    <t>PDU Top Ten Cluster OM Capacity Rankings</t>
  </si>
  <si>
    <t>highest capacity PO PDU</t>
  </si>
  <si>
    <t>lowest capacity PSO PDU</t>
  </si>
  <si>
    <t>PDU with greatest range between PO and PSO capacity (average PO capacity minus average PSO capacity)</t>
  </si>
  <si>
    <t>PDU with highest capacity of PSO CMS activity as percentage of overall available capacity (most use of PSO CMS)</t>
  </si>
  <si>
    <t>PDU with lowest capacity of PSO CMS activity as percentage of overall available capacity (least use of PSO CMS)</t>
  </si>
  <si>
    <t>PO to PSO capacity range</t>
  </si>
  <si>
    <t>capacity</t>
  </si>
  <si>
    <t>PDU with highest capacity of TPO CMS activity as percentage of overall available capacity (most use of TPO CMS)</t>
  </si>
  <si>
    <t>PDU with lowest capacity of TPO CMS activity as percentage of overall available capacity (least use of TPO CMS)</t>
  </si>
  <si>
    <t xml:space="preserve">  Over Capacity Offender Managers By Region</t>
  </si>
  <si>
    <t>incidence of PO grade staff over 110% capacity</t>
  </si>
  <si>
    <t>incidence of PSO grade staff over 110% capacity</t>
  </si>
  <si>
    <t>total region POs present on WMT</t>
  </si>
  <si>
    <t>percentage of region POs above 110% capacity</t>
  </si>
  <si>
    <t>region highest capacity individual PO</t>
  </si>
  <si>
    <t>total region PSOs present on WMT</t>
  </si>
  <si>
    <t>frequency of region PSOs above 110% capacity</t>
  </si>
  <si>
    <t>percentage of region PSOs over 110% capacity</t>
  </si>
  <si>
    <t>region highest capacity individual PSO</t>
  </si>
  <si>
    <t>incidence of TPO grade staff over 110% capacity</t>
  </si>
  <si>
    <t>incidence of PSO grade staff below 90% capacity</t>
  </si>
  <si>
    <t>total region TPOs present on WMT</t>
  </si>
  <si>
    <t>frequency of region TPOs above 110% capacity</t>
  </si>
  <si>
    <t>percentage of region TPOs over 110% capacity</t>
  </si>
  <si>
    <t>region highest capacity individual TPO</t>
  </si>
  <si>
    <t>frequency of region PSOs below 90% capacity</t>
  </si>
  <si>
    <t>percentage of region PSOs below 90% capacity</t>
  </si>
  <si>
    <t>Unallocated Cases</t>
  </si>
  <si>
    <t>other unallocated profiles</t>
  </si>
  <si>
    <t>total unallocated</t>
  </si>
  <si>
    <t>cases</t>
  </si>
  <si>
    <t>% of total</t>
  </si>
  <si>
    <t>NPS Regions Reasons for Reduction</t>
  </si>
  <si>
    <t>national number of applied active caseload reductions (top 15 displayed)</t>
  </si>
  <si>
    <t>national sum hours of applied active caseload reductions (top 15 displayed)</t>
  </si>
  <si>
    <t>as percentage of total reduction hours</t>
  </si>
  <si>
    <t>total number of top fifteen active caseload reductions as above</t>
  </si>
  <si>
    <t>total sum hours of top fifteen active caseload reductions as above</t>
  </si>
  <si>
    <t>total number of all active caseload reductions nationally</t>
  </si>
  <si>
    <t>total sum hours of all active caseload reductions nationally</t>
  </si>
  <si>
    <t>regional level - number of applied active caseload reductions</t>
  </si>
  <si>
    <t>regional level - hours of reduction by reason</t>
  </si>
  <si>
    <t>total regional contracted hours</t>
  </si>
  <si>
    <t>% of total regional contracted hours</t>
  </si>
  <si>
    <t>Cluster Reasons for Reduction</t>
  </si>
  <si>
    <t>Regional Reductions as % of Contracted Hours</t>
  </si>
  <si>
    <t>NPS Region</t>
  </si>
  <si>
    <t>totals</t>
  </si>
  <si>
    <t>reduction in hours</t>
  </si>
  <si>
    <t>reductions as % of contracted hours</t>
  </si>
  <si>
    <t>Caseload Data</t>
  </si>
  <si>
    <t>Allocation By Tier Data Last Updated</t>
  </si>
  <si>
    <t xml:space="preserve"> </t>
  </si>
  <si>
    <t xml:space="preserve">                          Capacity Data</t>
  </si>
  <si>
    <t xml:space="preserve">                                         Reductions Data</t>
  </si>
  <si>
    <t>East Midlands Region</t>
  </si>
  <si>
    <t>All East Midlands Region</t>
  </si>
  <si>
    <t>Kent Surrey Sussex Region</t>
  </si>
  <si>
    <t>All KSS</t>
  </si>
  <si>
    <t>Inactive Level 2(N57)</t>
  </si>
  <si>
    <t>All West Yorkshire</t>
  </si>
  <si>
    <t>Unpaid Work and Attendance Centres - N53</t>
  </si>
  <si>
    <t>Inactive Team(N53)</t>
  </si>
  <si>
    <t>Unallocated Team(N53)</t>
  </si>
  <si>
    <t>Derby City 2 - N53</t>
  </si>
  <si>
    <t>Derby City 3 - N53</t>
  </si>
  <si>
    <t>Derby City Hub - N53</t>
  </si>
  <si>
    <t>Derby City IOM 2 - N53</t>
  </si>
  <si>
    <t>Buxton 2 - N53</t>
  </si>
  <si>
    <t>Chesterfield 2 - N53</t>
  </si>
  <si>
    <t>County North 2 - N53</t>
  </si>
  <si>
    <t>Leicester City 4 - N53</t>
  </si>
  <si>
    <t>Leicester City 5 - N53</t>
  </si>
  <si>
    <t>Leicester Community Hub - N53</t>
  </si>
  <si>
    <t>Leicestershire Priority IOM 2 - N53</t>
  </si>
  <si>
    <t>Boston, Skegness and Spalding - N53</t>
  </si>
  <si>
    <t>Lincoln 2 - N53</t>
  </si>
  <si>
    <t>Nottingham City - N53</t>
  </si>
  <si>
    <t>Nottingham IOM - N53</t>
  </si>
  <si>
    <t>Bassetlaw 2 - N53</t>
  </si>
  <si>
    <t>Mansfield and Ashfield 2 - N53</t>
  </si>
  <si>
    <t>Newark &amp; Sherwood - N53</t>
  </si>
  <si>
    <t>Nottinghamshire PQiP</t>
  </si>
  <si>
    <t>CP Hub POD 4 - N53</t>
  </si>
  <si>
    <t>UPW Bassetlaw - N53</t>
  </si>
  <si>
    <t>UPW Buxton - N53</t>
  </si>
  <si>
    <t>UPW Chesterfield - N53</t>
  </si>
  <si>
    <t>UPW Derby - N53</t>
  </si>
  <si>
    <t>UPW Leicestershire - N53</t>
  </si>
  <si>
    <t>UPW Lincolnshire</t>
  </si>
  <si>
    <t>UPW Mansfield and Ashfield  - N53</t>
  </si>
  <si>
    <t>UPW Newark and Sherwood  - N53</t>
  </si>
  <si>
    <t>UPW Nottingham - N53</t>
  </si>
  <si>
    <t>ZZ_Awaiting Reassignment - N57</t>
  </si>
  <si>
    <t>SXE-Brighton 2 - N57</t>
  </si>
  <si>
    <t>SXE-Hastings 2 - N57</t>
  </si>
  <si>
    <t>KTE-Ashford - N57</t>
  </si>
  <si>
    <t>KTE-Ramsgate - N57</t>
  </si>
  <si>
    <t>KTE-Sittingbourne - N57</t>
  </si>
  <si>
    <t>SRY-Guildford 2 - N57</t>
  </si>
  <si>
    <t>SRY-Redhill 2 - N57</t>
  </si>
  <si>
    <t>SRY-Staines 2 - N57</t>
  </si>
  <si>
    <t>KTW-Chatham - N57</t>
  </si>
  <si>
    <t>KTW-Gravesend - N57</t>
  </si>
  <si>
    <t>KTW-Maidstone - N57</t>
  </si>
  <si>
    <t>KTW-Tunbridge Wells - N57</t>
  </si>
  <si>
    <t>SXW-Crawley 2 - N57</t>
  </si>
  <si>
    <t>SXW-Littlehampton 2 - N57</t>
  </si>
  <si>
    <t>Regional allocation of cases in the community</t>
  </si>
  <si>
    <t>Yorkshire and The Humber</t>
  </si>
  <si>
    <t>All YaTH</t>
  </si>
  <si>
    <t>Public Protection Community - N55</t>
  </si>
  <si>
    <t>Accredited Programmes and Structured Interventions - N55</t>
  </si>
  <si>
    <t>Corporate Services - N55</t>
  </si>
  <si>
    <t>Unpaid Work and Attendance Centres - N55</t>
  </si>
  <si>
    <t>YSW Structured Interventions</t>
  </si>
  <si>
    <t>ZZ_Awaiting Reassignment - N55</t>
  </si>
  <si>
    <t>Awaiting Allocation Barnsley and Rotherham</t>
  </si>
  <si>
    <t>YSS Barnsley OMU 1</t>
  </si>
  <si>
    <t>YSS Barnsley OMU 2</t>
  </si>
  <si>
    <t>YSS Barnsley OMU 3</t>
  </si>
  <si>
    <t>YSS Barnsley OMU 4</t>
  </si>
  <si>
    <t>YSS Rotherham OMU 1</t>
  </si>
  <si>
    <t>YSS Rotherham OMU 2</t>
  </si>
  <si>
    <t>YSS Rotherham OMU 3</t>
  </si>
  <si>
    <t>YSS Rotherham OMU 4</t>
  </si>
  <si>
    <t>Awaiting Allocation Bradford and Calderdale</t>
  </si>
  <si>
    <t>Bradford OMU 1 (BNA)</t>
  </si>
  <si>
    <t>Bradford OMU 2 (BNB)</t>
  </si>
  <si>
    <t>Bradford OMU 4 YOT (BND)</t>
  </si>
  <si>
    <t>Bradford OMU 5 (BNE)</t>
  </si>
  <si>
    <t>Bradford OMU 6</t>
  </si>
  <si>
    <t>Calderdale OMU 1 (CNA)</t>
  </si>
  <si>
    <t>Calderdale OMU 2</t>
  </si>
  <si>
    <t>YSW Bfd Female</t>
  </si>
  <si>
    <t>YSW Allocations</t>
  </si>
  <si>
    <t>Awaiting Allocation Doncaster</t>
  </si>
  <si>
    <t>YSS Doncaster OMU 1</t>
  </si>
  <si>
    <t>YSS Doncaster OMU 2</t>
  </si>
  <si>
    <t>YSS Doncaster OMU 3</t>
  </si>
  <si>
    <t>YSS Doncaster OMU 4</t>
  </si>
  <si>
    <t>YSS Doncaster OMU 5</t>
  </si>
  <si>
    <t>Awaiting Allocation Hull</t>
  </si>
  <si>
    <t>EYK BEV PPU1</t>
  </si>
  <si>
    <t>EYK BRI PPU2</t>
  </si>
  <si>
    <t>EYK GOOLE PPU3</t>
  </si>
  <si>
    <t>HUL Public Protection 5</t>
  </si>
  <si>
    <t>HUL Public Protection 6</t>
  </si>
  <si>
    <t>HUL Public Protection 7</t>
  </si>
  <si>
    <t>HUL Public Protection Unit 1</t>
  </si>
  <si>
    <t>HUL Public Protection Unit 2</t>
  </si>
  <si>
    <t>HUL Public Protection Unit 3</t>
  </si>
  <si>
    <t>Awaiting Allocation Kirklees</t>
  </si>
  <si>
    <t>Kirklees OMU 1 (KNA)</t>
  </si>
  <si>
    <t>Kirklees OMU 2 (KNB)</t>
  </si>
  <si>
    <t>Kirklees OMU 3</t>
  </si>
  <si>
    <t>YSW Kirklees Engagement</t>
  </si>
  <si>
    <t>YSW Kirklees Female</t>
  </si>
  <si>
    <t>Awaiting Allocation Leeds</t>
  </si>
  <si>
    <t>Leeds OMU 1 (LNA)</t>
  </si>
  <si>
    <t>Leeds OMU 10</t>
  </si>
  <si>
    <t>Leeds OMU 2 (LNB)</t>
  </si>
  <si>
    <t>Leeds OMU 3 (LNC)</t>
  </si>
  <si>
    <t>Leeds OMU 5 (LNE)</t>
  </si>
  <si>
    <t>Leeds OMU 6 (LNF)</t>
  </si>
  <si>
    <t>Leeds OMU 7 (LNG)</t>
  </si>
  <si>
    <t>Leeds OMU 9</t>
  </si>
  <si>
    <t>YSW Leeds Engagement</t>
  </si>
  <si>
    <t>YSW Leeds Female</t>
  </si>
  <si>
    <t>GRI PPU1</t>
  </si>
  <si>
    <t>GRI PPU2</t>
  </si>
  <si>
    <t>GRI PPU3</t>
  </si>
  <si>
    <t>GRI PPU4</t>
  </si>
  <si>
    <t>SCU PPU1</t>
  </si>
  <si>
    <t>SCU PPU2</t>
  </si>
  <si>
    <t>YSN Harrogate and Skipton OMU1</t>
  </si>
  <si>
    <t>YSN Harrogate PP OMU</t>
  </si>
  <si>
    <t>YSN Northallerton PP OMU</t>
  </si>
  <si>
    <t>YSN Scarborough PP OMU</t>
  </si>
  <si>
    <t>YSN Scarborough PP OMU2</t>
  </si>
  <si>
    <t>YSN Skipton PP OMU</t>
  </si>
  <si>
    <t>HMP Hull - N55</t>
  </si>
  <si>
    <t>HMP Leeds - N55</t>
  </si>
  <si>
    <t>YSS Resettlement Doncaster</t>
  </si>
  <si>
    <t>YSW Bfd Resettlement 1</t>
  </si>
  <si>
    <t>YSW Bfd Resettlement 2</t>
  </si>
  <si>
    <t>YSW Kirklees Resettlement</t>
  </si>
  <si>
    <t>YSW Leeds Resettlement 1</t>
  </si>
  <si>
    <t>YSW Leeds Resettlement 2</t>
  </si>
  <si>
    <t>YSW Wakefield Resettlement</t>
  </si>
  <si>
    <t>YSS Sheffield OMU 1</t>
  </si>
  <si>
    <t>YSS Sheffield OMU 2</t>
  </si>
  <si>
    <t>YSS Sheffield OMU 3</t>
  </si>
  <si>
    <t>YSS Sheffield OMU 4</t>
  </si>
  <si>
    <t>YSS Sheffield OMU 5</t>
  </si>
  <si>
    <t>YSS Sheffield OMU 6</t>
  </si>
  <si>
    <t>Unallocated Team(N55)</t>
  </si>
  <si>
    <t>CP - Barnsley</t>
  </si>
  <si>
    <t>CP - Doncaster</t>
  </si>
  <si>
    <t>CP - Rotherham</t>
  </si>
  <si>
    <t>CP - Sheffield</t>
  </si>
  <si>
    <t>CP Hub POD 1 - N55</t>
  </si>
  <si>
    <t>CP Hub POD 2 - N55</t>
  </si>
  <si>
    <t>CP Hub POD 3 - N55</t>
  </si>
  <si>
    <t>CP Hub POD 4 - N55</t>
  </si>
  <si>
    <t>CP Hub POD 5</t>
  </si>
  <si>
    <t>CP Hub POD 6</t>
  </si>
  <si>
    <t>Awaiting Allocation Wakefield</t>
  </si>
  <si>
    <t>Wakefield OMU 1 (WNA)</t>
  </si>
  <si>
    <t>Wakefield OMU2 (WNB)</t>
  </si>
  <si>
    <t>YSW Wakefield Engagement</t>
  </si>
  <si>
    <t>YSW Wakefield Female</t>
  </si>
  <si>
    <t>YSW Wakefield OMU 3</t>
  </si>
  <si>
    <t>YSN York PP OMU</t>
  </si>
  <si>
    <t>YSN York PP OMU2</t>
  </si>
  <si>
    <t>YSN York PP OMU3</t>
  </si>
  <si>
    <r>
      <t>National Caseload Allocation by Tier</t>
    </r>
    <r>
      <rPr>
        <b/>
        <sz val="12"/>
        <color theme="0"/>
        <rFont val="Arial"/>
        <family val="2"/>
      </rPr>
      <t xml:space="preserve">
</t>
    </r>
    <r>
      <rPr>
        <sz val="12"/>
        <color theme="0"/>
        <rFont val="Arial"/>
        <family val="2"/>
      </rPr>
      <t>These summations do NOT include unallocated cases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</si>
</sst>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&quot;WMT Data As At: &quot;dd/mm/yyyy"/>
  </numFmts>
  <fonts count="87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2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6"/>
      <color rgb="FF7030A0"/>
      <name val="Arial"/>
      <family val="2"/>
    </font>
    <font>
      <b/>
      <sz val="12"/>
      <color rgb="FF7030A0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color theme="0"/>
      <name val="Arial"/>
      <family val="2"/>
    </font>
    <font>
      <b/>
      <sz val="12"/>
      <name val="Arial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u/>
      <sz val="11"/>
      <color theme="10"/>
      <name val="Times New Roman"/>
      <family val="2"/>
    </font>
    <font>
      <b/>
      <u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b/>
      <sz val="14"/>
      <color theme="1"/>
      <name val="Arial"/>
      <family val="2"/>
    </font>
    <font>
      <sz val="36"/>
      <color theme="0"/>
      <name val="Arial"/>
      <family val="2"/>
    </font>
    <font>
      <b/>
      <sz val="20"/>
      <color theme="0"/>
      <name val="Arial"/>
      <family val="2"/>
    </font>
    <font>
      <b/>
      <sz val="10"/>
      <color rgb="FFFF00FF"/>
      <name val="Arial"/>
      <family val="2"/>
    </font>
    <font>
      <b/>
      <sz val="10"/>
      <color rgb="FF6600CC"/>
      <name val="Arial"/>
      <family val="2"/>
    </font>
    <font>
      <b/>
      <sz val="14"/>
      <color rgb="FF7030A0"/>
      <name val="Arial"/>
      <family val="2"/>
    </font>
    <font>
      <b/>
      <sz val="12"/>
      <color rgb="FFF2F2F2"/>
      <name val="Arial"/>
      <family val="2"/>
    </font>
    <font>
      <sz val="11"/>
      <color theme="0"/>
      <name val="Times New Roman"/>
      <family val="2"/>
    </font>
    <font>
      <sz val="12"/>
      <color theme="1"/>
      <name val="Times New Roman"/>
      <family val="2"/>
    </font>
    <font>
      <b/>
      <sz val="11"/>
      <color theme="0"/>
      <name val="Times New Roman"/>
      <family val="2"/>
    </font>
    <font>
      <sz val="11"/>
      <name val="Times New Roman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Times New Roman"/>
      <family val="2"/>
    </font>
    <font>
      <u/>
      <sz val="14"/>
      <color theme="10"/>
      <name val="Arial"/>
      <family val="2"/>
    </font>
    <font>
      <sz val="10"/>
      <color theme="1"/>
      <name val="Times New Roman"/>
      <family val="2"/>
    </font>
    <font>
      <b/>
      <sz val="10"/>
      <color rgb="FFF2F2F2"/>
      <name val="Arial"/>
      <family val="2"/>
    </font>
    <font>
      <b/>
      <sz val="18"/>
      <color theme="0"/>
      <name val="Arial"/>
      <family val="2"/>
    </font>
    <font>
      <b/>
      <sz val="18"/>
      <color theme="1"/>
      <name val="Times New Roman"/>
      <family val="2"/>
    </font>
    <font>
      <sz val="18"/>
      <color theme="1"/>
      <name val="Times New Roman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22"/>
      <color theme="0"/>
      <name val="Arial"/>
      <family val="2"/>
    </font>
    <font>
      <b/>
      <sz val="10"/>
      <color theme="1"/>
      <name val="Times New Roman"/>
      <family val="2"/>
    </font>
    <font>
      <b/>
      <sz val="10"/>
      <name val="Arial"/>
      <family val="2"/>
    </font>
    <font>
      <sz val="10"/>
      <name val="Times New Roman"/>
      <family val="2"/>
    </font>
    <font>
      <sz val="18"/>
      <color theme="0"/>
      <name val="Arial"/>
      <family val="2"/>
    </font>
    <font>
      <sz val="22"/>
      <color theme="0"/>
      <name val="Arial"/>
      <family val="2"/>
    </font>
    <font>
      <sz val="24"/>
      <color theme="0"/>
      <name val="Arial"/>
      <family val="2"/>
    </font>
    <font>
      <sz val="20"/>
      <color theme="0"/>
      <name val="Arial"/>
      <family val="2"/>
    </font>
    <font>
      <b/>
      <sz val="11"/>
      <color rgb="FF7030A0"/>
      <name val="Arial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Times New Roman"/>
      <family val="2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gradientFill degree="180">
        <stop position="0">
          <color theme="0"/>
        </stop>
        <stop position="1">
          <color rgb="FF7030A0"/>
        </stop>
      </gradientFill>
    </fill>
    <fill>
      <patternFill patternType="solid">
        <fgColor rgb="FF7030A0"/>
        <bgColor indexed="64"/>
      </patternFill>
    </fill>
    <fill>
      <gradientFill degree="180">
        <stop position="0">
          <color theme="0"/>
        </stop>
        <stop position="1">
          <color theme="0" tint="-0.1490218817712943"/>
        </stop>
      </gradient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auto="1"/>
      </patternFill>
    </fill>
    <fill>
      <patternFill patternType="solid">
        <fgColor theme="0"/>
        <bgColor auto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auto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2707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48">
    <xf numFmtId="0" fontId="0" fillId="0" borderId="0"/>
    <xf numFmtId="9" fontId="1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4" fillId="0" borderId="36" applyNumberFormat="0" applyFill="0" applyAlignment="0" applyProtection="0"/>
    <xf numFmtId="0" fontId="25" fillId="0" borderId="37" applyNumberFormat="0" applyFill="0" applyAlignment="0" applyProtection="0"/>
    <xf numFmtId="0" fontId="26" fillId="0" borderId="38" applyNumberFormat="0" applyFill="0" applyAlignment="0" applyProtection="0"/>
    <xf numFmtId="0" fontId="26" fillId="0" borderId="0" applyNumberFormat="0" applyFill="0" applyBorder="0" applyAlignment="0" applyProtection="0"/>
    <xf numFmtId="0" fontId="27" fillId="15" borderId="0" applyNumberFormat="0" applyBorder="0" applyAlignment="0" applyProtection="0"/>
    <xf numFmtId="0" fontId="28" fillId="16" borderId="0" applyNumberFormat="0" applyBorder="0" applyAlignment="0" applyProtection="0"/>
    <xf numFmtId="0" fontId="29" fillId="17" borderId="0" applyNumberFormat="0" applyBorder="0" applyAlignment="0" applyProtection="0"/>
    <xf numFmtId="0" fontId="30" fillId="18" borderId="39" applyNumberFormat="0" applyAlignment="0" applyProtection="0"/>
    <xf numFmtId="0" fontId="31" fillId="19" borderId="40" applyNumberFormat="0" applyAlignment="0" applyProtection="0"/>
    <xf numFmtId="0" fontId="32" fillId="19" borderId="39" applyNumberFormat="0" applyAlignment="0" applyProtection="0"/>
    <xf numFmtId="0" fontId="33" fillId="0" borderId="41" applyNumberFormat="0" applyFill="0" applyAlignment="0" applyProtection="0"/>
    <xf numFmtId="0" fontId="34" fillId="20" borderId="42" applyNumberFormat="0" applyAlignment="0" applyProtection="0"/>
    <xf numFmtId="0" fontId="35" fillId="0" borderId="0" applyNumberFormat="0" applyFill="0" applyBorder="0" applyAlignment="0" applyProtection="0"/>
    <xf numFmtId="0" fontId="19" fillId="21" borderId="43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44" applyNumberFormat="0" applyFill="0" applyAlignment="0" applyProtection="0"/>
    <xf numFmtId="0" fontId="38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8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8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38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38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38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39" fillId="0" borderId="0" applyNumberFormat="0" applyFill="0" applyBorder="0" applyAlignment="0" applyProtection="0"/>
    <xf numFmtId="0" fontId="2" fillId="0" borderId="0"/>
    <xf numFmtId="0" fontId="2" fillId="21" borderId="43" applyNumberFormat="0" applyFont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8" fillId="16" borderId="0" applyNumberFormat="0" applyBorder="0" applyAlignment="0" applyProtection="0"/>
    <xf numFmtId="0" fontId="24" fillId="0" borderId="36" applyNumberFormat="0" applyFill="0" applyAlignment="0" applyProtection="0"/>
    <xf numFmtId="0" fontId="25" fillId="0" borderId="37" applyNumberFormat="0" applyFill="0" applyAlignment="0" applyProtection="0"/>
    <xf numFmtId="0" fontId="26" fillId="0" borderId="38" applyNumberFormat="0" applyFill="0" applyAlignment="0" applyProtection="0"/>
    <xf numFmtId="0" fontId="26" fillId="0" borderId="0" applyNumberFormat="0" applyFill="0" applyBorder="0" applyAlignment="0" applyProtection="0"/>
    <xf numFmtId="0" fontId="73" fillId="0" borderId="0"/>
    <xf numFmtId="0" fontId="74" fillId="15" borderId="0" applyNumberFormat="0" applyBorder="0" applyAlignment="0" applyProtection="0"/>
    <xf numFmtId="0" fontId="75" fillId="16" borderId="0" applyNumberFormat="0" applyBorder="0" applyAlignment="0" applyProtection="0"/>
    <xf numFmtId="0" fontId="76" fillId="17" borderId="0" applyNumberFormat="0" applyBorder="0" applyAlignment="0" applyProtection="0"/>
    <xf numFmtId="0" fontId="77" fillId="18" borderId="39" applyNumberFormat="0" applyAlignment="0" applyProtection="0"/>
    <xf numFmtId="0" fontId="78" fillId="19" borderId="40" applyNumberFormat="0" applyAlignment="0" applyProtection="0"/>
    <xf numFmtId="0" fontId="79" fillId="19" borderId="39" applyNumberFormat="0" applyAlignment="0" applyProtection="0"/>
    <xf numFmtId="0" fontId="80" fillId="0" borderId="41" applyNumberFormat="0" applyFill="0" applyAlignment="0" applyProtection="0"/>
    <xf numFmtId="0" fontId="81" fillId="20" borderId="42" applyNumberFormat="0" applyAlignment="0" applyProtection="0"/>
    <xf numFmtId="0" fontId="82" fillId="0" borderId="0" applyNumberFormat="0" applyFill="0" applyBorder="0" applyAlignment="0" applyProtection="0"/>
    <xf numFmtId="0" fontId="73" fillId="21" borderId="43" applyNumberFormat="0" applyFont="0" applyAlignment="0" applyProtection="0"/>
    <xf numFmtId="0" fontId="83" fillId="0" borderId="0" applyNumberFormat="0" applyFill="0" applyBorder="0" applyAlignment="0" applyProtection="0"/>
    <xf numFmtId="0" fontId="84" fillId="0" borderId="44" applyNumberFormat="0" applyFill="0" applyAlignment="0" applyProtection="0"/>
    <xf numFmtId="0" fontId="85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4" borderId="0" applyNumberFormat="0" applyBorder="0" applyAlignment="0" applyProtection="0"/>
    <xf numFmtId="0" fontId="73" fillId="25" borderId="0" applyNumberFormat="0" applyBorder="0" applyAlignment="0" applyProtection="0"/>
    <xf numFmtId="0" fontId="85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28" borderId="0" applyNumberFormat="0" applyBorder="0" applyAlignment="0" applyProtection="0"/>
    <xf numFmtId="0" fontId="73" fillId="29" borderId="0" applyNumberFormat="0" applyBorder="0" applyAlignment="0" applyProtection="0"/>
    <xf numFmtId="0" fontId="85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2" borderId="0" applyNumberFormat="0" applyBorder="0" applyAlignment="0" applyProtection="0"/>
    <xf numFmtId="0" fontId="73" fillId="33" borderId="0" applyNumberFormat="0" applyBorder="0" applyAlignment="0" applyProtection="0"/>
    <xf numFmtId="0" fontId="85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36" borderId="0" applyNumberFormat="0" applyBorder="0" applyAlignment="0" applyProtection="0"/>
    <xf numFmtId="0" fontId="73" fillId="37" borderId="0" applyNumberFormat="0" applyBorder="0" applyAlignment="0" applyProtection="0"/>
    <xf numFmtId="0" fontId="85" fillId="38" borderId="0" applyNumberFormat="0" applyBorder="0" applyAlignment="0" applyProtection="0"/>
    <xf numFmtId="0" fontId="73" fillId="39" borderId="0" applyNumberFormat="0" applyBorder="0" applyAlignment="0" applyProtection="0"/>
    <xf numFmtId="0" fontId="73" fillId="40" borderId="0" applyNumberFormat="0" applyBorder="0" applyAlignment="0" applyProtection="0"/>
    <xf numFmtId="0" fontId="73" fillId="41" borderId="0" applyNumberFormat="0" applyBorder="0" applyAlignment="0" applyProtection="0"/>
    <xf numFmtId="0" fontId="85" fillId="42" borderId="0" applyNumberFormat="0" applyBorder="0" applyAlignment="0" applyProtection="0"/>
    <xf numFmtId="0" fontId="73" fillId="43" borderId="0" applyNumberFormat="0" applyBorder="0" applyAlignment="0" applyProtection="0"/>
    <xf numFmtId="0" fontId="73" fillId="44" borderId="0" applyNumberFormat="0" applyBorder="0" applyAlignment="0" applyProtection="0"/>
    <xf numFmtId="0" fontId="73" fillId="45" borderId="0" applyNumberFormat="0" applyBorder="0" applyAlignment="0" applyProtection="0"/>
    <xf numFmtId="0" fontId="1" fillId="0" borderId="0"/>
    <xf numFmtId="0" fontId="1" fillId="21" borderId="43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21" borderId="43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</cellStyleXfs>
  <cellXfs count="43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17" fillId="0" borderId="0" xfId="2"/>
    <xf numFmtId="0" fontId="18" fillId="0" borderId="1" xfId="0" applyFont="1" applyBorder="1" applyAlignment="1">
      <alignment horizontal="center"/>
    </xf>
    <xf numFmtId="0" fontId="0" fillId="4" borderId="0" xfId="0" applyFill="1"/>
    <xf numFmtId="0" fontId="0" fillId="0" borderId="0" xfId="0" applyAlignment="1">
      <alignment horizontal="left"/>
    </xf>
    <xf numFmtId="0" fontId="3" fillId="4" borderId="0" xfId="0" applyFont="1" applyFill="1"/>
    <xf numFmtId="0" fontId="3" fillId="4" borderId="0" xfId="0" applyFont="1" applyFill="1" applyAlignment="1">
      <alignment horizontal="center" vertical="top" wrapText="1"/>
    </xf>
    <xf numFmtId="0" fontId="20" fillId="4" borderId="2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top" wrapText="1"/>
    </xf>
    <xf numFmtId="164" fontId="3" fillId="0" borderId="1" xfId="0" applyNumberFormat="1" applyFont="1" applyBorder="1"/>
    <xf numFmtId="0" fontId="21" fillId="0" borderId="0" xfId="0" applyFont="1" applyAlignment="1">
      <alignment vertical="center" wrapText="1"/>
    </xf>
    <xf numFmtId="9" fontId="22" fillId="14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166" fontId="3" fillId="0" borderId="4" xfId="0" applyNumberFormat="1" applyFont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13" fillId="1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8" fillId="10" borderId="1" xfId="0" applyFont="1" applyFill="1" applyBorder="1" applyAlignment="1">
      <alignment horizontal="center" vertical="top" wrapText="1"/>
    </xf>
    <xf numFmtId="0" fontId="0" fillId="4" borderId="1" xfId="0" applyFill="1" applyBorder="1"/>
    <xf numFmtId="0" fontId="7" fillId="10" borderId="25" xfId="0" applyFont="1" applyFill="1" applyBorder="1" applyAlignment="1">
      <alignment horizontal="center" vertical="center"/>
    </xf>
    <xf numFmtId="0" fontId="8" fillId="10" borderId="1" xfId="0" applyFont="1" applyFill="1" applyBorder="1"/>
    <xf numFmtId="0" fontId="14" fillId="5" borderId="1" xfId="0" applyFont="1" applyFill="1" applyBorder="1" applyAlignment="1">
      <alignment vertical="center" wrapText="1"/>
    </xf>
    <xf numFmtId="0" fontId="0" fillId="4" borderId="0" xfId="0" applyFill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2" fillId="0" borderId="0" xfId="0" applyFont="1"/>
    <xf numFmtId="0" fontId="46" fillId="5" borderId="1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0" fillId="0" borderId="0" xfId="0" applyFont="1" applyAlignment="1">
      <alignment wrapText="1"/>
    </xf>
    <xf numFmtId="0" fontId="13" fillId="10" borderId="1" xfId="0" applyFont="1" applyFill="1" applyBorder="1" applyAlignment="1">
      <alignment horizontal="center" vertical="center" wrapText="1"/>
    </xf>
    <xf numFmtId="0" fontId="13" fillId="10" borderId="0" xfId="0" applyFont="1" applyFill="1" applyAlignment="1">
      <alignment horizontal="center"/>
    </xf>
    <xf numFmtId="0" fontId="41" fillId="10" borderId="1" xfId="0" applyFont="1" applyFill="1" applyBorder="1" applyAlignment="1">
      <alignment horizontal="center"/>
    </xf>
    <xf numFmtId="10" fontId="0" fillId="0" borderId="0" xfId="0" applyNumberFormat="1"/>
    <xf numFmtId="0" fontId="49" fillId="2" borderId="0" xfId="0" applyFont="1" applyFill="1" applyAlignment="1">
      <alignment horizontal="center"/>
    </xf>
    <xf numFmtId="0" fontId="44" fillId="47" borderId="26" xfId="0" quotePrefix="1" applyFont="1" applyFill="1" applyBorder="1" applyAlignment="1">
      <alignment horizontal="center" vertical="center"/>
    </xf>
    <xf numFmtId="0" fontId="44" fillId="47" borderId="25" xfId="0" quotePrefix="1" applyFont="1" applyFill="1" applyBorder="1" applyAlignment="1">
      <alignment horizontal="center" vertical="center"/>
    </xf>
    <xf numFmtId="0" fontId="45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3" fillId="4" borderId="2" xfId="0" applyFont="1" applyFill="1" applyBorder="1"/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52" fillId="0" borderId="0" xfId="0" applyFont="1"/>
    <xf numFmtId="166" fontId="3" fillId="48" borderId="0" xfId="0" applyNumberFormat="1" applyFont="1" applyFill="1" applyAlignment="1">
      <alignment horizontal="left" vertical="center" indent="14"/>
    </xf>
    <xf numFmtId="0" fontId="0" fillId="2" borderId="0" xfId="0" applyFill="1"/>
    <xf numFmtId="2" fontId="0" fillId="0" borderId="0" xfId="0" applyNumberFormat="1"/>
    <xf numFmtId="10" fontId="3" fillId="0" borderId="0" xfId="0" applyNumberFormat="1" applyFont="1"/>
    <xf numFmtId="0" fontId="13" fillId="10" borderId="17" xfId="0" applyFont="1" applyFill="1" applyBorder="1" applyAlignment="1">
      <alignment horizontal="center"/>
    </xf>
    <xf numFmtId="0" fontId="40" fillId="50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40" fillId="3" borderId="1" xfId="0" applyFont="1" applyFill="1" applyBorder="1" applyAlignment="1" applyProtection="1">
      <alignment horizontal="center" vertical="center" wrapText="1"/>
      <protection locked="0"/>
    </xf>
    <xf numFmtId="0" fontId="40" fillId="13" borderId="1" xfId="0" applyFont="1" applyFill="1" applyBorder="1" applyAlignment="1" applyProtection="1">
      <alignment horizontal="center" vertical="center" wrapText="1"/>
      <protection locked="0"/>
    </xf>
    <xf numFmtId="166" fontId="3" fillId="51" borderId="0" xfId="0" applyNumberFormat="1" applyFont="1" applyFill="1" applyAlignment="1">
      <alignment horizontal="left" vertical="center" indent="4"/>
    </xf>
    <xf numFmtId="0" fontId="6" fillId="10" borderId="0" xfId="0" quotePrefix="1" applyFont="1" applyFill="1" applyAlignment="1">
      <alignment horizontal="left" vertical="center" wrapText="1" indent="1"/>
    </xf>
    <xf numFmtId="10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0" borderId="2" xfId="0" applyBorder="1"/>
    <xf numFmtId="0" fontId="42" fillId="0" borderId="0" xfId="0" applyFont="1"/>
    <xf numFmtId="0" fontId="54" fillId="0" borderId="0" xfId="0" applyFont="1"/>
    <xf numFmtId="0" fontId="55" fillId="0" borderId="0" xfId="0" applyFont="1"/>
    <xf numFmtId="166" fontId="53" fillId="48" borderId="0" xfId="0" applyNumberFormat="1" applyFont="1" applyFill="1" applyAlignment="1">
      <alignment horizontal="left" vertical="center" indent="14"/>
    </xf>
    <xf numFmtId="0" fontId="22" fillId="0" borderId="1" xfId="0" applyFont="1" applyBorder="1"/>
    <xf numFmtId="0" fontId="41" fillId="10" borderId="1" xfId="0" quotePrefix="1" applyFont="1" applyFill="1" applyBorder="1" applyAlignment="1">
      <alignment horizontal="center" vertical="center" wrapText="1"/>
    </xf>
    <xf numFmtId="0" fontId="57" fillId="0" borderId="0" xfId="0" applyFont="1"/>
    <xf numFmtId="0" fontId="22" fillId="6" borderId="1" xfId="0" applyFont="1" applyFill="1" applyBorder="1"/>
    <xf numFmtId="10" fontId="22" fillId="0" borderId="1" xfId="0" applyNumberFormat="1" applyFont="1" applyBorder="1" applyAlignment="1">
      <alignment horizontal="center"/>
    </xf>
    <xf numFmtId="9" fontId="22" fillId="0" borderId="1" xfId="0" applyNumberFormat="1" applyFont="1" applyBorder="1" applyAlignment="1">
      <alignment horizontal="center"/>
    </xf>
    <xf numFmtId="0" fontId="22" fillId="12" borderId="18" xfId="0" quotePrefix="1" applyFont="1" applyFill="1" applyBorder="1" applyAlignment="1">
      <alignment horizontal="left" vertical="center" wrapText="1"/>
    </xf>
    <xf numFmtId="0" fontId="57" fillId="0" borderId="1" xfId="0" applyFont="1" applyBorder="1"/>
    <xf numFmtId="0" fontId="58" fillId="10" borderId="17" xfId="0" applyFont="1" applyFill="1" applyBorder="1" applyAlignment="1">
      <alignment horizontal="center" vertical="center" wrapText="1"/>
    </xf>
    <xf numFmtId="0" fontId="58" fillId="10" borderId="22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left" vertical="center" wrapText="1"/>
    </xf>
    <xf numFmtId="9" fontId="22" fillId="0" borderId="0" xfId="0" applyNumberFormat="1" applyFont="1" applyAlignment="1">
      <alignment horizontal="center" vertical="center"/>
    </xf>
    <xf numFmtId="9" fontId="22" fillId="2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/>
    </xf>
    <xf numFmtId="0" fontId="41" fillId="10" borderId="1" xfId="0" applyFont="1" applyFill="1" applyBorder="1" applyAlignment="1">
      <alignment horizontal="center" vertical="center"/>
    </xf>
    <xf numFmtId="1" fontId="22" fillId="0" borderId="1" xfId="1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2" fillId="7" borderId="1" xfId="0" quotePrefix="1" applyFont="1" applyFill="1" applyBorder="1" applyAlignment="1">
      <alignment horizontal="left"/>
    </xf>
    <xf numFmtId="0" fontId="22" fillId="7" borderId="1" xfId="0" applyFont="1" applyFill="1" applyBorder="1" applyAlignment="1">
      <alignment horizontal="center"/>
    </xf>
    <xf numFmtId="1" fontId="22" fillId="7" borderId="1" xfId="0" applyNumberFormat="1" applyFont="1" applyFill="1" applyBorder="1" applyAlignment="1">
      <alignment horizontal="center"/>
    </xf>
    <xf numFmtId="10" fontId="22" fillId="7" borderId="1" xfId="0" applyNumberFormat="1" applyFont="1" applyFill="1" applyBorder="1" applyAlignment="1">
      <alignment horizontal="center"/>
    </xf>
    <xf numFmtId="0" fontId="22" fillId="12" borderId="1" xfId="0" quotePrefix="1" applyFont="1" applyFill="1" applyBorder="1" applyAlignment="1">
      <alignment horizontal="left" vertical="center" wrapText="1"/>
    </xf>
    <xf numFmtId="0" fontId="57" fillId="10" borderId="1" xfId="0" applyFont="1" applyFill="1" applyBorder="1"/>
    <xf numFmtId="1" fontId="22" fillId="0" borderId="1" xfId="0" applyNumberFormat="1" applyFont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10" fontId="22" fillId="0" borderId="1" xfId="0" applyNumberFormat="1" applyFont="1" applyBorder="1" applyAlignment="1">
      <alignment horizontal="center" vertical="top" wrapText="1"/>
    </xf>
    <xf numFmtId="164" fontId="22" fillId="0" borderId="1" xfId="0" applyNumberFormat="1" applyFont="1" applyBorder="1" applyAlignment="1">
      <alignment horizontal="center" vertical="top" wrapText="1"/>
    </xf>
    <xf numFmtId="0" fontId="22" fillId="0" borderId="20" xfId="0" applyFont="1" applyBorder="1" applyAlignment="1">
      <alignment horizontal="center" vertical="center"/>
    </xf>
    <xf numFmtId="0" fontId="22" fillId="2" borderId="18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0" xfId="0" applyFont="1"/>
    <xf numFmtId="10" fontId="22" fillId="2" borderId="1" xfId="0" applyNumberFormat="1" applyFont="1" applyFill="1" applyBorder="1" applyAlignment="1">
      <alignment horizontal="center" vertical="center"/>
    </xf>
    <xf numFmtId="0" fontId="63" fillId="50" borderId="1" xfId="0" applyFont="1" applyFill="1" applyBorder="1" applyAlignment="1">
      <alignment horizontal="center"/>
    </xf>
    <xf numFmtId="1" fontId="22" fillId="0" borderId="1" xfId="0" applyNumberFormat="1" applyFont="1" applyBorder="1" applyAlignment="1">
      <alignment horizontal="center"/>
    </xf>
    <xf numFmtId="0" fontId="41" fillId="10" borderId="17" xfId="0" applyFont="1" applyFill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2" fillId="0" borderId="56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10" fontId="22" fillId="52" borderId="1" xfId="0" applyNumberFormat="1" applyFont="1" applyFill="1" applyBorder="1" applyAlignment="1">
      <alignment horizontal="center"/>
    </xf>
    <xf numFmtId="0" fontId="22" fillId="52" borderId="1" xfId="0" applyFont="1" applyFill="1" applyBorder="1" applyAlignment="1">
      <alignment horizontal="center"/>
    </xf>
    <xf numFmtId="9" fontId="22" fillId="52" borderId="1" xfId="0" applyNumberFormat="1" applyFont="1" applyFill="1" applyBorder="1" applyAlignment="1">
      <alignment horizontal="center"/>
    </xf>
    <xf numFmtId="9" fontId="22" fillId="52" borderId="1" xfId="0" applyNumberFormat="1" applyFont="1" applyFill="1" applyBorder="1" applyAlignment="1">
      <alignment horizontal="center" vertical="center"/>
    </xf>
    <xf numFmtId="9" fontId="22" fillId="52" borderId="18" xfId="0" applyNumberFormat="1" applyFont="1" applyFill="1" applyBorder="1" applyAlignment="1">
      <alignment horizontal="center" vertical="center"/>
    </xf>
    <xf numFmtId="165" fontId="22" fillId="52" borderId="1" xfId="1" applyNumberFormat="1" applyFont="1" applyFill="1" applyBorder="1" applyAlignment="1">
      <alignment horizontal="center"/>
    </xf>
    <xf numFmtId="0" fontId="22" fillId="52" borderId="1" xfId="0" applyFont="1" applyFill="1" applyBorder="1"/>
    <xf numFmtId="0" fontId="22" fillId="7" borderId="1" xfId="0" applyFont="1" applyFill="1" applyBorder="1"/>
    <xf numFmtId="9" fontId="22" fillId="7" borderId="1" xfId="0" applyNumberFormat="1" applyFont="1" applyFill="1" applyBorder="1" applyAlignment="1">
      <alignment horizontal="center"/>
    </xf>
    <xf numFmtId="1" fontId="22" fillId="7" borderId="1" xfId="0" applyNumberFormat="1" applyFont="1" applyFill="1" applyBorder="1" applyAlignment="1">
      <alignment horizontal="center" vertical="top" wrapText="1"/>
    </xf>
    <xf numFmtId="10" fontId="22" fillId="7" borderId="1" xfId="0" applyNumberFormat="1" applyFont="1" applyFill="1" applyBorder="1" applyAlignment="1">
      <alignment horizontal="center" vertical="top" wrapText="1"/>
    </xf>
    <xf numFmtId="0" fontId="63" fillId="52" borderId="1" xfId="0" applyFont="1" applyFill="1" applyBorder="1" applyAlignment="1">
      <alignment horizontal="center"/>
    </xf>
    <xf numFmtId="10" fontId="22" fillId="0" borderId="0" xfId="0" applyNumberFormat="1" applyFont="1" applyAlignment="1">
      <alignment horizontal="center"/>
    </xf>
    <xf numFmtId="164" fontId="22" fillId="0" borderId="18" xfId="0" applyNumberFormat="1" applyFont="1" applyBorder="1" applyAlignment="1">
      <alignment horizontal="center"/>
    </xf>
    <xf numFmtId="164" fontId="22" fillId="0" borderId="1" xfId="0" applyNumberFormat="1" applyFont="1" applyBorder="1" applyAlignment="1">
      <alignment horizontal="center"/>
    </xf>
    <xf numFmtId="0" fontId="22" fillId="8" borderId="1" xfId="0" applyFont="1" applyFill="1" applyBorder="1" applyAlignment="1">
      <alignment horizontal="center"/>
    </xf>
    <xf numFmtId="10" fontId="63" fillId="52" borderId="1" xfId="0" applyNumberFormat="1" applyFont="1" applyFill="1" applyBorder="1" applyAlignment="1">
      <alignment horizontal="center"/>
    </xf>
    <xf numFmtId="0" fontId="22" fillId="52" borderId="1" xfId="0" quotePrefix="1" applyFont="1" applyFill="1" applyBorder="1" applyAlignment="1">
      <alignment horizontal="left" vertical="center" wrapText="1"/>
    </xf>
    <xf numFmtId="10" fontId="63" fillId="7" borderId="1" xfId="0" applyNumberFormat="1" applyFont="1" applyFill="1" applyBorder="1" applyAlignment="1">
      <alignment horizontal="center"/>
    </xf>
    <xf numFmtId="10" fontId="63" fillId="7" borderId="1" xfId="0" applyNumberFormat="1" applyFont="1" applyFill="1" applyBorder="1" applyAlignment="1">
      <alignment horizontal="center" vertical="center"/>
    </xf>
    <xf numFmtId="0" fontId="22" fillId="52" borderId="18" xfId="0" quotePrefix="1" applyFont="1" applyFill="1" applyBorder="1" applyAlignment="1">
      <alignment horizontal="left" vertical="center" wrapText="1"/>
    </xf>
    <xf numFmtId="10" fontId="22" fillId="52" borderId="18" xfId="0" applyNumberFormat="1" applyFont="1" applyFill="1" applyBorder="1" applyAlignment="1">
      <alignment horizontal="center" vertical="center"/>
    </xf>
    <xf numFmtId="10" fontId="22" fillId="52" borderId="1" xfId="0" applyNumberFormat="1" applyFont="1" applyFill="1" applyBorder="1" applyAlignment="1">
      <alignment horizontal="center" vertical="center"/>
    </xf>
    <xf numFmtId="10" fontId="22" fillId="2" borderId="0" xfId="0" applyNumberFormat="1" applyFont="1" applyFill="1" applyAlignment="1">
      <alignment horizontal="center"/>
    </xf>
    <xf numFmtId="9" fontId="22" fillId="2" borderId="1" xfId="0" applyNumberFormat="1" applyFont="1" applyFill="1" applyBorder="1" applyAlignment="1">
      <alignment horizontal="center"/>
    </xf>
    <xf numFmtId="0" fontId="41" fillId="10" borderId="7" xfId="0" applyFont="1" applyFill="1" applyBorder="1" applyAlignment="1">
      <alignment horizontal="center"/>
    </xf>
    <xf numFmtId="0" fontId="41" fillId="10" borderId="57" xfId="0" applyFont="1" applyFill="1" applyBorder="1" applyAlignment="1">
      <alignment horizontal="center"/>
    </xf>
    <xf numFmtId="0" fontId="41" fillId="10" borderId="8" xfId="0" applyFont="1" applyFill="1" applyBorder="1" applyAlignment="1">
      <alignment horizontal="center"/>
    </xf>
    <xf numFmtId="0" fontId="41" fillId="10" borderId="18" xfId="0" applyFont="1" applyFill="1" applyBorder="1" applyAlignment="1">
      <alignment horizontal="center"/>
    </xf>
    <xf numFmtId="0" fontId="22" fillId="8" borderId="17" xfId="0" applyFont="1" applyFill="1" applyBorder="1" applyAlignment="1">
      <alignment horizontal="center"/>
    </xf>
    <xf numFmtId="0" fontId="22" fillId="8" borderId="3" xfId="0" applyFont="1" applyFill="1" applyBorder="1" applyAlignment="1">
      <alignment horizontal="center"/>
    </xf>
    <xf numFmtId="0" fontId="22" fillId="8" borderId="18" xfId="0" applyFont="1" applyFill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wrapText="1"/>
    </xf>
    <xf numFmtId="1" fontId="22" fillId="0" borderId="0" xfId="0" applyNumberFormat="1" applyFont="1" applyAlignment="1">
      <alignment horizontal="center"/>
    </xf>
    <xf numFmtId="0" fontId="63" fillId="52" borderId="1" xfId="0" applyFont="1" applyFill="1" applyBorder="1" applyAlignment="1">
      <alignment horizontal="center" vertical="center" wrapText="1"/>
    </xf>
    <xf numFmtId="1" fontId="63" fillId="52" borderId="1" xfId="0" applyNumberFormat="1" applyFont="1" applyFill="1" applyBorder="1" applyAlignment="1">
      <alignment horizontal="center" vertical="center"/>
    </xf>
    <xf numFmtId="0" fontId="63" fillId="52" borderId="1" xfId="0" applyFont="1" applyFill="1" applyBorder="1" applyAlignment="1">
      <alignment horizontal="center" vertical="center"/>
    </xf>
    <xf numFmtId="0" fontId="63" fillId="7" borderId="17" xfId="0" applyFont="1" applyFill="1" applyBorder="1" applyAlignment="1">
      <alignment horizontal="center"/>
    </xf>
    <xf numFmtId="1" fontId="63" fillId="7" borderId="1" xfId="0" applyNumberFormat="1" applyFont="1" applyFill="1" applyBorder="1" applyAlignment="1">
      <alignment horizontal="center"/>
    </xf>
    <xf numFmtId="0" fontId="63" fillId="7" borderId="1" xfId="0" applyFont="1" applyFill="1" applyBorder="1" applyAlignment="1">
      <alignment horizontal="center"/>
    </xf>
    <xf numFmtId="0" fontId="63" fillId="7" borderId="3" xfId="0" applyFont="1" applyFill="1" applyBorder="1" applyAlignment="1">
      <alignment horizontal="center"/>
    </xf>
    <xf numFmtId="165" fontId="63" fillId="7" borderId="1" xfId="0" applyNumberFormat="1" applyFont="1" applyFill="1" applyBorder="1" applyAlignment="1">
      <alignment horizontal="center"/>
    </xf>
    <xf numFmtId="0" fontId="63" fillId="7" borderId="18" xfId="0" applyFont="1" applyFill="1" applyBorder="1" applyAlignment="1">
      <alignment horizontal="center"/>
    </xf>
    <xf numFmtId="0" fontId="57" fillId="0" borderId="2" xfId="0" applyFont="1" applyBorder="1"/>
    <xf numFmtId="0" fontId="57" fillId="0" borderId="1" xfId="0" applyFont="1" applyBorder="1" applyAlignment="1">
      <alignment horizontal="center"/>
    </xf>
    <xf numFmtId="0" fontId="50" fillId="0" borderId="0" xfId="0" applyFont="1"/>
    <xf numFmtId="0" fontId="65" fillId="5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22" fillId="0" borderId="2" xfId="0" applyFont="1" applyBorder="1" applyAlignment="1">
      <alignment horizontal="left"/>
    </xf>
    <xf numFmtId="0" fontId="63" fillId="50" borderId="1" xfId="0" applyFont="1" applyFill="1" applyBorder="1" applyAlignment="1">
      <alignment horizontal="center" vertical="center"/>
    </xf>
    <xf numFmtId="0" fontId="63" fillId="0" borderId="0" xfId="0" applyFont="1" applyAlignment="1">
      <alignment wrapText="1"/>
    </xf>
    <xf numFmtId="0" fontId="22" fillId="0" borderId="18" xfId="0" applyFont="1" applyBorder="1" applyAlignment="1">
      <alignment horizontal="center"/>
    </xf>
    <xf numFmtId="1" fontId="28" fillId="53" borderId="1" xfId="66" applyNumberFormat="1" applyFill="1" applyBorder="1" applyAlignment="1">
      <alignment horizontal="center"/>
    </xf>
    <xf numFmtId="0" fontId="22" fillId="0" borderId="9" xfId="0" applyFont="1" applyBorder="1"/>
    <xf numFmtId="9" fontId="22" fillId="0" borderId="10" xfId="0" applyNumberFormat="1" applyFont="1" applyBorder="1" applyAlignment="1">
      <alignment horizontal="center"/>
    </xf>
    <xf numFmtId="10" fontId="22" fillId="0" borderId="0" xfId="0" applyNumberFormat="1" applyFont="1"/>
    <xf numFmtId="9" fontId="63" fillId="52" borderId="1" xfId="0" applyNumberFormat="1" applyFont="1" applyFill="1" applyBorder="1" applyAlignment="1">
      <alignment horizontal="center"/>
    </xf>
    <xf numFmtId="0" fontId="63" fillId="52" borderId="45" xfId="0" applyFont="1" applyFill="1" applyBorder="1"/>
    <xf numFmtId="9" fontId="63" fillId="52" borderId="45" xfId="0" applyNumberFormat="1" applyFont="1" applyFill="1" applyBorder="1" applyAlignment="1">
      <alignment horizontal="center"/>
    </xf>
    <xf numFmtId="10" fontId="63" fillId="52" borderId="45" xfId="0" applyNumberFormat="1" applyFont="1" applyFill="1" applyBorder="1" applyAlignment="1">
      <alignment horizontal="center"/>
    </xf>
    <xf numFmtId="0" fontId="57" fillId="0" borderId="0" xfId="0" applyFont="1" applyAlignment="1">
      <alignment horizontal="center"/>
    </xf>
    <xf numFmtId="0" fontId="63" fillId="5" borderId="1" xfId="0" applyFont="1" applyFill="1" applyBorder="1" applyAlignment="1">
      <alignment horizontal="left" vertical="top" wrapText="1"/>
    </xf>
    <xf numFmtId="9" fontId="22" fillId="5" borderId="0" xfId="0" applyNumberFormat="1" applyFont="1" applyFill="1" applyAlignment="1">
      <alignment horizontal="center"/>
    </xf>
    <xf numFmtId="9" fontId="22" fillId="5" borderId="1" xfId="0" applyNumberFormat="1" applyFont="1" applyFill="1" applyBorder="1" applyAlignment="1">
      <alignment horizontal="center"/>
    </xf>
    <xf numFmtId="0" fontId="58" fillId="10" borderId="1" xfId="0" applyFont="1" applyFill="1" applyBorder="1" applyAlignment="1">
      <alignment horizontal="center" vertical="center" wrapText="1"/>
    </xf>
    <xf numFmtId="0" fontId="58" fillId="10" borderId="2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/>
    </xf>
    <xf numFmtId="10" fontId="22" fillId="12" borderId="1" xfId="0" applyNumberFormat="1" applyFont="1" applyFill="1" applyBorder="1" applyAlignment="1">
      <alignment horizontal="center"/>
    </xf>
    <xf numFmtId="1" fontId="22" fillId="5" borderId="1" xfId="0" applyNumberFormat="1" applyFont="1" applyFill="1" applyBorder="1" applyAlignment="1">
      <alignment horizontal="center" vertical="top" wrapText="1"/>
    </xf>
    <xf numFmtId="10" fontId="22" fillId="5" borderId="1" xfId="0" applyNumberFormat="1" applyFont="1" applyFill="1" applyBorder="1" applyAlignment="1">
      <alignment horizontal="center" vertical="top" wrapText="1"/>
    </xf>
    <xf numFmtId="0" fontId="22" fillId="5" borderId="1" xfId="0" applyFont="1" applyFill="1" applyBorder="1" applyAlignment="1">
      <alignment horizontal="center" vertical="top" wrapText="1"/>
    </xf>
    <xf numFmtId="10" fontId="22" fillId="12" borderId="1" xfId="0" applyNumberFormat="1" applyFont="1" applyFill="1" applyBorder="1" applyAlignment="1">
      <alignment horizontal="center" vertical="top" wrapText="1"/>
    </xf>
    <xf numFmtId="0" fontId="41" fillId="0" borderId="0" xfId="0" applyFont="1"/>
    <xf numFmtId="0" fontId="41" fillId="10" borderId="1" xfId="0" applyFont="1" applyFill="1" applyBorder="1" applyAlignment="1">
      <alignment horizontal="center" wrapText="1"/>
    </xf>
    <xf numFmtId="165" fontId="22" fillId="0" borderId="1" xfId="0" applyNumberFormat="1" applyFont="1" applyBorder="1" applyAlignment="1">
      <alignment horizontal="center"/>
    </xf>
    <xf numFmtId="0" fontId="22" fillId="10" borderId="1" xfId="0" applyFont="1" applyFill="1" applyBorder="1"/>
    <xf numFmtId="10" fontId="57" fillId="0" borderId="0" xfId="0" applyNumberFormat="1" applyFont="1"/>
    <xf numFmtId="0" fontId="58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9" fontId="22" fillId="0" borderId="1" xfId="0" applyNumberFormat="1" applyFont="1" applyBorder="1"/>
    <xf numFmtId="0" fontId="63" fillId="52" borderId="1" xfId="0" applyFont="1" applyFill="1" applyBorder="1"/>
    <xf numFmtId="0" fontId="13" fillId="10" borderId="45" xfId="0" quotePrefix="1" applyFont="1" applyFill="1" applyBorder="1" applyAlignment="1">
      <alignment horizontal="center" vertical="center" wrapText="1"/>
    </xf>
    <xf numFmtId="0" fontId="13" fillId="10" borderId="45" xfId="0" applyFont="1" applyFill="1" applyBorder="1" applyAlignment="1">
      <alignment horizontal="center" vertical="center" wrapText="1"/>
    </xf>
    <xf numFmtId="0" fontId="22" fillId="0" borderId="32" xfId="0" applyFont="1" applyBorder="1" applyAlignment="1">
      <alignment horizontal="center"/>
    </xf>
    <xf numFmtId="165" fontId="22" fillId="0" borderId="20" xfId="1" applyNumberFormat="1" applyFont="1" applyBorder="1" applyAlignment="1">
      <alignment horizontal="center"/>
    </xf>
    <xf numFmtId="0" fontId="63" fillId="52" borderId="30" xfId="0" quotePrefix="1" applyFont="1" applyFill="1" applyBorder="1" applyAlignment="1">
      <alignment horizontal="left"/>
    </xf>
    <xf numFmtId="0" fontId="63" fillId="52" borderId="46" xfId="0" applyFont="1" applyFill="1" applyBorder="1" applyAlignment="1">
      <alignment horizontal="center"/>
    </xf>
    <xf numFmtId="165" fontId="63" fillId="52" borderId="48" xfId="1" applyNumberFormat="1" applyFont="1" applyFill="1" applyBorder="1" applyAlignment="1">
      <alignment horizontal="center"/>
    </xf>
    <xf numFmtId="0" fontId="66" fillId="5" borderId="1" xfId="0" applyFont="1" applyFill="1" applyBorder="1" applyAlignment="1">
      <alignment vertical="center" wrapText="1"/>
    </xf>
    <xf numFmtId="0" fontId="63" fillId="5" borderId="1" xfId="0" applyFont="1" applyFill="1" applyBorder="1"/>
    <xf numFmtId="2" fontId="63" fillId="52" borderId="1" xfId="0" applyNumberFormat="1" applyFont="1" applyFill="1" applyBorder="1"/>
    <xf numFmtId="10" fontId="63" fillId="52" borderId="1" xfId="0" applyNumberFormat="1" applyFont="1" applyFill="1" applyBorder="1"/>
    <xf numFmtId="0" fontId="62" fillId="2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13" fillId="10" borderId="9" xfId="0" applyFont="1" applyFill="1" applyBorder="1" applyAlignment="1">
      <alignment horizontal="center" vertical="center" wrapText="1"/>
    </xf>
    <xf numFmtId="0" fontId="13" fillId="10" borderId="10" xfId="0" quotePrefix="1" applyFont="1" applyFill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1" fontId="63" fillId="52" borderId="1" xfId="0" applyNumberFormat="1" applyFont="1" applyFill="1" applyBorder="1" applyAlignment="1">
      <alignment horizontal="center"/>
    </xf>
    <xf numFmtId="1" fontId="22" fillId="0" borderId="2" xfId="0" applyNumberFormat="1" applyFont="1" applyBorder="1" applyAlignment="1">
      <alignment horizontal="center"/>
    </xf>
    <xf numFmtId="0" fontId="58" fillId="10" borderId="47" xfId="0" applyFont="1" applyFill="1" applyBorder="1" applyAlignment="1">
      <alignment horizontal="center" vertical="center" wrapText="1"/>
    </xf>
    <xf numFmtId="0" fontId="58" fillId="10" borderId="23" xfId="0" applyFont="1" applyFill="1" applyBorder="1" applyAlignment="1">
      <alignment horizontal="center" vertical="center" wrapText="1"/>
    </xf>
    <xf numFmtId="0" fontId="22" fillId="0" borderId="1" xfId="71" applyFont="1" applyBorder="1" applyAlignment="1">
      <alignment horizontal="center" vertical="center" wrapText="1"/>
    </xf>
    <xf numFmtId="0" fontId="22" fillId="0" borderId="1" xfId="71" applyFont="1" applyBorder="1" applyAlignment="1">
      <alignment horizontal="center"/>
    </xf>
    <xf numFmtId="9" fontId="3" fillId="0" borderId="10" xfId="0" applyNumberFormat="1" applyFont="1" applyBorder="1" applyAlignment="1">
      <alignment horizontal="center" vertical="center"/>
    </xf>
    <xf numFmtId="0" fontId="4" fillId="52" borderId="29" xfId="0" applyFont="1" applyFill="1" applyBorder="1" applyAlignment="1">
      <alignment vertical="center"/>
    </xf>
    <xf numFmtId="9" fontId="4" fillId="52" borderId="14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52" borderId="15" xfId="0" applyNumberFormat="1" applyFont="1" applyFill="1" applyBorder="1" applyAlignment="1">
      <alignment horizontal="center" vertical="center"/>
    </xf>
    <xf numFmtId="1" fontId="4" fillId="52" borderId="16" xfId="0" applyNumberFormat="1" applyFont="1" applyFill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0" fontId="13" fillId="10" borderId="25" xfId="0" applyFont="1" applyFill="1" applyBorder="1" applyAlignment="1">
      <alignment horizontal="center" vertical="center" wrapText="1"/>
    </xf>
    <xf numFmtId="10" fontId="22" fillId="5" borderId="1" xfId="0" applyNumberFormat="1" applyFont="1" applyFill="1" applyBorder="1" applyAlignment="1">
      <alignment horizontal="center" vertical="center"/>
    </xf>
    <xf numFmtId="10" fontId="22" fillId="5" borderId="1" xfId="0" applyNumberFormat="1" applyFont="1" applyFill="1" applyBorder="1" applyAlignment="1">
      <alignment horizontal="center"/>
    </xf>
    <xf numFmtId="14" fontId="3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9" fontId="63" fillId="5" borderId="1" xfId="0" applyNumberFormat="1" applyFont="1" applyFill="1" applyBorder="1" applyAlignment="1">
      <alignment horizontal="center"/>
    </xf>
    <xf numFmtId="9" fontId="63" fillId="5" borderId="1" xfId="0" applyNumberFormat="1" applyFont="1" applyFill="1" applyBorder="1"/>
    <xf numFmtId="0" fontId="41" fillId="10" borderId="0" xfId="0" applyFont="1" applyFill="1" applyAlignment="1">
      <alignment horizontal="center" vertical="center" wrapText="1"/>
    </xf>
    <xf numFmtId="0" fontId="56" fillId="0" borderId="0" xfId="2" quotePrefix="1" applyFont="1" applyAlignment="1" applyProtection="1">
      <protection locked="0"/>
    </xf>
    <xf numFmtId="0" fontId="56" fillId="0" borderId="0" xfId="2" applyFont="1" applyAlignment="1"/>
    <xf numFmtId="0" fontId="59" fillId="47" borderId="2" xfId="0" quotePrefix="1" applyFont="1" applyFill="1" applyBorder="1" applyAlignment="1">
      <alignment horizontal="left" vertical="center"/>
    </xf>
    <xf numFmtId="10" fontId="22" fillId="0" borderId="1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0" fontId="63" fillId="52" borderId="1" xfId="0" applyFont="1" applyFill="1" applyBorder="1" applyAlignment="1">
      <alignment wrapText="1"/>
    </xf>
    <xf numFmtId="0" fontId="66" fillId="52" borderId="1" xfId="0" applyFont="1" applyFill="1" applyBorder="1" applyAlignment="1">
      <alignment vertical="center" wrapText="1"/>
    </xf>
    <xf numFmtId="0" fontId="41" fillId="10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/>
    </xf>
    <xf numFmtId="10" fontId="3" fillId="4" borderId="1" xfId="0" applyNumberFormat="1" applyFont="1" applyFill="1" applyBorder="1"/>
    <xf numFmtId="10" fontId="5" fillId="0" borderId="1" xfId="0" applyNumberFormat="1" applyFont="1" applyBorder="1"/>
    <xf numFmtId="0" fontId="57" fillId="0" borderId="17" xfId="0" applyFont="1" applyBorder="1"/>
    <xf numFmtId="0" fontId="13" fillId="10" borderId="56" xfId="0" applyFont="1" applyFill="1" applyBorder="1"/>
    <xf numFmtId="0" fontId="13" fillId="10" borderId="0" xfId="0" applyFont="1" applyFill="1"/>
    <xf numFmtId="165" fontId="0" fillId="0" borderId="0" xfId="0" applyNumberFormat="1"/>
    <xf numFmtId="9" fontId="0" fillId="0" borderId="0" xfId="0" applyNumberFormat="1"/>
    <xf numFmtId="1" fontId="3" fillId="0" borderId="0" xfId="0" applyNumberFormat="1" applyFont="1"/>
    <xf numFmtId="9" fontId="18" fillId="0" borderId="1" xfId="1" applyFont="1" applyBorder="1" applyAlignment="1">
      <alignment horizontal="center"/>
    </xf>
    <xf numFmtId="9" fontId="0" fillId="0" borderId="0" xfId="1" applyFont="1"/>
    <xf numFmtId="0" fontId="13" fillId="10" borderId="0" xfId="0" applyFont="1" applyFill="1" applyAlignment="1">
      <alignment horizontal="center"/>
    </xf>
    <xf numFmtId="10" fontId="22" fillId="0" borderId="1" xfId="0" applyNumberFormat="1" applyFont="1" applyBorder="1" applyAlignment="1">
      <alignment horizontal="center" vertical="center"/>
    </xf>
    <xf numFmtId="0" fontId="6" fillId="9" borderId="0" xfId="0" quotePrefix="1" applyFont="1" applyFill="1" applyAlignment="1">
      <alignment horizontal="left" vertical="top" wrapText="1" indent="2"/>
    </xf>
    <xf numFmtId="0" fontId="42" fillId="46" borderId="2" xfId="0" applyFont="1" applyFill="1" applyBorder="1" applyAlignment="1">
      <alignment horizontal="center"/>
    </xf>
    <xf numFmtId="0" fontId="42" fillId="46" borderId="26" xfId="0" applyFont="1" applyFill="1" applyBorder="1" applyAlignment="1">
      <alignment horizontal="center"/>
    </xf>
    <xf numFmtId="0" fontId="42" fillId="46" borderId="25" xfId="0" applyFont="1" applyFill="1" applyBorder="1" applyAlignment="1">
      <alignment horizontal="center"/>
    </xf>
    <xf numFmtId="0" fontId="6" fillId="9" borderId="0" xfId="0" quotePrefix="1" applyFont="1" applyFill="1" applyAlignment="1">
      <alignment horizontal="left" vertical="top" wrapText="1" indent="14"/>
    </xf>
    <xf numFmtId="0" fontId="6" fillId="9" borderId="0" xfId="0" quotePrefix="1" applyFont="1" applyFill="1" applyAlignment="1">
      <alignment horizontal="left" vertical="top" indent="14"/>
    </xf>
    <xf numFmtId="0" fontId="13" fillId="10" borderId="56" xfId="0" applyFont="1" applyFill="1" applyBorder="1" applyAlignment="1">
      <alignment horizontal="center"/>
    </xf>
    <xf numFmtId="0" fontId="13" fillId="10" borderId="0" xfId="0" applyFont="1" applyFill="1" applyAlignment="1">
      <alignment horizontal="center"/>
    </xf>
    <xf numFmtId="0" fontId="22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wrapText="1"/>
    </xf>
    <xf numFmtId="0" fontId="57" fillId="0" borderId="1" xfId="0" applyFont="1" applyBorder="1" applyAlignment="1"/>
    <xf numFmtId="10" fontId="22" fillId="0" borderId="1" xfId="0" applyNumberFormat="1" applyFont="1" applyBorder="1" applyAlignment="1">
      <alignment horizontal="center" vertical="center"/>
    </xf>
    <xf numFmtId="1" fontId="8" fillId="10" borderId="56" xfId="0" applyNumberFormat="1" applyFont="1" applyFill="1" applyBorder="1" applyAlignment="1">
      <alignment horizontal="center"/>
    </xf>
    <xf numFmtId="1" fontId="8" fillId="10" borderId="0" xfId="0" applyNumberFormat="1" applyFont="1" applyFill="1" applyAlignment="1">
      <alignment horizontal="center"/>
    </xf>
    <xf numFmtId="0" fontId="69" fillId="9" borderId="0" xfId="0" quotePrefix="1" applyFont="1" applyFill="1" applyAlignment="1">
      <alignment horizontal="left" vertical="center" wrapText="1" indent="14"/>
    </xf>
    <xf numFmtId="0" fontId="69" fillId="9" borderId="0" xfId="0" quotePrefix="1" applyFont="1" applyFill="1" applyAlignment="1">
      <alignment horizontal="left" vertical="center" indent="14"/>
    </xf>
    <xf numFmtId="166" fontId="3" fillId="11" borderId="0" xfId="0" applyNumberFormat="1" applyFont="1" applyFill="1" applyAlignment="1">
      <alignment horizontal="left" vertical="center" indent="14"/>
    </xf>
    <xf numFmtId="0" fontId="59" fillId="10" borderId="1" xfId="0" applyFont="1" applyFill="1" applyBorder="1" applyAlignment="1">
      <alignment horizontal="left"/>
    </xf>
    <xf numFmtId="0" fontId="8" fillId="10" borderId="20" xfId="0" applyFont="1" applyFill="1" applyBorder="1" applyAlignment="1">
      <alignment horizontal="center" vertical="center" wrapText="1"/>
    </xf>
    <xf numFmtId="0" fontId="50" fillId="0" borderId="4" xfId="0" applyFont="1" applyBorder="1" applyAlignment="1">
      <alignment wrapText="1"/>
    </xf>
    <xf numFmtId="0" fontId="8" fillId="10" borderId="1" xfId="0" applyFont="1" applyFill="1" applyBorder="1" applyAlignment="1">
      <alignment horizontal="center" vertical="center"/>
    </xf>
    <xf numFmtId="0" fontId="59" fillId="47" borderId="20" xfId="0" applyFont="1" applyFill="1" applyBorder="1" applyAlignment="1">
      <alignment horizontal="left" vertical="center"/>
    </xf>
    <xf numFmtId="0" fontId="59" fillId="47" borderId="4" xfId="0" applyFont="1" applyFill="1" applyBorder="1" applyAlignment="1">
      <alignment horizontal="left" vertical="center"/>
    </xf>
    <xf numFmtId="0" fontId="60" fillId="0" borderId="4" xfId="0" applyFont="1" applyBorder="1" applyAlignment="1">
      <alignment horizontal="left"/>
    </xf>
    <xf numFmtId="0" fontId="61" fillId="0" borderId="4" xfId="0" applyFont="1" applyBorder="1" applyAlignment="1">
      <alignment horizontal="left"/>
    </xf>
    <xf numFmtId="0" fontId="59" fillId="47" borderId="2" xfId="0" quotePrefix="1" applyFont="1" applyFill="1" applyBorder="1" applyAlignment="1">
      <alignment horizontal="left" vertical="center"/>
    </xf>
    <xf numFmtId="0" fontId="59" fillId="47" borderId="26" xfId="0" quotePrefix="1" applyFont="1" applyFill="1" applyBorder="1" applyAlignment="1">
      <alignment horizontal="left" vertical="center"/>
    </xf>
    <xf numFmtId="0" fontId="8" fillId="10" borderId="56" xfId="0" applyFont="1" applyFill="1" applyBorder="1" applyAlignment="1">
      <alignment horizontal="center"/>
    </xf>
    <xf numFmtId="0" fontId="8" fillId="10" borderId="0" xfId="0" applyFont="1" applyFill="1" applyAlignment="1">
      <alignment horizontal="center"/>
    </xf>
    <xf numFmtId="0" fontId="59" fillId="47" borderId="25" xfId="0" quotePrefix="1" applyFont="1" applyFill="1" applyBorder="1" applyAlignment="1">
      <alignment horizontal="left" vertical="center"/>
    </xf>
    <xf numFmtId="0" fontId="64" fillId="9" borderId="0" xfId="0" quotePrefix="1" applyFont="1" applyFill="1" applyAlignment="1">
      <alignment horizontal="left" vertical="top" wrapText="1" indent="14"/>
    </xf>
    <xf numFmtId="0" fontId="64" fillId="9" borderId="0" xfId="0" quotePrefix="1" applyFont="1" applyFill="1" applyAlignment="1">
      <alignment horizontal="left" vertical="top" indent="14"/>
    </xf>
    <xf numFmtId="0" fontId="22" fillId="0" borderId="17" xfId="0" applyFont="1" applyBorder="1" applyAlignment="1">
      <alignment horizontal="center" vertical="center" wrapText="1"/>
    </xf>
    <xf numFmtId="0" fontId="57" fillId="0" borderId="3" xfId="0" applyFont="1" applyBorder="1" applyAlignment="1">
      <alignment horizontal="center" vertical="center" wrapText="1"/>
    </xf>
    <xf numFmtId="0" fontId="57" fillId="0" borderId="18" xfId="0" applyFont="1" applyBorder="1" applyAlignment="1">
      <alignment horizontal="center" vertical="center" wrapText="1"/>
    </xf>
    <xf numFmtId="10" fontId="22" fillId="0" borderId="17" xfId="0" applyNumberFormat="1" applyFont="1" applyBorder="1" applyAlignment="1">
      <alignment horizontal="center" vertical="center"/>
    </xf>
    <xf numFmtId="0" fontId="57" fillId="0" borderId="3" xfId="0" applyFont="1" applyBorder="1" applyAlignment="1">
      <alignment horizontal="center" vertical="center"/>
    </xf>
    <xf numFmtId="0" fontId="57" fillId="0" borderId="18" xfId="0" applyFont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10" fontId="22" fillId="2" borderId="17" xfId="0" applyNumberFormat="1" applyFont="1" applyFill="1" applyBorder="1" applyAlignment="1">
      <alignment horizontal="center" vertical="center"/>
    </xf>
    <xf numFmtId="0" fontId="44" fillId="10" borderId="1" xfId="0" applyFont="1" applyFill="1" applyBorder="1" applyAlignment="1">
      <alignment horizontal="left"/>
    </xf>
    <xf numFmtId="0" fontId="22" fillId="2" borderId="11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2" borderId="49" xfId="0" applyFont="1" applyFill="1" applyBorder="1" applyAlignment="1">
      <alignment horizontal="center" vertical="center"/>
    </xf>
    <xf numFmtId="0" fontId="22" fillId="2" borderId="58" xfId="0" applyFont="1" applyFill="1" applyBorder="1" applyAlignment="1">
      <alignment horizontal="center" vertical="center"/>
    </xf>
    <xf numFmtId="0" fontId="22" fillId="2" borderId="24" xfId="0" applyFont="1" applyFill="1" applyBorder="1" applyAlignment="1">
      <alignment horizontal="center" vertical="center"/>
    </xf>
    <xf numFmtId="0" fontId="57" fillId="0" borderId="59" xfId="0" applyFont="1" applyBorder="1" applyAlignment="1">
      <alignment horizontal="center" vertical="center"/>
    </xf>
    <xf numFmtId="0" fontId="57" fillId="0" borderId="49" xfId="0" applyFont="1" applyBorder="1" applyAlignment="1">
      <alignment horizontal="center" vertical="center"/>
    </xf>
    <xf numFmtId="17" fontId="8" fillId="10" borderId="50" xfId="0" applyNumberFormat="1" applyFont="1" applyFill="1" applyBorder="1" applyAlignment="1">
      <alignment horizontal="center"/>
    </xf>
    <xf numFmtId="17" fontId="8" fillId="10" borderId="35" xfId="0" applyNumberFormat="1" applyFont="1" applyFill="1" applyBorder="1" applyAlignment="1">
      <alignment horizontal="center"/>
    </xf>
    <xf numFmtId="0" fontId="51" fillId="10" borderId="51" xfId="0" applyFont="1" applyFill="1" applyBorder="1" applyAlignment="1"/>
    <xf numFmtId="0" fontId="63" fillId="52" borderId="58" xfId="0" applyFont="1" applyFill="1" applyBorder="1" applyAlignment="1">
      <alignment horizontal="center" vertical="center"/>
    </xf>
    <xf numFmtId="0" fontId="63" fillId="52" borderId="24" xfId="0" applyFont="1" applyFill="1" applyBorder="1" applyAlignment="1">
      <alignment horizontal="center" vertical="center"/>
    </xf>
    <xf numFmtId="0" fontId="63" fillId="52" borderId="60" xfId="0" applyFont="1" applyFill="1" applyBorder="1" applyAlignment="1">
      <alignment horizontal="center" vertical="center"/>
    </xf>
    <xf numFmtId="0" fontId="6" fillId="9" borderId="0" xfId="0" quotePrefix="1" applyFont="1" applyFill="1" applyAlignment="1">
      <alignment horizontal="left" vertical="center" wrapText="1" indent="14"/>
    </xf>
    <xf numFmtId="0" fontId="6" fillId="9" borderId="0" xfId="0" quotePrefix="1" applyFont="1" applyFill="1" applyAlignment="1">
      <alignment horizontal="left" vertical="center" indent="14"/>
    </xf>
    <xf numFmtId="166" fontId="53" fillId="11" borderId="0" xfId="0" applyNumberFormat="1" applyFont="1" applyFill="1" applyAlignment="1">
      <alignment horizontal="left" vertical="center" indent="14"/>
    </xf>
    <xf numFmtId="0" fontId="63" fillId="52" borderId="27" xfId="0" applyFont="1" applyFill="1" applyBorder="1" applyAlignment="1">
      <alignment horizontal="center" vertical="center"/>
    </xf>
    <xf numFmtId="0" fontId="65" fillId="52" borderId="53" xfId="0" applyFont="1" applyFill="1" applyBorder="1" applyAlignment="1">
      <alignment horizontal="center" vertical="center"/>
    </xf>
    <xf numFmtId="0" fontId="57" fillId="52" borderId="54" xfId="0" applyFont="1" applyFill="1" applyBorder="1" applyAlignment="1">
      <alignment horizontal="center" vertical="center"/>
    </xf>
    <xf numFmtId="17" fontId="8" fillId="10" borderId="24" xfId="0" applyNumberFormat="1" applyFont="1" applyFill="1" applyBorder="1" applyAlignment="1">
      <alignment horizontal="center"/>
    </xf>
    <xf numFmtId="17" fontId="8" fillId="10" borderId="0" xfId="0" applyNumberFormat="1" applyFont="1" applyFill="1" applyAlignment="1">
      <alignment horizontal="center"/>
    </xf>
    <xf numFmtId="0" fontId="63" fillId="52" borderId="61" xfId="0" applyFont="1" applyFill="1" applyBorder="1" applyAlignment="1">
      <alignment horizontal="center" vertical="center"/>
    </xf>
    <xf numFmtId="0" fontId="63" fillId="52" borderId="12" xfId="0" applyFont="1" applyFill="1" applyBorder="1" applyAlignment="1">
      <alignment horizontal="center" vertical="center"/>
    </xf>
    <xf numFmtId="0" fontId="63" fillId="52" borderId="13" xfId="0" applyFont="1" applyFill="1" applyBorder="1" applyAlignment="1">
      <alignment horizontal="center" vertical="center"/>
    </xf>
    <xf numFmtId="0" fontId="63" fillId="52" borderId="11" xfId="0" applyFont="1" applyFill="1" applyBorder="1" applyAlignment="1">
      <alignment horizontal="center" vertical="center"/>
    </xf>
    <xf numFmtId="0" fontId="63" fillId="52" borderId="53" xfId="0" applyFont="1" applyFill="1" applyBorder="1" applyAlignment="1">
      <alignment horizontal="center" vertical="center"/>
    </xf>
    <xf numFmtId="0" fontId="63" fillId="52" borderId="54" xfId="0" applyFont="1" applyFill="1" applyBorder="1" applyAlignment="1">
      <alignment horizontal="center" vertical="center"/>
    </xf>
    <xf numFmtId="0" fontId="59" fillId="9" borderId="0" xfId="0" quotePrefix="1" applyFont="1" applyFill="1" applyAlignment="1">
      <alignment horizontal="left" vertical="center" wrapText="1" indent="14"/>
    </xf>
    <xf numFmtId="0" fontId="50" fillId="0" borderId="0" xfId="0" applyFont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41" fillId="10" borderId="2" xfId="0" applyFont="1" applyFill="1" applyBorder="1" applyAlignment="1">
      <alignment horizontal="center" vertical="center" wrapText="1"/>
    </xf>
    <xf numFmtId="0" fontId="41" fillId="10" borderId="26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66" fillId="49" borderId="2" xfId="0" applyFont="1" applyFill="1" applyBorder="1" applyAlignment="1">
      <alignment horizontal="center" vertical="center" wrapText="1"/>
    </xf>
    <xf numFmtId="0" fontId="62" fillId="49" borderId="26" xfId="0" applyFont="1" applyFill="1" applyBorder="1" applyAlignment="1">
      <alignment horizontal="center" vertical="center" wrapText="1"/>
    </xf>
    <xf numFmtId="0" fontId="62" fillId="49" borderId="25" xfId="0" applyFont="1" applyFill="1" applyBorder="1" applyAlignment="1">
      <alignment horizontal="center" vertical="center" wrapText="1"/>
    </xf>
    <xf numFmtId="0" fontId="41" fillId="10" borderId="25" xfId="0" applyFont="1" applyFill="1" applyBorder="1" applyAlignment="1">
      <alignment horizontal="center" vertical="center" wrapText="1"/>
    </xf>
    <xf numFmtId="0" fontId="66" fillId="49" borderId="26" xfId="0" applyFont="1" applyFill="1" applyBorder="1" applyAlignment="1">
      <alignment horizontal="center" vertical="center" wrapText="1"/>
    </xf>
    <xf numFmtId="0" fontId="66" fillId="49" borderId="25" xfId="0" applyFont="1" applyFill="1" applyBorder="1" applyAlignment="1">
      <alignment horizontal="center" vertical="center" wrapText="1"/>
    </xf>
    <xf numFmtId="0" fontId="57" fillId="0" borderId="26" xfId="0" applyFont="1" applyBorder="1" applyAlignment="1">
      <alignment horizontal="center" vertical="center" wrapText="1"/>
    </xf>
    <xf numFmtId="0" fontId="57" fillId="0" borderId="25" xfId="0" applyFont="1" applyBorder="1" applyAlignment="1">
      <alignment horizontal="center" vertical="center" wrapText="1"/>
    </xf>
    <xf numFmtId="0" fontId="67" fillId="49" borderId="26" xfId="0" applyFont="1" applyFill="1" applyBorder="1" applyAlignment="1">
      <alignment horizontal="center" vertical="center" wrapText="1"/>
    </xf>
    <xf numFmtId="0" fontId="67" fillId="49" borderId="25" xfId="0" applyFont="1" applyFill="1" applyBorder="1" applyAlignment="1">
      <alignment horizontal="center" vertical="center" wrapText="1"/>
    </xf>
    <xf numFmtId="0" fontId="6" fillId="9" borderId="0" xfId="0" quotePrefix="1" applyFont="1" applyFill="1" applyAlignment="1">
      <alignment horizontal="left" vertical="top" wrapText="1" indent="19"/>
    </xf>
    <xf numFmtId="166" fontId="3" fillId="11" borderId="0" xfId="0" applyNumberFormat="1" applyFont="1" applyFill="1" applyAlignment="1">
      <alignment horizontal="left" vertical="center" indent="19"/>
    </xf>
    <xf numFmtId="0" fontId="6" fillId="9" borderId="0" xfId="0" quotePrefix="1" applyFont="1" applyFill="1" applyAlignment="1">
      <alignment horizontal="left" wrapText="1" indent="19"/>
    </xf>
    <xf numFmtId="0" fontId="6" fillId="9" borderId="0" xfId="0" quotePrefix="1" applyFont="1" applyFill="1" applyAlignment="1">
      <alignment horizontal="left" vertical="center" wrapText="1" indent="15"/>
    </xf>
    <xf numFmtId="166" fontId="3" fillId="11" borderId="0" xfId="0" applyNumberFormat="1" applyFont="1" applyFill="1" applyAlignment="1">
      <alignment horizontal="left" vertical="center" indent="15"/>
    </xf>
    <xf numFmtId="0" fontId="70" fillId="9" borderId="0" xfId="0" quotePrefix="1" applyFont="1" applyFill="1" applyAlignment="1">
      <alignment horizontal="left" vertical="center" wrapText="1"/>
    </xf>
    <xf numFmtId="0" fontId="70" fillId="9" borderId="0" xfId="0" quotePrefix="1" applyFont="1" applyFill="1" applyAlignment="1">
      <alignment horizontal="left" vertical="center"/>
    </xf>
    <xf numFmtId="166" fontId="3" fillId="11" borderId="0" xfId="0" applyNumberFormat="1" applyFont="1" applyFill="1" applyAlignment="1">
      <alignment horizontal="left" vertical="center" indent="4"/>
    </xf>
    <xf numFmtId="0" fontId="6" fillId="9" borderId="0" xfId="0" quotePrefix="1" applyFont="1" applyFill="1" applyAlignment="1">
      <alignment horizontal="left" vertical="center" wrapText="1" indent="19"/>
    </xf>
    <xf numFmtId="166" fontId="3" fillId="11" borderId="0" xfId="0" applyNumberFormat="1" applyFont="1" applyFill="1" applyAlignment="1">
      <alignment horizontal="left" vertical="center" indent="20"/>
    </xf>
    <xf numFmtId="166" fontId="3" fillId="11" borderId="0" xfId="0" applyNumberFormat="1" applyFont="1" applyFill="1" applyAlignment="1">
      <alignment horizontal="left" vertical="center" indent="10"/>
    </xf>
    <xf numFmtId="0" fontId="69" fillId="9" borderId="0" xfId="0" quotePrefix="1" applyFont="1" applyFill="1" applyAlignment="1">
      <alignment horizontal="left" vertical="center" indent="10"/>
    </xf>
    <xf numFmtId="0" fontId="69" fillId="9" borderId="0" xfId="0" applyFont="1" applyFill="1" applyAlignment="1">
      <alignment horizontal="left" vertical="center" indent="14"/>
    </xf>
    <xf numFmtId="166" fontId="3" fillId="11" borderId="24" xfId="0" applyNumberFormat="1" applyFont="1" applyFill="1" applyBorder="1" applyAlignment="1">
      <alignment horizontal="left" vertical="center" indent="20"/>
    </xf>
    <xf numFmtId="0" fontId="4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8" fillId="10" borderId="0" xfId="0" applyFont="1" applyFill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20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8" fillId="10" borderId="21" xfId="0" applyFont="1" applyFill="1" applyBorder="1" applyAlignment="1">
      <alignment horizontal="center"/>
    </xf>
    <xf numFmtId="0" fontId="69" fillId="9" borderId="0" xfId="0" applyFont="1" applyFill="1" applyAlignment="1">
      <alignment horizontal="left" vertical="center" indent="12"/>
    </xf>
    <xf numFmtId="166" fontId="3" fillId="11" borderId="0" xfId="0" applyNumberFormat="1" applyFont="1" applyFill="1" applyAlignment="1">
      <alignment horizontal="left" vertical="center" indent="13"/>
    </xf>
    <xf numFmtId="0" fontId="8" fillId="10" borderId="22" xfId="0" applyFont="1" applyFill="1" applyBorder="1" applyAlignment="1">
      <alignment horizontal="center" vertical="center" wrapText="1"/>
    </xf>
    <xf numFmtId="0" fontId="8" fillId="10" borderId="34" xfId="0" applyFont="1" applyFill="1" applyBorder="1" applyAlignment="1">
      <alignment horizontal="center" vertical="center" wrapText="1"/>
    </xf>
    <xf numFmtId="0" fontId="8" fillId="10" borderId="33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69" fillId="9" borderId="0" xfId="0" quotePrefix="1" applyFont="1" applyFill="1" applyAlignment="1">
      <alignment horizontal="left" vertical="center" wrapText="1" indent="13"/>
    </xf>
    <xf numFmtId="0" fontId="13" fillId="10" borderId="22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13" fillId="10" borderId="2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9" fillId="9" borderId="0" xfId="0" applyFont="1" applyFill="1" applyAlignment="1">
      <alignment horizontal="left" vertical="center" indent="11"/>
    </xf>
    <xf numFmtId="166" fontId="3" fillId="11" borderId="0" xfId="0" applyNumberFormat="1" applyFont="1" applyFill="1" applyAlignment="1">
      <alignment horizontal="left" vertical="center" indent="11"/>
    </xf>
    <xf numFmtId="0" fontId="13" fillId="10" borderId="50" xfId="0" quotePrefix="1" applyFont="1" applyFill="1" applyBorder="1" applyAlignment="1">
      <alignment horizontal="center" wrapText="1"/>
    </xf>
    <xf numFmtId="0" fontId="13" fillId="10" borderId="35" xfId="0" applyFont="1" applyFill="1" applyBorder="1" applyAlignment="1">
      <alignment horizontal="center" wrapText="1"/>
    </xf>
    <xf numFmtId="0" fontId="13" fillId="10" borderId="27" xfId="0" applyFont="1" applyFill="1" applyBorder="1" applyAlignment="1">
      <alignment horizontal="center" vertical="center" wrapText="1"/>
    </xf>
    <xf numFmtId="0" fontId="13" fillId="10" borderId="28" xfId="0" applyFont="1" applyFill="1" applyBorder="1" applyAlignment="1">
      <alignment horizontal="center" vertical="center" wrapText="1"/>
    </xf>
    <xf numFmtId="0" fontId="13" fillId="10" borderId="52" xfId="0" quotePrefix="1" applyFont="1" applyFill="1" applyBorder="1" applyAlignment="1">
      <alignment horizontal="center" vertical="center" wrapText="1"/>
    </xf>
    <xf numFmtId="0" fontId="13" fillId="10" borderId="28" xfId="0" quotePrefix="1" applyFont="1" applyFill="1" applyBorder="1" applyAlignment="1">
      <alignment horizontal="center" vertical="center" wrapText="1"/>
    </xf>
    <xf numFmtId="0" fontId="13" fillId="10" borderId="31" xfId="0" applyFont="1" applyFill="1" applyBorder="1" applyAlignment="1">
      <alignment horizontal="center" vertical="center" wrapText="1"/>
    </xf>
    <xf numFmtId="0" fontId="13" fillId="10" borderId="55" xfId="0" quotePrefix="1" applyFont="1" applyFill="1" applyBorder="1" applyAlignment="1">
      <alignment horizontal="center" vertical="center" wrapText="1"/>
    </xf>
    <xf numFmtId="0" fontId="13" fillId="10" borderId="29" xfId="0" quotePrefix="1" applyFont="1" applyFill="1" applyBorder="1" applyAlignment="1">
      <alignment horizontal="center" vertical="center" wrapText="1"/>
    </xf>
    <xf numFmtId="0" fontId="22" fillId="0" borderId="1" xfId="0" applyFont="1" applyBorder="1" applyAlignment="1"/>
    <xf numFmtId="0" fontId="0" fillId="0" borderId="1" xfId="0" applyBorder="1" applyAlignment="1"/>
    <xf numFmtId="0" fontId="63" fillId="52" borderId="1" xfId="0" applyFont="1" applyFill="1" applyBorder="1" applyAlignment="1">
      <alignment wrapText="1"/>
    </xf>
    <xf numFmtId="0" fontId="41" fillId="10" borderId="5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8" fillId="9" borderId="0" xfId="0" applyFont="1" applyFill="1" applyAlignment="1">
      <alignment horizontal="left" vertical="center" wrapText="1" indent="13"/>
    </xf>
    <xf numFmtId="0" fontId="68" fillId="9" borderId="0" xfId="0" applyFont="1" applyFill="1" applyAlignment="1">
      <alignment horizontal="left" vertical="center" indent="13"/>
    </xf>
    <xf numFmtId="0" fontId="16" fillId="0" borderId="4" xfId="0" applyFont="1" applyBorder="1" applyAlignment="1">
      <alignment horizontal="center"/>
    </xf>
    <xf numFmtId="0" fontId="41" fillId="10" borderId="22" xfId="0" applyFont="1" applyFill="1" applyBorder="1" applyAlignment="1">
      <alignment horizontal="center" vertical="center" wrapText="1"/>
    </xf>
    <xf numFmtId="0" fontId="41" fillId="10" borderId="33" xfId="0" applyFont="1" applyFill="1" applyBorder="1" applyAlignment="1">
      <alignment horizontal="center" vertical="center" wrapText="1"/>
    </xf>
    <xf numFmtId="0" fontId="57" fillId="0" borderId="20" xfId="0" applyFont="1" applyBorder="1" applyAlignment="1">
      <alignment horizontal="center" vertical="center" wrapText="1"/>
    </xf>
    <xf numFmtId="0" fontId="57" fillId="0" borderId="32" xfId="0" applyFont="1" applyBorder="1" applyAlignment="1">
      <alignment horizontal="center" vertical="center" wrapText="1"/>
    </xf>
    <xf numFmtId="0" fontId="66" fillId="5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41" fillId="10" borderId="1" xfId="0" applyFont="1" applyFill="1" applyBorder="1" applyAlignment="1">
      <alignment horizontal="center" vertical="center" wrapText="1"/>
    </xf>
    <xf numFmtId="1" fontId="63" fillId="52" borderId="2" xfId="0" applyNumberFormat="1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71" fillId="9" borderId="0" xfId="0" applyFont="1" applyFill="1" applyAlignment="1">
      <alignment horizontal="left" vertical="center" indent="17"/>
    </xf>
    <xf numFmtId="166" fontId="3" fillId="11" borderId="0" xfId="0" applyNumberFormat="1" applyFont="1" applyFill="1" applyAlignment="1">
      <alignment horizontal="left" vertical="center" indent="17"/>
    </xf>
    <xf numFmtId="0" fontId="8" fillId="10" borderId="20" xfId="0" applyFont="1" applyFill="1" applyBorder="1" applyAlignment="1">
      <alignment horizontal="left" vertical="center" wrapText="1"/>
    </xf>
    <xf numFmtId="0" fontId="50" fillId="0" borderId="4" xfId="0" applyFont="1" applyBorder="1" applyAlignment="1">
      <alignment horizontal="left" wrapText="1"/>
    </xf>
    <xf numFmtId="0" fontId="13" fillId="10" borderId="1" xfId="0" applyFont="1" applyFill="1" applyBorder="1" applyAlignment="1">
      <alignment horizontal="center" vertical="center"/>
    </xf>
    <xf numFmtId="0" fontId="69" fillId="9" borderId="0" xfId="0" quotePrefix="1" applyFont="1" applyFill="1" applyAlignment="1">
      <alignment horizontal="left" vertical="center" indent="16"/>
    </xf>
    <xf numFmtId="166" fontId="3" fillId="11" borderId="0" xfId="0" applyNumberFormat="1" applyFont="1" applyFill="1" applyAlignment="1">
      <alignment horizontal="left" vertical="center" indent="16"/>
    </xf>
    <xf numFmtId="0" fontId="13" fillId="10" borderId="5" xfId="0" applyFont="1" applyFill="1" applyBorder="1" applyAlignment="1">
      <alignment horizontal="center" vertical="top"/>
    </xf>
    <xf numFmtId="0" fontId="13" fillId="10" borderId="6" xfId="0" applyFont="1" applyFill="1" applyBorder="1" applyAlignment="1">
      <alignment horizontal="center" vertical="top"/>
    </xf>
    <xf numFmtId="0" fontId="13" fillId="10" borderId="19" xfId="0" applyFont="1" applyFill="1" applyBorder="1" applyAlignment="1">
      <alignment horizontal="center" vertical="top"/>
    </xf>
    <xf numFmtId="0" fontId="8" fillId="10" borderId="27" xfId="0" applyFont="1" applyFill="1" applyBorder="1" applyAlignment="1">
      <alignment horizontal="center" vertical="center"/>
    </xf>
    <xf numFmtId="0" fontId="8" fillId="10" borderId="59" xfId="0" applyFont="1" applyFill="1" applyBorder="1" applyAlignment="1">
      <alignment horizontal="center" vertical="center"/>
    </xf>
    <xf numFmtId="0" fontId="43" fillId="9" borderId="0" xfId="0" applyFont="1" applyFill="1" applyAlignment="1">
      <alignment horizontal="left" vertical="center" indent="14"/>
    </xf>
    <xf numFmtId="0" fontId="47" fillId="5" borderId="0" xfId="0" applyFont="1" applyFill="1" applyAlignment="1">
      <alignment horizontal="left" vertical="center" wrapText="1" indent="14"/>
    </xf>
    <xf numFmtId="14" fontId="11" fillId="11" borderId="0" xfId="0" applyNumberFormat="1" applyFont="1" applyFill="1" applyAlignment="1">
      <alignment horizontal="left" vertical="center" indent="3"/>
    </xf>
    <xf numFmtId="0" fontId="43" fillId="9" borderId="0" xfId="0" applyFont="1" applyFill="1" applyAlignment="1">
      <alignment horizontal="left" vertical="center" indent="13"/>
    </xf>
    <xf numFmtId="0" fontId="72" fillId="5" borderId="0" xfId="0" applyFont="1" applyFill="1" applyAlignment="1">
      <alignment horizontal="left" vertical="center" wrapText="1" indent="11"/>
    </xf>
    <xf numFmtId="14" fontId="3" fillId="11" borderId="0" xfId="0" applyNumberFormat="1" applyFont="1" applyFill="1" applyAlignment="1">
      <alignment horizontal="left" vertical="center" indent="3"/>
    </xf>
    <xf numFmtId="0" fontId="10" fillId="5" borderId="0" xfId="0" applyFont="1" applyFill="1" applyAlignment="1">
      <alignment horizontal="left" vertical="center" wrapText="1" indent="11"/>
    </xf>
  </cellXfs>
  <cellStyles count="148">
    <cellStyle name="20% - Accent1 2" xfId="22" xr:uid="{00000000-0005-0000-0000-000000000000}"/>
    <cellStyle name="20% - Accent1 2 2" xfId="48" xr:uid="{00000000-0005-0000-0000-000001000000}"/>
    <cellStyle name="20% - Accent1 2 2 2" xfId="130" xr:uid="{33967C49-4432-447E-8D57-D71CF940BB5E}"/>
    <cellStyle name="20% - Accent1 2 3" xfId="110" xr:uid="{DD7C2380-8443-452D-8A23-E940DF02E28D}"/>
    <cellStyle name="20% - Accent1 3" xfId="85" xr:uid="{00000000-0005-0000-0000-000002000000}"/>
    <cellStyle name="20% - Accent2 2" xfId="26" xr:uid="{00000000-0005-0000-0000-000003000000}"/>
    <cellStyle name="20% - Accent2 2 2" xfId="51" xr:uid="{00000000-0005-0000-0000-000004000000}"/>
    <cellStyle name="20% - Accent2 2 2 2" xfId="133" xr:uid="{FE1AC290-7B99-4DBF-BD3E-6F15727F8E3E}"/>
    <cellStyle name="20% - Accent2 2 3" xfId="113" xr:uid="{21B81CDF-0569-4F71-A279-19AB22419F8C}"/>
    <cellStyle name="20% - Accent2 3" xfId="89" xr:uid="{00000000-0005-0000-0000-000005000000}"/>
    <cellStyle name="20% - Accent3 2" xfId="30" xr:uid="{00000000-0005-0000-0000-000006000000}"/>
    <cellStyle name="20% - Accent3 2 2" xfId="54" xr:uid="{00000000-0005-0000-0000-000007000000}"/>
    <cellStyle name="20% - Accent3 2 2 2" xfId="136" xr:uid="{761DE16F-DBAF-46D1-9F15-08F1D6046658}"/>
    <cellStyle name="20% - Accent3 2 3" xfId="116" xr:uid="{AEA13515-DEB0-4368-A284-EA5FEFB02B34}"/>
    <cellStyle name="20% - Accent3 3" xfId="93" xr:uid="{00000000-0005-0000-0000-000008000000}"/>
    <cellStyle name="20% - Accent4 2" xfId="34" xr:uid="{00000000-0005-0000-0000-000009000000}"/>
    <cellStyle name="20% - Accent4 2 2" xfId="57" xr:uid="{00000000-0005-0000-0000-00000A000000}"/>
    <cellStyle name="20% - Accent4 2 2 2" xfId="139" xr:uid="{A8A302DF-0FF8-477E-8F35-590F2C1A7365}"/>
    <cellStyle name="20% - Accent4 2 3" xfId="119" xr:uid="{BBD62146-01BF-40DE-A80F-26B5D0E15775}"/>
    <cellStyle name="20% - Accent4 3" xfId="97" xr:uid="{00000000-0005-0000-0000-00000B000000}"/>
    <cellStyle name="20% - Accent5 2" xfId="38" xr:uid="{00000000-0005-0000-0000-00000C000000}"/>
    <cellStyle name="20% - Accent5 2 2" xfId="60" xr:uid="{00000000-0005-0000-0000-00000D000000}"/>
    <cellStyle name="20% - Accent5 2 2 2" xfId="142" xr:uid="{ECE7EA30-073D-4BA4-BECC-092713ADFB0D}"/>
    <cellStyle name="20% - Accent5 2 3" xfId="122" xr:uid="{6E571B58-B1CE-4C04-A67B-56F6350EC402}"/>
    <cellStyle name="20% - Accent5 3" xfId="101" xr:uid="{00000000-0005-0000-0000-00000E000000}"/>
    <cellStyle name="20% - Accent6 2" xfId="42" xr:uid="{00000000-0005-0000-0000-00000F000000}"/>
    <cellStyle name="20% - Accent6 2 2" xfId="63" xr:uid="{00000000-0005-0000-0000-000010000000}"/>
    <cellStyle name="20% - Accent6 2 2 2" xfId="145" xr:uid="{8645E9E3-5E1C-461C-99E1-EC2FA89031BD}"/>
    <cellStyle name="20% - Accent6 2 3" xfId="125" xr:uid="{4ADFD6CF-88AF-40F0-93D0-82CD4B56E626}"/>
    <cellStyle name="20% - Accent6 3" xfId="105" xr:uid="{00000000-0005-0000-0000-000011000000}"/>
    <cellStyle name="40% - Accent1 2" xfId="23" xr:uid="{00000000-0005-0000-0000-000012000000}"/>
    <cellStyle name="40% - Accent1 2 2" xfId="49" xr:uid="{00000000-0005-0000-0000-000013000000}"/>
    <cellStyle name="40% - Accent1 2 2 2" xfId="131" xr:uid="{E8DF8D03-E980-4FD8-BEC6-79D6A5F4D5A8}"/>
    <cellStyle name="40% - Accent1 2 3" xfId="111" xr:uid="{AB874945-28E7-4D19-B0E5-2826E880B0F2}"/>
    <cellStyle name="40% - Accent1 3" xfId="86" xr:uid="{00000000-0005-0000-0000-000014000000}"/>
    <cellStyle name="40% - Accent2 2" xfId="27" xr:uid="{00000000-0005-0000-0000-000015000000}"/>
    <cellStyle name="40% - Accent2 2 2" xfId="52" xr:uid="{00000000-0005-0000-0000-000016000000}"/>
    <cellStyle name="40% - Accent2 2 2 2" xfId="134" xr:uid="{49CE6658-7AFB-4185-9746-9F489F217FFC}"/>
    <cellStyle name="40% - Accent2 2 3" xfId="114" xr:uid="{56959326-ADB3-442A-9A8E-FF36F14F511C}"/>
    <cellStyle name="40% - Accent2 3" xfId="90" xr:uid="{00000000-0005-0000-0000-000017000000}"/>
    <cellStyle name="40% - Accent3 2" xfId="31" xr:uid="{00000000-0005-0000-0000-000018000000}"/>
    <cellStyle name="40% - Accent3 2 2" xfId="55" xr:uid="{00000000-0005-0000-0000-000019000000}"/>
    <cellStyle name="40% - Accent3 2 2 2" xfId="137" xr:uid="{03CD9855-5FCF-42AE-925B-F4C3B70BAE7D}"/>
    <cellStyle name="40% - Accent3 2 3" xfId="117" xr:uid="{4B9EBC19-6260-4A19-9F59-C2B98AC210FB}"/>
    <cellStyle name="40% - Accent3 3" xfId="94" xr:uid="{00000000-0005-0000-0000-00001A000000}"/>
    <cellStyle name="40% - Accent4 2" xfId="35" xr:uid="{00000000-0005-0000-0000-00001B000000}"/>
    <cellStyle name="40% - Accent4 2 2" xfId="58" xr:uid="{00000000-0005-0000-0000-00001C000000}"/>
    <cellStyle name="40% - Accent4 2 2 2" xfId="140" xr:uid="{8B18522B-76B8-45C5-A832-EF9A2F7D7FBE}"/>
    <cellStyle name="40% - Accent4 2 3" xfId="120" xr:uid="{D118D649-1E77-435C-8E67-0369FBCB2F82}"/>
    <cellStyle name="40% - Accent4 3" xfId="98" xr:uid="{00000000-0005-0000-0000-00001D000000}"/>
    <cellStyle name="40% - Accent5 2" xfId="39" xr:uid="{00000000-0005-0000-0000-00001E000000}"/>
    <cellStyle name="40% - Accent5 2 2" xfId="61" xr:uid="{00000000-0005-0000-0000-00001F000000}"/>
    <cellStyle name="40% - Accent5 2 2 2" xfId="143" xr:uid="{82716AA9-03D3-4FCB-AD11-396D48704536}"/>
    <cellStyle name="40% - Accent5 2 3" xfId="123" xr:uid="{C4EC3B2F-B7C1-4065-A7F6-C455D11496AA}"/>
    <cellStyle name="40% - Accent5 3" xfId="102" xr:uid="{00000000-0005-0000-0000-000020000000}"/>
    <cellStyle name="40% - Accent6 2" xfId="43" xr:uid="{00000000-0005-0000-0000-000021000000}"/>
    <cellStyle name="40% - Accent6 2 2" xfId="64" xr:uid="{00000000-0005-0000-0000-000022000000}"/>
    <cellStyle name="40% - Accent6 2 2 2" xfId="146" xr:uid="{9FF76641-ADF0-4CCD-B3E0-A55CDA6101CC}"/>
    <cellStyle name="40% - Accent6 2 3" xfId="126" xr:uid="{670D7905-7CA9-4D48-86E1-AF6812F45972}"/>
    <cellStyle name="40% - Accent6 3" xfId="106" xr:uid="{00000000-0005-0000-0000-000023000000}"/>
    <cellStyle name="60% - Accent1 2" xfId="24" xr:uid="{00000000-0005-0000-0000-000024000000}"/>
    <cellStyle name="60% - Accent1 2 2" xfId="50" xr:uid="{00000000-0005-0000-0000-000025000000}"/>
    <cellStyle name="60% - Accent1 2 2 2" xfId="132" xr:uid="{339C23FF-9400-409E-B566-C07FB0E424C3}"/>
    <cellStyle name="60% - Accent1 2 3" xfId="112" xr:uid="{9182A7D3-B8A9-4C1D-9133-52D108034402}"/>
    <cellStyle name="60% - Accent1 3" xfId="87" xr:uid="{00000000-0005-0000-0000-000026000000}"/>
    <cellStyle name="60% - Accent2 2" xfId="28" xr:uid="{00000000-0005-0000-0000-000027000000}"/>
    <cellStyle name="60% - Accent2 2 2" xfId="53" xr:uid="{00000000-0005-0000-0000-000028000000}"/>
    <cellStyle name="60% - Accent2 2 2 2" xfId="135" xr:uid="{00A4681C-1716-4992-B8EA-ABA306BFA94B}"/>
    <cellStyle name="60% - Accent2 2 3" xfId="115" xr:uid="{F72D6B13-2EAB-4628-882F-486F3353C130}"/>
    <cellStyle name="60% - Accent2 3" xfId="91" xr:uid="{00000000-0005-0000-0000-000029000000}"/>
    <cellStyle name="60% - Accent3 2" xfId="32" xr:uid="{00000000-0005-0000-0000-00002A000000}"/>
    <cellStyle name="60% - Accent3 2 2" xfId="56" xr:uid="{00000000-0005-0000-0000-00002B000000}"/>
    <cellStyle name="60% - Accent3 2 2 2" xfId="138" xr:uid="{B663B948-656F-42F2-A877-9608E442A1B7}"/>
    <cellStyle name="60% - Accent3 2 3" xfId="118" xr:uid="{F714B51B-1555-4154-A785-F966A4E148A1}"/>
    <cellStyle name="60% - Accent3 3" xfId="95" xr:uid="{00000000-0005-0000-0000-00002C000000}"/>
    <cellStyle name="60% - Accent4 2" xfId="36" xr:uid="{00000000-0005-0000-0000-00002D000000}"/>
    <cellStyle name="60% - Accent4 2 2" xfId="59" xr:uid="{00000000-0005-0000-0000-00002E000000}"/>
    <cellStyle name="60% - Accent4 2 2 2" xfId="141" xr:uid="{7F308E04-5783-49A7-B0AA-154AF2C64105}"/>
    <cellStyle name="60% - Accent4 2 3" xfId="121" xr:uid="{EF54B43A-322D-4C13-AAA3-E4143A72DE22}"/>
    <cellStyle name="60% - Accent4 3" xfId="99" xr:uid="{00000000-0005-0000-0000-00002F000000}"/>
    <cellStyle name="60% - Accent5 2" xfId="40" xr:uid="{00000000-0005-0000-0000-000030000000}"/>
    <cellStyle name="60% - Accent5 2 2" xfId="62" xr:uid="{00000000-0005-0000-0000-000031000000}"/>
    <cellStyle name="60% - Accent5 2 2 2" xfId="144" xr:uid="{2ADEAAFE-AE44-4CE6-A293-023F32D962E3}"/>
    <cellStyle name="60% - Accent5 2 3" xfId="124" xr:uid="{3BF32703-A110-4672-A13D-653C8F289531}"/>
    <cellStyle name="60% - Accent5 3" xfId="103" xr:uid="{00000000-0005-0000-0000-000032000000}"/>
    <cellStyle name="60% - Accent6 2" xfId="44" xr:uid="{00000000-0005-0000-0000-000033000000}"/>
    <cellStyle name="60% - Accent6 2 2" xfId="65" xr:uid="{00000000-0005-0000-0000-000034000000}"/>
    <cellStyle name="60% - Accent6 2 2 2" xfId="147" xr:uid="{227F6F7C-AE7C-442F-AC1B-D08B021C5CC3}"/>
    <cellStyle name="60% - Accent6 2 3" xfId="127" xr:uid="{40233194-A315-40B1-B47C-D4DF58E23D81}"/>
    <cellStyle name="60% - Accent6 3" xfId="107" xr:uid="{00000000-0005-0000-0000-000035000000}"/>
    <cellStyle name="Accent1 2" xfId="21" xr:uid="{00000000-0005-0000-0000-000036000000}"/>
    <cellStyle name="Accent1 3" xfId="84" xr:uid="{00000000-0005-0000-0000-000037000000}"/>
    <cellStyle name="Accent2 2" xfId="25" xr:uid="{00000000-0005-0000-0000-000038000000}"/>
    <cellStyle name="Accent2 3" xfId="88" xr:uid="{00000000-0005-0000-0000-000039000000}"/>
    <cellStyle name="Accent3 2" xfId="29" xr:uid="{00000000-0005-0000-0000-00003A000000}"/>
    <cellStyle name="Accent3 3" xfId="92" xr:uid="{00000000-0005-0000-0000-00003B000000}"/>
    <cellStyle name="Accent4 2" xfId="33" xr:uid="{00000000-0005-0000-0000-00003C000000}"/>
    <cellStyle name="Accent4 3" xfId="96" xr:uid="{00000000-0005-0000-0000-00003D000000}"/>
    <cellStyle name="Accent5 2" xfId="37" xr:uid="{00000000-0005-0000-0000-00003E000000}"/>
    <cellStyle name="Accent5 3" xfId="100" xr:uid="{00000000-0005-0000-0000-00003F000000}"/>
    <cellStyle name="Accent6 2" xfId="41" xr:uid="{00000000-0005-0000-0000-000040000000}"/>
    <cellStyle name="Accent6 3" xfId="104" xr:uid="{00000000-0005-0000-0000-000041000000}"/>
    <cellStyle name="Bad" xfId="66" builtinId="27"/>
    <cellStyle name="Bad 2" xfId="10" xr:uid="{00000000-0005-0000-0000-000043000000}"/>
    <cellStyle name="Bad 3" xfId="73" xr:uid="{00000000-0005-0000-0000-000044000000}"/>
    <cellStyle name="Calculation 2" xfId="14" xr:uid="{00000000-0005-0000-0000-000045000000}"/>
    <cellStyle name="Calculation 3" xfId="77" xr:uid="{00000000-0005-0000-0000-000046000000}"/>
    <cellStyle name="Check Cell 2" xfId="16" xr:uid="{00000000-0005-0000-0000-000047000000}"/>
    <cellStyle name="Check Cell 3" xfId="79" xr:uid="{00000000-0005-0000-0000-000048000000}"/>
    <cellStyle name="Explanatory Text 2" xfId="19" xr:uid="{00000000-0005-0000-0000-000049000000}"/>
    <cellStyle name="Explanatory Text 3" xfId="82" xr:uid="{00000000-0005-0000-0000-00004A000000}"/>
    <cellStyle name="Good 2" xfId="9" xr:uid="{00000000-0005-0000-0000-00004B000000}"/>
    <cellStyle name="Good 3" xfId="72" xr:uid="{00000000-0005-0000-0000-00004C000000}"/>
    <cellStyle name="Heading 1" xfId="67" builtinId="16" customBuiltin="1"/>
    <cellStyle name="Heading 1 2" xfId="5" xr:uid="{00000000-0005-0000-0000-00004E000000}"/>
    <cellStyle name="Heading 2" xfId="68" builtinId="17" customBuiltin="1"/>
    <cellStyle name="Heading 2 2" xfId="6" xr:uid="{00000000-0005-0000-0000-000050000000}"/>
    <cellStyle name="Heading 3" xfId="69" builtinId="18" customBuiltin="1"/>
    <cellStyle name="Heading 3 2" xfId="7" xr:uid="{00000000-0005-0000-0000-000052000000}"/>
    <cellStyle name="Heading 4" xfId="70" builtinId="19" customBuiltin="1"/>
    <cellStyle name="Heading 4 2" xfId="8" xr:uid="{00000000-0005-0000-0000-000054000000}"/>
    <cellStyle name="Hyperlink" xfId="2" builtinId="8"/>
    <cellStyle name="Hyperlink 2" xfId="45" xr:uid="{00000000-0005-0000-0000-000056000000}"/>
    <cellStyle name="Input 2" xfId="12" xr:uid="{00000000-0005-0000-0000-000057000000}"/>
    <cellStyle name="Input 3" xfId="75" xr:uid="{00000000-0005-0000-0000-000058000000}"/>
    <cellStyle name="Linked Cell 2" xfId="15" xr:uid="{00000000-0005-0000-0000-000059000000}"/>
    <cellStyle name="Linked Cell 3" xfId="78" xr:uid="{00000000-0005-0000-0000-00005A000000}"/>
    <cellStyle name="Neutral 2" xfId="11" xr:uid="{00000000-0005-0000-0000-00005B000000}"/>
    <cellStyle name="Neutral 3" xfId="74" xr:uid="{00000000-0005-0000-0000-00005C000000}"/>
    <cellStyle name="Normal" xfId="0" builtinId="0"/>
    <cellStyle name="Normal 2" xfId="3" xr:uid="{00000000-0005-0000-0000-00005E000000}"/>
    <cellStyle name="Normal 2 2" xfId="46" xr:uid="{00000000-0005-0000-0000-00005F000000}"/>
    <cellStyle name="Normal 2 2 2" xfId="128" xr:uid="{79AA9033-9156-499F-A7F0-0436E7BB3263}"/>
    <cellStyle name="Normal 2 3" xfId="108" xr:uid="{844F16C8-4ABC-445A-8DE9-3FE9B80A8A45}"/>
    <cellStyle name="Normal 3" xfId="71" xr:uid="{00000000-0005-0000-0000-000060000000}"/>
    <cellStyle name="Note 2" xfId="18" xr:uid="{00000000-0005-0000-0000-000061000000}"/>
    <cellStyle name="Note 2 2" xfId="47" xr:uid="{00000000-0005-0000-0000-000062000000}"/>
    <cellStyle name="Note 2 2 2" xfId="129" xr:uid="{53B14DE8-9AF6-45CD-A979-39074D441FEC}"/>
    <cellStyle name="Note 2 3" xfId="109" xr:uid="{F8869240-7E56-44FC-82B7-5FA5943652F3}"/>
    <cellStyle name="Note 3" xfId="81" xr:uid="{00000000-0005-0000-0000-000063000000}"/>
    <cellStyle name="Output 2" xfId="13" xr:uid="{00000000-0005-0000-0000-000064000000}"/>
    <cellStyle name="Output 3" xfId="76" xr:uid="{00000000-0005-0000-0000-000065000000}"/>
    <cellStyle name="Per cent" xfId="1" builtinId="5"/>
    <cellStyle name="Title" xfId="4" builtinId="15" customBuiltin="1"/>
    <cellStyle name="Total 2" xfId="20" xr:uid="{00000000-0005-0000-0000-000068000000}"/>
    <cellStyle name="Total 3" xfId="83" xr:uid="{00000000-0005-0000-0000-000069000000}"/>
    <cellStyle name="Warning Text 2" xfId="17" xr:uid="{00000000-0005-0000-0000-00006A000000}"/>
    <cellStyle name="Warning Text 3" xfId="80" xr:uid="{00000000-0005-0000-0000-00006B000000}"/>
  </cellStyles>
  <dxfs count="5704">
    <dxf>
      <font>
        <color rgb="FFFF0000"/>
      </font>
      <fill>
        <patternFill>
          <bgColor rgb="FFFFEB9C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FF66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  <color rgb="FFE27070"/>
      <color rgb="FF9900FF"/>
      <color rgb="FFFF0000"/>
      <color rgb="FFCC3300"/>
      <color rgb="FF6600FF"/>
      <color rgb="FFA7E8FF"/>
      <color rgb="FFFF00FF"/>
      <color rgb="FF6600CC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calcChain" Target="calcChain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overview'!A1"/><Relationship Id="rId3" Type="http://schemas.openxmlformats.org/officeDocument/2006/relationships/image" Target="../media/image3.png"/><Relationship Id="rId7" Type="http://schemas.openxmlformats.org/officeDocument/2006/relationships/hyperlink" Target="#'cluster overview'!A1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hyperlink" Target="#'Caseload Buttons'!A1"/><Relationship Id="rId5" Type="http://schemas.openxmlformats.org/officeDocument/2006/relationships/hyperlink" Target="#'Reductions Buttons'!A1"/><Relationship Id="rId10" Type="http://schemas.openxmlformats.org/officeDocument/2006/relationships/hyperlink" Target="#FAQs!A1"/><Relationship Id="rId4" Type="http://schemas.openxmlformats.org/officeDocument/2006/relationships/hyperlink" Target="#'Capacity Buttons'!A1"/><Relationship Id="rId9" Type="http://schemas.openxmlformats.org/officeDocument/2006/relationships/hyperlink" Target="#'team overview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team overview'!A1"/><Relationship Id="rId2" Type="http://schemas.openxmlformats.org/officeDocument/2006/relationships/hyperlink" Target="#'cluster overview'!A1"/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team overview'!A1"/><Relationship Id="rId2" Type="http://schemas.openxmlformats.org/officeDocument/2006/relationships/hyperlink" Target="#'divisional &amp; regional overview'!A1"/><Relationship Id="rId1" Type="http://schemas.openxmlformats.org/officeDocument/2006/relationships/hyperlink" Target="#Home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divisional &amp; regional overview'!A1"/><Relationship Id="rId2" Type="http://schemas.openxmlformats.org/officeDocument/2006/relationships/hyperlink" Target="#'cluster overview'!A1"/><Relationship Id="rId1" Type="http://schemas.openxmlformats.org/officeDocument/2006/relationships/hyperlink" Target="#Home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divisional &amp; reg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%'!A1"/><Relationship Id="rId3" Type="http://schemas.openxmlformats.org/officeDocument/2006/relationships/hyperlink" Target="#'community caseload'!A1"/><Relationship Id="rId7" Type="http://schemas.openxmlformats.org/officeDocument/2006/relationships/hyperlink" Target="#'divisional &amp; reg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nat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custody caseload'!A1"/><Relationship Id="rId7" Type="http://schemas.openxmlformats.org/officeDocument/2006/relationships/hyperlink" Target="#'national caseload'!A1"/><Relationship Id="rId2" Type="http://schemas.openxmlformats.org/officeDocument/2006/relationships/hyperlink" Target="#'divisional &amp; regional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national tier ratios'!A1"/><Relationship Id="rId2" Type="http://schemas.openxmlformats.org/officeDocument/2006/relationships/hyperlink" Target="#'divisional &amp; regional caseload%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caseload'!A1"/><Relationship Id="rId4" Type="http://schemas.openxmlformats.org/officeDocument/2006/relationships/hyperlink" Target="#'community %'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national tier ratios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caseload'!A1"/><Relationship Id="rId4" Type="http://schemas.openxmlformats.org/officeDocument/2006/relationships/hyperlink" Target="#'community %'!A1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national tier ratios'!A1"/><Relationship Id="rId2" Type="http://schemas.openxmlformats.org/officeDocument/2006/relationships/hyperlink" Target="#'divisional &amp; regional caseload%'!A1"/><Relationship Id="rId1" Type="http://schemas.openxmlformats.org/officeDocument/2006/relationships/hyperlink" Target="#'custody caseload'!A1"/><Relationship Id="rId6" Type="http://schemas.openxmlformats.org/officeDocument/2006/relationships/hyperlink" Target="#Home!A1"/><Relationship Id="rId5" Type="http://schemas.openxmlformats.org/officeDocument/2006/relationships/hyperlink" Target="#'national caseload'!A1"/><Relationship Id="rId4" Type="http://schemas.openxmlformats.org/officeDocument/2006/relationships/hyperlink" Target="#'community %'!A1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divisional &amp; regional caseload%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tier ratios'!A1"/><Relationship Id="rId5" Type="http://schemas.openxmlformats.org/officeDocument/2006/relationships/hyperlink" Target="#'national caseload'!A1"/><Relationship Id="rId4" Type="http://schemas.openxmlformats.org/officeDocument/2006/relationships/hyperlink" Target="#'community caseload'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4" Type="http://schemas.openxmlformats.org/officeDocument/2006/relationships/hyperlink" Target="#'div &amp; regional over-capacities'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divisional &amp; regional capacity'!A1"/><Relationship Id="rId1" Type="http://schemas.openxmlformats.org/officeDocument/2006/relationships/hyperlink" Target="#Home!A1"/><Relationship Id="rId4" Type="http://schemas.openxmlformats.org/officeDocument/2006/relationships/hyperlink" Target="#'div &amp; regional over-capacities'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#'divisional &amp; regional capacity'!A1"/><Relationship Id="rId2" Type="http://schemas.openxmlformats.org/officeDocument/2006/relationships/hyperlink" Target="#Home!A1"/><Relationship Id="rId1" Type="http://schemas.openxmlformats.org/officeDocument/2006/relationships/hyperlink" Target="#'cluster capacity, unallocateds'!A1"/><Relationship Id="rId4" Type="http://schemas.openxmlformats.org/officeDocument/2006/relationships/hyperlink" Target="#'div &amp; regional over-capacities'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4" Type="http://schemas.openxmlformats.org/officeDocument/2006/relationships/hyperlink" Target="#'divisional &amp; regional capacity'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#'div &amp; regional reduction hours'!A1"/><Relationship Id="rId2" Type="http://schemas.openxmlformats.org/officeDocument/2006/relationships/hyperlink" Target="#'cluster reductions'!A1"/><Relationship Id="rId1" Type="http://schemas.openxmlformats.org/officeDocument/2006/relationships/hyperlink" Target="#Home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#'div &amp; regional reduction hours'!A1"/><Relationship Id="rId2" Type="http://schemas.openxmlformats.org/officeDocument/2006/relationships/hyperlink" Target="#'reasons for reduction division'!A1"/><Relationship Id="rId1" Type="http://schemas.openxmlformats.org/officeDocument/2006/relationships/hyperlink" Target="#Home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#'cluster reductions'!A1"/><Relationship Id="rId2" Type="http://schemas.openxmlformats.org/officeDocument/2006/relationships/hyperlink" Target="#'reasons for reduction division'!A1"/><Relationship Id="rId1" Type="http://schemas.openxmlformats.org/officeDocument/2006/relationships/hyperlink" Target="#Home!A1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hyperlink" Target="#'community caseload'!A1"/><Relationship Id="rId3" Type="http://schemas.openxmlformats.org/officeDocument/2006/relationships/hyperlink" Target="#'custody caseload'!A1"/><Relationship Id="rId7" Type="http://schemas.openxmlformats.org/officeDocument/2006/relationships/hyperlink" Target="#'community %'!A1"/><Relationship Id="rId2" Type="http://schemas.openxmlformats.org/officeDocument/2006/relationships/hyperlink" Target="#'divisional caseload'!A1"/><Relationship Id="rId1" Type="http://schemas.openxmlformats.org/officeDocument/2006/relationships/hyperlink" Target="#Home!A1"/><Relationship Id="rId6" Type="http://schemas.openxmlformats.org/officeDocument/2006/relationships/hyperlink" Target="#'custody %'!A1"/><Relationship Id="rId5" Type="http://schemas.openxmlformats.org/officeDocument/2006/relationships/hyperlink" Target="#'divisional caseload %'!A1"/><Relationship Id="rId4" Type="http://schemas.openxmlformats.org/officeDocument/2006/relationships/hyperlink" Target="#'national caseload'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5" Type="http://schemas.openxmlformats.org/officeDocument/2006/relationships/hyperlink" Target="#'div over-capacities'!A1"/><Relationship Id="rId4" Type="http://schemas.openxmlformats.org/officeDocument/2006/relationships/hyperlink" Target="#'divisional capacity'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hyperlink" Target="#'division reduction in hours'!A1"/><Relationship Id="rId2" Type="http://schemas.openxmlformats.org/officeDocument/2006/relationships/hyperlink" Target="#'cluster reductions'!A1"/><Relationship Id="rId1" Type="http://schemas.openxmlformats.org/officeDocument/2006/relationships/hyperlink" Target="#Home!A1"/><Relationship Id="rId4" Type="http://schemas.openxmlformats.org/officeDocument/2006/relationships/hyperlink" Target="#'reasons for reduction division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59878</xdr:colOff>
      <xdr:row>2</xdr:row>
      <xdr:rowOff>270782</xdr:rowOff>
    </xdr:from>
    <xdr:to>
      <xdr:col>5</xdr:col>
      <xdr:colOff>0</xdr:colOff>
      <xdr:row>22</xdr:row>
      <xdr:rowOff>176893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76307" y="1291318"/>
          <a:ext cx="1777086" cy="45053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73715</xdr:colOff>
      <xdr:row>24</xdr:row>
      <xdr:rowOff>28575</xdr:rowOff>
    </xdr:from>
    <xdr:to>
      <xdr:col>21</xdr:col>
      <xdr:colOff>28575</xdr:colOff>
      <xdr:row>30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"/>
        <a:stretch/>
      </xdr:blipFill>
      <xdr:spPr>
        <a:xfrm>
          <a:off x="73715" y="6467475"/>
          <a:ext cx="13566085" cy="1219200"/>
        </a:xfrm>
        <a:prstGeom prst="rect">
          <a:avLst/>
        </a:prstGeom>
      </xdr:spPr>
    </xdr:pic>
    <xdr:clientData/>
  </xdr:twoCellAnchor>
  <xdr:twoCellAnchor>
    <xdr:from>
      <xdr:col>17</xdr:col>
      <xdr:colOff>126590</xdr:colOff>
      <xdr:row>0</xdr:row>
      <xdr:rowOff>125091</xdr:rowOff>
    </xdr:from>
    <xdr:to>
      <xdr:col>24</xdr:col>
      <xdr:colOff>236314</xdr:colOff>
      <xdr:row>2</xdr:row>
      <xdr:rowOff>122464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5590" y="125091"/>
          <a:ext cx="4545653" cy="7593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257176</xdr:colOff>
      <xdr:row>24</xdr:row>
      <xdr:rowOff>168137</xdr:rowOff>
    </xdr:from>
    <xdr:to>
      <xdr:col>6</xdr:col>
      <xdr:colOff>228601</xdr:colOff>
      <xdr:row>26</xdr:row>
      <xdr:rowOff>114257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69306" t="86666" r="14791" b="10701"/>
        <a:stretch/>
      </xdr:blipFill>
      <xdr:spPr>
        <a:xfrm>
          <a:off x="466726" y="6607037"/>
          <a:ext cx="3019425" cy="327120"/>
        </a:xfrm>
        <a:prstGeom prst="rect">
          <a:avLst/>
        </a:prstGeom>
      </xdr:spPr>
    </xdr:pic>
    <xdr:clientData/>
  </xdr:twoCellAnchor>
  <xdr:twoCellAnchor>
    <xdr:from>
      <xdr:col>2</xdr:col>
      <xdr:colOff>131756</xdr:colOff>
      <xdr:row>15</xdr:row>
      <xdr:rowOff>199364</xdr:rowOff>
    </xdr:from>
    <xdr:to>
      <xdr:col>4</xdr:col>
      <xdr:colOff>542573</xdr:colOff>
      <xdr:row>17</xdr:row>
      <xdr:rowOff>138075</xdr:rowOff>
    </xdr:to>
    <xdr:sp macro="" textlink="" fLocksText="0">
      <xdr:nvSpPr>
        <xdr:cNvPr id="18" name="Rounded Rectangle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48185" y="4172650"/>
          <a:ext cx="1635459" cy="401354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OM capacity</a:t>
          </a:r>
        </a:p>
      </xdr:txBody>
    </xdr:sp>
    <xdr:clientData fLocksWithSheet="0"/>
  </xdr:twoCellAnchor>
  <xdr:twoCellAnchor>
    <xdr:from>
      <xdr:col>2</xdr:col>
      <xdr:colOff>136380</xdr:colOff>
      <xdr:row>18</xdr:row>
      <xdr:rowOff>70151</xdr:rowOff>
    </xdr:from>
    <xdr:to>
      <xdr:col>4</xdr:col>
      <xdr:colOff>540571</xdr:colOff>
      <xdr:row>19</xdr:row>
      <xdr:rowOff>221499</xdr:rowOff>
    </xdr:to>
    <xdr:sp macro="" textlink="" fLocksText="0">
      <xdr:nvSpPr>
        <xdr:cNvPr id="28" name="Rounded Rectangle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52809" y="4737401"/>
          <a:ext cx="1628833" cy="39627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Reductions</a:t>
          </a:r>
        </a:p>
      </xdr:txBody>
    </xdr:sp>
    <xdr:clientData fLocksWithSheet="0"/>
  </xdr:twoCellAnchor>
  <xdr:twoCellAnchor>
    <xdr:from>
      <xdr:col>2</xdr:col>
      <xdr:colOff>119970</xdr:colOff>
      <xdr:row>20</xdr:row>
      <xdr:rowOff>84029</xdr:rowOff>
    </xdr:from>
    <xdr:to>
      <xdr:col>4</xdr:col>
      <xdr:colOff>524161</xdr:colOff>
      <xdr:row>22</xdr:row>
      <xdr:rowOff>22740</xdr:rowOff>
    </xdr:to>
    <xdr:sp macro="" textlink="" fLocksText="0">
      <xdr:nvSpPr>
        <xdr:cNvPr id="36" name="Rounded Rectangle 3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936399" y="5227529"/>
          <a:ext cx="1628833" cy="414961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Caseload</a:t>
          </a:r>
        </a:p>
      </xdr:txBody>
    </xdr:sp>
    <xdr:clientData fLocksWithSheet="0"/>
  </xdr:twoCellAnchor>
  <xdr:twoCellAnchor>
    <xdr:from>
      <xdr:col>2</xdr:col>
      <xdr:colOff>95256</xdr:colOff>
      <xdr:row>9</xdr:row>
      <xdr:rowOff>81642</xdr:rowOff>
    </xdr:from>
    <xdr:to>
      <xdr:col>4</xdr:col>
      <xdr:colOff>557893</xdr:colOff>
      <xdr:row>11</xdr:row>
      <xdr:rowOff>167366</xdr:rowOff>
    </xdr:to>
    <xdr:sp macro="" textlink="" fLocksText="0">
      <xdr:nvSpPr>
        <xdr:cNvPr id="20" name="Rounded Rectangle 1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125EC8-BDF4-4283-9976-9DC9715249DD}"/>
            </a:ext>
          </a:extLst>
        </xdr:cNvPr>
        <xdr:cNvSpPr/>
      </xdr:nvSpPr>
      <xdr:spPr>
        <a:xfrm>
          <a:off x="911685" y="2666999"/>
          <a:ext cx="1687279" cy="54836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PDU overviews</a:t>
          </a:r>
        </a:p>
      </xdr:txBody>
    </xdr:sp>
    <xdr:clientData fLocksWithSheet="0"/>
  </xdr:twoCellAnchor>
  <xdr:twoCellAnchor>
    <xdr:from>
      <xdr:col>2</xdr:col>
      <xdr:colOff>102053</xdr:colOff>
      <xdr:row>12</xdr:row>
      <xdr:rowOff>452</xdr:rowOff>
    </xdr:from>
    <xdr:to>
      <xdr:col>4</xdr:col>
      <xdr:colOff>549728</xdr:colOff>
      <xdr:row>15</xdr:row>
      <xdr:rowOff>117929</xdr:rowOff>
    </xdr:to>
    <xdr:sp macro="" textlink="" fLocksText="0">
      <xdr:nvSpPr>
        <xdr:cNvPr id="22" name="Rounded Rectangle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5F007FD-6D2C-4D84-B889-D6A368DB59F5}"/>
            </a:ext>
          </a:extLst>
        </xdr:cNvPr>
        <xdr:cNvSpPr/>
      </xdr:nvSpPr>
      <xdr:spPr>
        <a:xfrm>
          <a:off x="945696" y="2984952"/>
          <a:ext cx="1681389" cy="797834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Regional overviews</a:t>
          </a:r>
        </a:p>
      </xdr:txBody>
    </xdr:sp>
    <xdr:clientData fLocksWithSheet="0"/>
  </xdr:twoCellAnchor>
  <xdr:twoCellAnchor>
    <xdr:from>
      <xdr:col>6</xdr:col>
      <xdr:colOff>1</xdr:colOff>
      <xdr:row>3</xdr:row>
      <xdr:rowOff>0</xdr:rowOff>
    </xdr:from>
    <xdr:to>
      <xdr:col>15</xdr:col>
      <xdr:colOff>27215</xdr:colOff>
      <xdr:row>22</xdr:row>
      <xdr:rowOff>190500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CB5FBA4-0CB7-42BE-8040-A4CB9D7A81FE}"/>
            </a:ext>
          </a:extLst>
        </xdr:cNvPr>
        <xdr:cNvSpPr txBox="1"/>
      </xdr:nvSpPr>
      <xdr:spPr>
        <a:xfrm>
          <a:off x="3265715" y="1034143"/>
          <a:ext cx="6381750" cy="45175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>
              <a:latin typeface="Arial" panose="020B0604020202020204" pitchFamily="34" charset="0"/>
              <a:cs typeface="Arial" panose="020B0604020202020204" pitchFamily="34" charset="0"/>
            </a:rPr>
            <a:t>WORKLOAD MEASUREMENT OVERVIEW REPORT</a:t>
          </a:r>
        </a:p>
        <a:p>
          <a:pPr algn="ctr"/>
          <a:endParaRPr lang="en-GB" sz="40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GB" sz="4000">
              <a:latin typeface="Arial" panose="020B0604020202020204" pitchFamily="34" charset="0"/>
              <a:cs typeface="Arial" panose="020B0604020202020204" pitchFamily="34" charset="0"/>
            </a:rPr>
            <a:t>IDC TEAM</a:t>
          </a:r>
        </a:p>
        <a:p>
          <a:endParaRPr lang="en-GB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100699</xdr:colOff>
      <xdr:row>6</xdr:row>
      <xdr:rowOff>39463</xdr:rowOff>
    </xdr:from>
    <xdr:to>
      <xdr:col>4</xdr:col>
      <xdr:colOff>563336</xdr:colOff>
      <xdr:row>8</xdr:row>
      <xdr:rowOff>206829</xdr:rowOff>
    </xdr:to>
    <xdr:sp macro="" textlink="" fLocksText="0">
      <xdr:nvSpPr>
        <xdr:cNvPr id="25" name="Rounded Rectangle 1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46B5BF1-DF87-4349-9699-F2D8AAC8453A}"/>
            </a:ext>
          </a:extLst>
        </xdr:cNvPr>
        <xdr:cNvSpPr/>
      </xdr:nvSpPr>
      <xdr:spPr>
        <a:xfrm>
          <a:off x="917128" y="2012499"/>
          <a:ext cx="1687279" cy="548366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Team overviews</a:t>
          </a:r>
        </a:p>
      </xdr:txBody>
    </xdr:sp>
    <xdr:clientData fLocksWithSheet="0"/>
  </xdr:twoCellAnchor>
  <xdr:twoCellAnchor>
    <xdr:from>
      <xdr:col>2</xdr:col>
      <xdr:colOff>100699</xdr:colOff>
      <xdr:row>3</xdr:row>
      <xdr:rowOff>53069</xdr:rowOff>
    </xdr:from>
    <xdr:to>
      <xdr:col>4</xdr:col>
      <xdr:colOff>563336</xdr:colOff>
      <xdr:row>5</xdr:row>
      <xdr:rowOff>122464</xdr:rowOff>
    </xdr:to>
    <xdr:sp macro="" textlink="" fLocksText="0">
      <xdr:nvSpPr>
        <xdr:cNvPr id="26" name="Rounded Rectangle 1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6299076-E7FA-483F-B7E7-777C7AA2B5D0}"/>
            </a:ext>
          </a:extLst>
        </xdr:cNvPr>
        <xdr:cNvSpPr/>
      </xdr:nvSpPr>
      <xdr:spPr>
        <a:xfrm>
          <a:off x="917128" y="1345748"/>
          <a:ext cx="1687279" cy="53203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FAQs</a:t>
          </a:r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0</xdr:row>
      <xdr:rowOff>57150</xdr:rowOff>
    </xdr:from>
    <xdr:to>
      <xdr:col>1</xdr:col>
      <xdr:colOff>685800</xdr:colOff>
      <xdr:row>0</xdr:row>
      <xdr:rowOff>381000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496DEE-B893-4E9A-83F7-CE6F8E7C0937}"/>
            </a:ext>
          </a:extLst>
        </xdr:cNvPr>
        <xdr:cNvSpPr/>
      </xdr:nvSpPr>
      <xdr:spPr>
        <a:xfrm>
          <a:off x="123824" y="57150"/>
          <a:ext cx="1171576" cy="3238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0</xdr:col>
      <xdr:colOff>400050</xdr:colOff>
      <xdr:row>1</xdr:row>
      <xdr:rowOff>171450</xdr:rowOff>
    </xdr:from>
    <xdr:to>
      <xdr:col>17</xdr:col>
      <xdr:colOff>247650</xdr:colOff>
      <xdr:row>25</xdr:row>
      <xdr:rowOff>31750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60B5FA-D676-44C8-B03A-57B5609B2C1F}"/>
            </a:ext>
          </a:extLst>
        </xdr:cNvPr>
        <xdr:cNvSpPr txBox="1"/>
      </xdr:nvSpPr>
      <xdr:spPr>
        <a:xfrm>
          <a:off x="400050" y="685800"/>
          <a:ext cx="10318750" cy="412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r>
            <a:rPr lang="en-GB" sz="1100"/>
            <a:t>What</a:t>
          </a:r>
          <a:r>
            <a:rPr lang="en-GB" sz="1100" baseline="0"/>
            <a:t> are 'dummy' (DMY) officers? - </a:t>
          </a:r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These are shown as such as they have NO recorded grade within nDelius.</a:t>
          </a:r>
        </a:p>
        <a:p>
          <a:endParaRPr lang="en-GB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Why are there fewer headcount staff showing on this report than I know there are within my cluster? 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Because OMs will only appear on WMT if they are holding a case.</a:t>
          </a:r>
        </a:p>
        <a:p>
          <a:endParaRPr lang="en-GB" sz="1100" baseline="0"/>
        </a:p>
        <a:p>
          <a:r>
            <a:rPr lang="en-GB" sz="1100" baseline="0"/>
            <a:t>What are the two figures displayed in relation to CMS? </a:t>
          </a:r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CMS % of capacity in use is reflective of how much of the work that has been generated was by case management support. e.g. if a certain region shows their PSO capacity in use as 90%, and CMS % of capacity in use is 30%, 30% of the 90% average capacity for PSOs in that region to have been gained by the addition of points to PSOs via CMS activities. CMS % of overall available capacity reflects the average percentage of CMS conducted by PSOs and TPOs in relation to their elgible capacity. The NPS's assumption is that PSOs will conduct 25% of their overall output on CMS activities, so for a PSO working 37 hours per week there is an assumption that they would spend 9 hours and 15 minutes per week on CMS activities. </a:t>
          </a:r>
        </a:p>
        <a:p>
          <a:endParaRPr lang="en-GB" sz="1100" baseline="0"/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Why are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reduction reasons '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- 12 to 18 months,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- 1st 6 months and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- 6 to 12 months' always highlighted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red?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These are the old style of reduction reasons regarding PQiP candidates and should no longer be applied. Please stick to using the reasons '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0-6,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12-15,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6-12,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0-6,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6-18, 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18-21'. These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are now the correct ones and should be applied depending on whether the candidate is taking the 15 or 21 month long PQiP qualification.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GB" sz="1100" b="0" i="0" u="none" strike="noStrike">
            <a:solidFill>
              <a:schemeClr val="accent5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Why is</a:t>
          </a:r>
          <a:r>
            <a:rPr lang="en-GB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their a difference in the numbers shown for PO/PSO/TPO contracted hours as opposed to the contracted hours shown overall?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This is due to SPOs recorded within the WMT showing as 37 contracted hours - SPO Contracted hours should always shows as zero - as they are not contracted to manage offenders within the OMU.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GB" sz="1100" baseline="0">
            <a:solidFill>
              <a:schemeClr val="accent5">
                <a:lumMod val="75000"/>
              </a:schemeClr>
            </a:solidFill>
          </a:endParaRPr>
        </a:p>
        <a:p>
          <a:r>
            <a:rPr lang="en-GB" sz="1100" baseline="0">
              <a:solidFill>
                <a:sysClr val="windowText" lastClr="000000"/>
              </a:solidFill>
            </a:rPr>
            <a:t>Why are there duplicate values on the Cluster Top Tens?</a:t>
          </a:r>
        </a:p>
        <a:p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A limitation with the dashboard is when 2 clusters have the same value Excel will default to the first cluster in a list. It is a rare occurence though and should cause minimal issues.</a:t>
          </a:r>
        </a:p>
        <a:p>
          <a:endParaRPr lang="en-GB" sz="11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552449</xdr:colOff>
      <xdr:row>0</xdr:row>
      <xdr:rowOff>136071</xdr:rowOff>
    </xdr:from>
    <xdr:to>
      <xdr:col>1</xdr:col>
      <xdr:colOff>1292679</xdr:colOff>
      <xdr:row>0</xdr:row>
      <xdr:rowOff>762000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52449" y="136071"/>
          <a:ext cx="1352551" cy="62592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797718</xdr:colOff>
      <xdr:row>0</xdr:row>
      <xdr:rowOff>221316</xdr:rowOff>
    </xdr:from>
    <xdr:to>
      <xdr:col>7</xdr:col>
      <xdr:colOff>1346105</xdr:colOff>
      <xdr:row>0</xdr:row>
      <xdr:rowOff>760479</xdr:rowOff>
    </xdr:to>
    <xdr:sp macro="" textlink="">
      <xdr:nvSpPr>
        <xdr:cNvPr id="3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5716CA-EA3F-4A60-A970-E51FB929D0BC}"/>
            </a:ext>
          </a:extLst>
        </xdr:cNvPr>
        <xdr:cNvSpPr/>
      </xdr:nvSpPr>
      <xdr:spPr>
        <a:xfrm>
          <a:off x="8286749" y="221316"/>
          <a:ext cx="1703294" cy="53916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 overview</a:t>
          </a:r>
        </a:p>
      </xdr:txBody>
    </xdr:sp>
    <xdr:clientData fPrintsWithSheet="0"/>
  </xdr:twoCellAnchor>
  <xdr:twoCellAnchor>
    <xdr:from>
      <xdr:col>8</xdr:col>
      <xdr:colOff>190498</xdr:colOff>
      <xdr:row>0</xdr:row>
      <xdr:rowOff>226219</xdr:rowOff>
    </xdr:from>
    <xdr:to>
      <xdr:col>9</xdr:col>
      <xdr:colOff>797718</xdr:colOff>
      <xdr:row>0</xdr:row>
      <xdr:rowOff>750095</xdr:rowOff>
    </xdr:to>
    <xdr:sp macro="" textlink="">
      <xdr:nvSpPr>
        <xdr:cNvPr id="4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5F87C2-0D1D-43AB-9683-9FEAA2871A4F}"/>
            </a:ext>
          </a:extLst>
        </xdr:cNvPr>
        <xdr:cNvSpPr/>
      </xdr:nvSpPr>
      <xdr:spPr>
        <a:xfrm>
          <a:off x="10310811" y="226219"/>
          <a:ext cx="1762126" cy="52387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team overview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526934</xdr:colOff>
      <xdr:row>0</xdr:row>
      <xdr:rowOff>62253</xdr:rowOff>
    </xdr:from>
    <xdr:to>
      <xdr:col>1</xdr:col>
      <xdr:colOff>819828</xdr:colOff>
      <xdr:row>0</xdr:row>
      <xdr:rowOff>495640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26934" y="62253"/>
          <a:ext cx="905215" cy="43338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4</xdr:col>
      <xdr:colOff>943429</xdr:colOff>
      <xdr:row>0</xdr:row>
      <xdr:rowOff>61233</xdr:rowOff>
    </xdr:from>
    <xdr:to>
      <xdr:col>7</xdr:col>
      <xdr:colOff>45357</xdr:colOff>
      <xdr:row>0</xdr:row>
      <xdr:rowOff>508227</xdr:rowOff>
    </xdr:to>
    <xdr:sp macro="" textlink="">
      <xdr:nvSpPr>
        <xdr:cNvPr id="4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217693-4384-4BD4-A389-1480CD75AB84}"/>
            </a:ext>
          </a:extLst>
        </xdr:cNvPr>
        <xdr:cNvSpPr/>
      </xdr:nvSpPr>
      <xdr:spPr>
        <a:xfrm>
          <a:off x="7084786" y="61233"/>
          <a:ext cx="2639785" cy="44699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overview</a:t>
          </a:r>
        </a:p>
      </xdr:txBody>
    </xdr:sp>
    <xdr:clientData fPrintsWithSheet="0"/>
  </xdr:twoCellAnchor>
  <xdr:twoCellAnchor>
    <xdr:from>
      <xdr:col>7</xdr:col>
      <xdr:colOff>144009</xdr:colOff>
      <xdr:row>0</xdr:row>
      <xdr:rowOff>73704</xdr:rowOff>
    </xdr:from>
    <xdr:to>
      <xdr:col>8</xdr:col>
      <xdr:colOff>712107</xdr:colOff>
      <xdr:row>0</xdr:row>
      <xdr:rowOff>539748</xdr:rowOff>
    </xdr:to>
    <xdr:sp macro="" textlink="">
      <xdr:nvSpPr>
        <xdr:cNvPr id="5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EE9EF5-DB25-4018-B675-5586F8FA252B}"/>
            </a:ext>
          </a:extLst>
        </xdr:cNvPr>
        <xdr:cNvSpPr/>
      </xdr:nvSpPr>
      <xdr:spPr>
        <a:xfrm>
          <a:off x="9823223" y="73704"/>
          <a:ext cx="1910670" cy="46604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team overview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469105</xdr:colOff>
      <xdr:row>0</xdr:row>
      <xdr:rowOff>69055</xdr:rowOff>
    </xdr:from>
    <xdr:to>
      <xdr:col>1</xdr:col>
      <xdr:colOff>738187</xdr:colOff>
      <xdr:row>0</xdr:row>
      <xdr:rowOff>473867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13245-2D35-435C-BFE9-9CEC3B58B703}"/>
            </a:ext>
          </a:extLst>
        </xdr:cNvPr>
        <xdr:cNvSpPr/>
      </xdr:nvSpPr>
      <xdr:spPr>
        <a:xfrm>
          <a:off x="469105" y="69055"/>
          <a:ext cx="876301" cy="40481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273843</xdr:colOff>
      <xdr:row>0</xdr:row>
      <xdr:rowOff>47625</xdr:rowOff>
    </xdr:from>
    <xdr:to>
      <xdr:col>7</xdr:col>
      <xdr:colOff>547687</xdr:colOff>
      <xdr:row>0</xdr:row>
      <xdr:rowOff>466044</xdr:rowOff>
    </xdr:to>
    <xdr:sp macro="" textlink="">
      <xdr:nvSpPr>
        <xdr:cNvPr id="4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7A666B-BC1E-4E4F-9D60-4670FFDB69D5}"/>
            </a:ext>
          </a:extLst>
        </xdr:cNvPr>
        <xdr:cNvSpPr/>
      </xdr:nvSpPr>
      <xdr:spPr>
        <a:xfrm>
          <a:off x="8274843" y="47625"/>
          <a:ext cx="1524000" cy="418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 overview</a:t>
          </a:r>
        </a:p>
      </xdr:txBody>
    </xdr:sp>
    <xdr:clientData fPrintsWithSheet="0"/>
  </xdr:twoCellAnchor>
  <xdr:twoCellAnchor>
    <xdr:from>
      <xdr:col>4</xdr:col>
      <xdr:colOff>30602</xdr:colOff>
      <xdr:row>0</xdr:row>
      <xdr:rowOff>45903</xdr:rowOff>
    </xdr:from>
    <xdr:to>
      <xdr:col>6</xdr:col>
      <xdr:colOff>214544</xdr:colOff>
      <xdr:row>0</xdr:row>
      <xdr:rowOff>459036</xdr:rowOff>
    </xdr:to>
    <xdr:sp macro="" textlink="">
      <xdr:nvSpPr>
        <xdr:cNvPr id="5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A8F6EA-4D22-43BC-B849-C66BCB52ACEB}"/>
            </a:ext>
          </a:extLst>
        </xdr:cNvPr>
        <xdr:cNvSpPr/>
      </xdr:nvSpPr>
      <xdr:spPr>
        <a:xfrm>
          <a:off x="6189337" y="45903"/>
          <a:ext cx="2417918" cy="41313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overview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151039</xdr:colOff>
      <xdr:row>0</xdr:row>
      <xdr:rowOff>247649</xdr:rowOff>
    </xdr:from>
    <xdr:to>
      <xdr:col>1</xdr:col>
      <xdr:colOff>713015</xdr:colOff>
      <xdr:row>0</xdr:row>
      <xdr:rowOff>748392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51039" y="247649"/>
          <a:ext cx="1174297" cy="50074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22</xdr:col>
      <xdr:colOff>293916</xdr:colOff>
      <xdr:row>0</xdr:row>
      <xdr:rowOff>97232</xdr:rowOff>
    </xdr:from>
    <xdr:to>
      <xdr:col>22</xdr:col>
      <xdr:colOff>2161721</xdr:colOff>
      <xdr:row>0</xdr:row>
      <xdr:rowOff>691190</xdr:rowOff>
    </xdr:to>
    <xdr:sp macro="" textlink="">
      <xdr:nvSpPr>
        <xdr:cNvPr id="9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441E23-5C31-47BD-89F4-7E496D4DFAE4}"/>
            </a:ext>
          </a:extLst>
        </xdr:cNvPr>
        <xdr:cNvSpPr/>
      </xdr:nvSpPr>
      <xdr:spPr>
        <a:xfrm>
          <a:off x="12676416" y="97232"/>
          <a:ext cx="1867805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19</xdr:col>
      <xdr:colOff>240661</xdr:colOff>
      <xdr:row>1</xdr:row>
      <xdr:rowOff>72920</xdr:rowOff>
    </xdr:from>
    <xdr:to>
      <xdr:col>22</xdr:col>
      <xdr:colOff>38314</xdr:colOff>
      <xdr:row>1</xdr:row>
      <xdr:rowOff>610802</xdr:rowOff>
    </xdr:to>
    <xdr:sp macro="" textlink="">
      <xdr:nvSpPr>
        <xdr:cNvPr id="11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039528-D08B-4C3B-83F5-BDB87FDCC4E9}"/>
            </a:ext>
          </a:extLst>
        </xdr:cNvPr>
        <xdr:cNvSpPr/>
      </xdr:nvSpPr>
      <xdr:spPr>
        <a:xfrm>
          <a:off x="11056828" y="972503"/>
          <a:ext cx="181906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  <xdr:twoCellAnchor>
    <xdr:from>
      <xdr:col>22</xdr:col>
      <xdr:colOff>315686</xdr:colOff>
      <xdr:row>1</xdr:row>
      <xdr:rowOff>74662</xdr:rowOff>
    </xdr:from>
    <xdr:to>
      <xdr:col>22</xdr:col>
      <xdr:colOff>2154411</xdr:colOff>
      <xdr:row>1</xdr:row>
      <xdr:rowOff>612544</xdr:rowOff>
    </xdr:to>
    <xdr:sp macro="" textlink="">
      <xdr:nvSpPr>
        <xdr:cNvPr id="12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F0855F0-4F38-44D7-B22B-224CDEFB64DD}"/>
            </a:ext>
          </a:extLst>
        </xdr:cNvPr>
        <xdr:cNvSpPr/>
      </xdr:nvSpPr>
      <xdr:spPr>
        <a:xfrm>
          <a:off x="12698186" y="972733"/>
          <a:ext cx="1838725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22</xdr:col>
      <xdr:colOff>2409905</xdr:colOff>
      <xdr:row>1</xdr:row>
      <xdr:rowOff>111001</xdr:rowOff>
    </xdr:from>
    <xdr:to>
      <xdr:col>24</xdr:col>
      <xdr:colOff>112058</xdr:colOff>
      <xdr:row>1</xdr:row>
      <xdr:rowOff>648883</xdr:rowOff>
    </xdr:to>
    <xdr:sp macro="" textlink="">
      <xdr:nvSpPr>
        <xdr:cNvPr id="13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1AD8DDB-CA82-4B7B-9E27-A1089850F934}"/>
            </a:ext>
          </a:extLst>
        </xdr:cNvPr>
        <xdr:cNvSpPr/>
      </xdr:nvSpPr>
      <xdr:spPr>
        <a:xfrm>
          <a:off x="14792405" y="1009072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22</xdr:col>
      <xdr:colOff>2406069</xdr:colOff>
      <xdr:row>0</xdr:row>
      <xdr:rowOff>108856</xdr:rowOff>
    </xdr:from>
    <xdr:to>
      <xdr:col>24</xdr:col>
      <xdr:colOff>130219</xdr:colOff>
      <xdr:row>0</xdr:row>
      <xdr:rowOff>728930</xdr:rowOff>
    </xdr:to>
    <xdr:sp macro="" textlink="">
      <xdr:nvSpPr>
        <xdr:cNvPr id="14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4EE2FFD-5E09-43DE-96C4-F9FAF9237FC5}"/>
            </a:ext>
          </a:extLst>
        </xdr:cNvPr>
        <xdr:cNvSpPr/>
      </xdr:nvSpPr>
      <xdr:spPr>
        <a:xfrm>
          <a:off x="14788569" y="108856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176893</xdr:colOff>
      <xdr:row>0</xdr:row>
      <xdr:rowOff>95250</xdr:rowOff>
    </xdr:from>
    <xdr:to>
      <xdr:col>21</xdr:col>
      <xdr:colOff>609071</xdr:colOff>
      <xdr:row>0</xdr:row>
      <xdr:rowOff>689208</xdr:rowOff>
    </xdr:to>
    <xdr:sp macro="" textlink="">
      <xdr:nvSpPr>
        <xdr:cNvPr id="16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518E166-C5E6-49C3-BB78-DCDEC2EE9686}"/>
            </a:ext>
          </a:extLst>
        </xdr:cNvPr>
        <xdr:cNvSpPr/>
      </xdr:nvSpPr>
      <xdr:spPr>
        <a:xfrm>
          <a:off x="10586357" y="95250"/>
          <a:ext cx="1792893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</a:p>
      </xdr:txBody>
    </xdr:sp>
    <xdr:clientData fPrintsWithSheet="0"/>
  </xdr:twoCellAnchor>
  <xdr:twoCellAnchor>
    <xdr:from>
      <xdr:col>16</xdr:col>
      <xdr:colOff>54428</xdr:colOff>
      <xdr:row>0</xdr:row>
      <xdr:rowOff>149678</xdr:rowOff>
    </xdr:from>
    <xdr:to>
      <xdr:col>18</xdr:col>
      <xdr:colOff>500214</xdr:colOff>
      <xdr:row>0</xdr:row>
      <xdr:rowOff>743636</xdr:rowOff>
    </xdr:to>
    <xdr:sp macro="" textlink="">
      <xdr:nvSpPr>
        <xdr:cNvPr id="15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274543B-6E1A-4A1F-B098-1563AD56A317}"/>
            </a:ext>
          </a:extLst>
        </xdr:cNvPr>
        <xdr:cNvSpPr/>
      </xdr:nvSpPr>
      <xdr:spPr>
        <a:xfrm>
          <a:off x="8395607" y="149678"/>
          <a:ext cx="1792893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151039</xdr:colOff>
      <xdr:row>0</xdr:row>
      <xdr:rowOff>247649</xdr:rowOff>
    </xdr:from>
    <xdr:to>
      <xdr:col>1</xdr:col>
      <xdr:colOff>713015</xdr:colOff>
      <xdr:row>0</xdr:row>
      <xdr:rowOff>748392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6D643-CEC8-4476-B3C6-83C98F08873C}"/>
            </a:ext>
          </a:extLst>
        </xdr:cNvPr>
        <xdr:cNvSpPr/>
      </xdr:nvSpPr>
      <xdr:spPr>
        <a:xfrm>
          <a:off x="151039" y="247649"/>
          <a:ext cx="1171576" cy="50074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25</xdr:col>
      <xdr:colOff>348344</xdr:colOff>
      <xdr:row>0</xdr:row>
      <xdr:rowOff>97232</xdr:rowOff>
    </xdr:from>
    <xdr:to>
      <xdr:col>27</xdr:col>
      <xdr:colOff>542471</xdr:colOff>
      <xdr:row>0</xdr:row>
      <xdr:rowOff>691190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89B312-9FA8-453D-8FBD-C88D50351FC9}"/>
            </a:ext>
          </a:extLst>
        </xdr:cNvPr>
        <xdr:cNvSpPr/>
      </xdr:nvSpPr>
      <xdr:spPr>
        <a:xfrm>
          <a:off x="13873844" y="97232"/>
          <a:ext cx="1554841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28</xdr:col>
      <xdr:colOff>106462</xdr:colOff>
      <xdr:row>0</xdr:row>
      <xdr:rowOff>95248</xdr:rowOff>
    </xdr:from>
    <xdr:to>
      <xdr:col>31</xdr:col>
      <xdr:colOff>95250</xdr:colOff>
      <xdr:row>0</xdr:row>
      <xdr:rowOff>715322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071803-C699-455A-A48A-5088E5415590}"/>
            </a:ext>
          </a:extLst>
        </xdr:cNvPr>
        <xdr:cNvSpPr/>
      </xdr:nvSpPr>
      <xdr:spPr>
        <a:xfrm>
          <a:off x="15999605" y="95248"/>
          <a:ext cx="1825752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25</xdr:col>
      <xdr:colOff>370114</xdr:colOff>
      <xdr:row>1</xdr:row>
      <xdr:rowOff>74662</xdr:rowOff>
    </xdr:from>
    <xdr:to>
      <xdr:col>27</xdr:col>
      <xdr:colOff>535161</xdr:colOff>
      <xdr:row>2</xdr:row>
      <xdr:rowOff>81642</xdr:rowOff>
    </xdr:to>
    <xdr:sp macro="" textlink="">
      <xdr:nvSpPr>
        <xdr:cNvPr id="10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7AF0CA9-8E57-46B7-9E12-3713FEDEEB73}"/>
            </a:ext>
          </a:extLst>
        </xdr:cNvPr>
        <xdr:cNvSpPr/>
      </xdr:nvSpPr>
      <xdr:spPr>
        <a:xfrm>
          <a:off x="13895614" y="904698"/>
          <a:ext cx="1525761" cy="55126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28</xdr:col>
      <xdr:colOff>182415</xdr:colOff>
      <xdr:row>1</xdr:row>
      <xdr:rowOff>55212</xdr:rowOff>
    </xdr:from>
    <xdr:to>
      <xdr:col>31</xdr:col>
      <xdr:colOff>108857</xdr:colOff>
      <xdr:row>2</xdr:row>
      <xdr:rowOff>68037</xdr:rowOff>
    </xdr:to>
    <xdr:sp macro="" textlink="">
      <xdr:nvSpPr>
        <xdr:cNvPr id="11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5E16ED1-3F21-4E68-A73C-AD6C6B8EA6C2}"/>
            </a:ext>
          </a:extLst>
        </xdr:cNvPr>
        <xdr:cNvSpPr/>
      </xdr:nvSpPr>
      <xdr:spPr>
        <a:xfrm>
          <a:off x="16075558" y="885248"/>
          <a:ext cx="1763406" cy="55711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20</xdr:col>
      <xdr:colOff>2272391</xdr:colOff>
      <xdr:row>0</xdr:row>
      <xdr:rowOff>108856</xdr:rowOff>
    </xdr:from>
    <xdr:to>
      <xdr:col>22</xdr:col>
      <xdr:colOff>476249</xdr:colOff>
      <xdr:row>0</xdr:row>
      <xdr:rowOff>734785</xdr:rowOff>
    </xdr:to>
    <xdr:sp macro="" textlink="">
      <xdr:nvSpPr>
        <xdr:cNvPr id="13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A80AC0C-9E01-48D8-9AD4-1637E75DD8F3}"/>
            </a:ext>
          </a:extLst>
        </xdr:cNvPr>
        <xdr:cNvSpPr/>
      </xdr:nvSpPr>
      <xdr:spPr>
        <a:xfrm>
          <a:off x="10980962" y="108856"/>
          <a:ext cx="1306287" cy="62592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22</xdr:col>
      <xdr:colOff>535214</xdr:colOff>
      <xdr:row>0</xdr:row>
      <xdr:rowOff>108857</xdr:rowOff>
    </xdr:from>
    <xdr:to>
      <xdr:col>25</xdr:col>
      <xdr:colOff>252261</xdr:colOff>
      <xdr:row>0</xdr:row>
      <xdr:rowOff>702815</xdr:rowOff>
    </xdr:to>
    <xdr:sp macro="" textlink="">
      <xdr:nvSpPr>
        <xdr:cNvPr id="12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3C12429-6138-4142-B62A-13AF95AB39EA}"/>
            </a:ext>
          </a:extLst>
        </xdr:cNvPr>
        <xdr:cNvSpPr/>
      </xdr:nvSpPr>
      <xdr:spPr>
        <a:xfrm>
          <a:off x="12681857" y="108857"/>
          <a:ext cx="1839761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</a:p>
      </xdr:txBody>
    </xdr:sp>
    <xdr:clientData fPrintsWithSheet="0"/>
  </xdr:twoCellAnchor>
  <xdr:twoCellAnchor>
    <xdr:from>
      <xdr:col>22</xdr:col>
      <xdr:colOff>544285</xdr:colOff>
      <xdr:row>1</xdr:row>
      <xdr:rowOff>81643</xdr:rowOff>
    </xdr:from>
    <xdr:to>
      <xdr:col>25</xdr:col>
      <xdr:colOff>240640</xdr:colOff>
      <xdr:row>2</xdr:row>
      <xdr:rowOff>75239</xdr:rowOff>
    </xdr:to>
    <xdr:sp macro="" textlink="">
      <xdr:nvSpPr>
        <xdr:cNvPr id="14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A62803-61AA-444E-B8D0-C7798E358CCA}"/>
            </a:ext>
          </a:extLst>
        </xdr:cNvPr>
        <xdr:cNvSpPr/>
      </xdr:nvSpPr>
      <xdr:spPr>
        <a:xfrm>
          <a:off x="12690928" y="907143"/>
          <a:ext cx="181906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135029</xdr:colOff>
      <xdr:row>0</xdr:row>
      <xdr:rowOff>202826</xdr:rowOff>
    </xdr:from>
    <xdr:to>
      <xdr:col>1</xdr:col>
      <xdr:colOff>997323</xdr:colOff>
      <xdr:row>0</xdr:row>
      <xdr:rowOff>638734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91911" y="202826"/>
          <a:ext cx="862294" cy="43590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2193311</xdr:colOff>
      <xdr:row>0</xdr:row>
      <xdr:rowOff>117502</xdr:rowOff>
    </xdr:from>
    <xdr:to>
      <xdr:col>22</xdr:col>
      <xdr:colOff>586492</xdr:colOff>
      <xdr:row>0</xdr:row>
      <xdr:rowOff>711460</xdr:rowOff>
    </xdr:to>
    <xdr:sp macro="" textlink="">
      <xdr:nvSpPr>
        <xdr:cNvPr id="11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30B05CE-6A5A-4CC5-B491-A5303BE226EB}"/>
            </a:ext>
          </a:extLst>
        </xdr:cNvPr>
        <xdr:cNvSpPr/>
      </xdr:nvSpPr>
      <xdr:spPr>
        <a:xfrm>
          <a:off x="9600399" y="117502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26</xdr:col>
      <xdr:colOff>549087</xdr:colOff>
      <xdr:row>0</xdr:row>
      <xdr:rowOff>381001</xdr:rowOff>
    </xdr:from>
    <xdr:to>
      <xdr:col>29</xdr:col>
      <xdr:colOff>257733</xdr:colOff>
      <xdr:row>1</xdr:row>
      <xdr:rowOff>347383</xdr:rowOff>
    </xdr:to>
    <xdr:sp macro="" textlink="">
      <xdr:nvSpPr>
        <xdr:cNvPr id="13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9A821E-6EB7-401E-AC1A-7B68C78A9791}"/>
            </a:ext>
          </a:extLst>
        </xdr:cNvPr>
        <xdr:cNvSpPr/>
      </xdr:nvSpPr>
      <xdr:spPr>
        <a:xfrm>
          <a:off x="13783234" y="381001"/>
          <a:ext cx="1523999" cy="7620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caseload percentage</a:t>
          </a:r>
        </a:p>
      </xdr:txBody>
    </xdr:sp>
    <xdr:clientData fPrintsWithSheet="0"/>
  </xdr:twoCellAnchor>
  <xdr:twoCellAnchor>
    <xdr:from>
      <xdr:col>20</xdr:col>
      <xdr:colOff>23531</xdr:colOff>
      <xdr:row>1</xdr:row>
      <xdr:rowOff>192584</xdr:rowOff>
    </xdr:from>
    <xdr:to>
      <xdr:col>22</xdr:col>
      <xdr:colOff>583985</xdr:colOff>
      <xdr:row>2</xdr:row>
      <xdr:rowOff>13290</xdr:rowOff>
    </xdr:to>
    <xdr:sp macro="" textlink="">
      <xdr:nvSpPr>
        <xdr:cNvPr id="14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B7BD73-1640-4A18-8DD6-C1602D362B67}"/>
            </a:ext>
          </a:extLst>
        </xdr:cNvPr>
        <xdr:cNvSpPr/>
      </xdr:nvSpPr>
      <xdr:spPr>
        <a:xfrm>
          <a:off x="9626972" y="988202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23</xdr:col>
      <xdr:colOff>212751</xdr:colOff>
      <xdr:row>1</xdr:row>
      <xdr:rowOff>179297</xdr:rowOff>
    </xdr:from>
    <xdr:to>
      <xdr:col>26</xdr:col>
      <xdr:colOff>168087</xdr:colOff>
      <xdr:row>2</xdr:row>
      <xdr:rowOff>3</xdr:rowOff>
    </xdr:to>
    <xdr:sp macro="" textlink="">
      <xdr:nvSpPr>
        <xdr:cNvPr id="15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0F9FB8-B443-4DF0-960E-5BA599C0D7C4}"/>
            </a:ext>
          </a:extLst>
        </xdr:cNvPr>
        <xdr:cNvSpPr/>
      </xdr:nvSpPr>
      <xdr:spPr>
        <a:xfrm>
          <a:off x="11631545" y="974915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23</xdr:col>
      <xdr:colOff>161691</xdr:colOff>
      <xdr:row>0</xdr:row>
      <xdr:rowOff>99510</xdr:rowOff>
    </xdr:from>
    <xdr:to>
      <xdr:col>26</xdr:col>
      <xdr:colOff>139024</xdr:colOff>
      <xdr:row>0</xdr:row>
      <xdr:rowOff>719584</xdr:rowOff>
    </xdr:to>
    <xdr:sp macro="" textlink="">
      <xdr:nvSpPr>
        <xdr:cNvPr id="16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725B7B9-E641-431B-869F-FBEB794DDD53}"/>
            </a:ext>
          </a:extLst>
        </xdr:cNvPr>
        <xdr:cNvSpPr/>
      </xdr:nvSpPr>
      <xdr:spPr>
        <a:xfrm>
          <a:off x="11580485" y="99510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593913</xdr:colOff>
      <xdr:row>0</xdr:row>
      <xdr:rowOff>89649</xdr:rowOff>
    </xdr:from>
    <xdr:to>
      <xdr:col>19</xdr:col>
      <xdr:colOff>1927413</xdr:colOff>
      <xdr:row>0</xdr:row>
      <xdr:rowOff>705971</xdr:rowOff>
    </xdr:to>
    <xdr:sp macro="" textlink="">
      <xdr:nvSpPr>
        <xdr:cNvPr id="2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E32077-9BE4-45F7-9209-2A661A67E90D}"/>
            </a:ext>
          </a:extLst>
        </xdr:cNvPr>
        <xdr:cNvSpPr/>
      </xdr:nvSpPr>
      <xdr:spPr>
        <a:xfrm>
          <a:off x="8001001" y="89649"/>
          <a:ext cx="1333500" cy="6163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19</xdr:col>
      <xdr:colOff>571499</xdr:colOff>
      <xdr:row>1</xdr:row>
      <xdr:rowOff>89647</xdr:rowOff>
    </xdr:from>
    <xdr:to>
      <xdr:col>19</xdr:col>
      <xdr:colOff>1904999</xdr:colOff>
      <xdr:row>1</xdr:row>
      <xdr:rowOff>705969</xdr:rowOff>
    </xdr:to>
    <xdr:sp macro="" textlink="">
      <xdr:nvSpPr>
        <xdr:cNvPr id="9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15936D6-945B-480A-9CB7-7BE16FBE4A08}"/>
            </a:ext>
          </a:extLst>
        </xdr:cNvPr>
        <xdr:cNvSpPr/>
      </xdr:nvSpPr>
      <xdr:spPr>
        <a:xfrm>
          <a:off x="7978587" y="885265"/>
          <a:ext cx="1333500" cy="6163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71093</xdr:colOff>
      <xdr:row>0</xdr:row>
      <xdr:rowOff>155801</xdr:rowOff>
    </xdr:from>
    <xdr:to>
      <xdr:col>1</xdr:col>
      <xdr:colOff>1197428</xdr:colOff>
      <xdr:row>0</xdr:row>
      <xdr:rowOff>680356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220772" y="155801"/>
          <a:ext cx="1126335" cy="52455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2177143</xdr:colOff>
      <xdr:row>0</xdr:row>
      <xdr:rowOff>744136</xdr:rowOff>
    </xdr:from>
    <xdr:to>
      <xdr:col>31</xdr:col>
      <xdr:colOff>433729</xdr:colOff>
      <xdr:row>1</xdr:row>
      <xdr:rowOff>537599</xdr:rowOff>
    </xdr:to>
    <xdr:sp macro="" textlink="">
      <xdr:nvSpPr>
        <xdr:cNvPr id="11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17DB77-FCBD-4AC5-BC23-C008C769EF55}"/>
            </a:ext>
          </a:extLst>
        </xdr:cNvPr>
        <xdr:cNvSpPr/>
      </xdr:nvSpPr>
      <xdr:spPr>
        <a:xfrm>
          <a:off x="10014857" y="744136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  <xdr:twoCellAnchor>
    <xdr:from>
      <xdr:col>34</xdr:col>
      <xdr:colOff>188527</xdr:colOff>
      <xdr:row>0</xdr:row>
      <xdr:rowOff>0</xdr:rowOff>
    </xdr:from>
    <xdr:to>
      <xdr:col>36</xdr:col>
      <xdr:colOff>556192</xdr:colOff>
      <xdr:row>0</xdr:row>
      <xdr:rowOff>580931</xdr:rowOff>
    </xdr:to>
    <xdr:sp macro="" textlink="">
      <xdr:nvSpPr>
        <xdr:cNvPr id="12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E8B3DF-C138-4ECE-8792-ECDA18F32DF0}"/>
            </a:ext>
          </a:extLst>
        </xdr:cNvPr>
        <xdr:cNvSpPr/>
      </xdr:nvSpPr>
      <xdr:spPr>
        <a:xfrm>
          <a:off x="13550741" y="0"/>
          <a:ext cx="1655808" cy="58093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34</xdr:col>
      <xdr:colOff>153869</xdr:colOff>
      <xdr:row>0</xdr:row>
      <xdr:rowOff>725185</xdr:rowOff>
    </xdr:from>
    <xdr:to>
      <xdr:col>36</xdr:col>
      <xdr:colOff>554493</xdr:colOff>
      <xdr:row>1</xdr:row>
      <xdr:rowOff>550072</xdr:rowOff>
    </xdr:to>
    <xdr:sp macro="" textlink="">
      <xdr:nvSpPr>
        <xdr:cNvPr id="14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9F214F7-515F-412D-892D-EDEBE6B99A5C}"/>
            </a:ext>
          </a:extLst>
        </xdr:cNvPr>
        <xdr:cNvSpPr/>
      </xdr:nvSpPr>
      <xdr:spPr>
        <a:xfrm>
          <a:off x="13516083" y="725185"/>
          <a:ext cx="1688767" cy="595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37</xdr:col>
      <xdr:colOff>134778</xdr:colOff>
      <xdr:row>0</xdr:row>
      <xdr:rowOff>736572</xdr:rowOff>
    </xdr:from>
    <xdr:to>
      <xdr:col>40</xdr:col>
      <xdr:colOff>46491</xdr:colOff>
      <xdr:row>1</xdr:row>
      <xdr:rowOff>541001</xdr:rowOff>
    </xdr:to>
    <xdr:sp macro="" textlink="">
      <xdr:nvSpPr>
        <xdr:cNvPr id="15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056CFF0-C3BB-4188-9AFD-F0C1B9630991}"/>
            </a:ext>
          </a:extLst>
        </xdr:cNvPr>
        <xdr:cNvSpPr/>
      </xdr:nvSpPr>
      <xdr:spPr>
        <a:xfrm>
          <a:off x="15429207" y="736572"/>
          <a:ext cx="1843927" cy="5755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37</xdr:col>
      <xdr:colOff>162758</xdr:colOff>
      <xdr:row>0</xdr:row>
      <xdr:rowOff>9821</xdr:rowOff>
    </xdr:from>
    <xdr:to>
      <xdr:col>40</xdr:col>
      <xdr:colOff>26080</xdr:colOff>
      <xdr:row>0</xdr:row>
      <xdr:rowOff>626393</xdr:rowOff>
    </xdr:to>
    <xdr:sp macro="" textlink="">
      <xdr:nvSpPr>
        <xdr:cNvPr id="16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7966E71-FAF1-47D8-AF69-60100EC96364}"/>
            </a:ext>
          </a:extLst>
        </xdr:cNvPr>
        <xdr:cNvSpPr/>
      </xdr:nvSpPr>
      <xdr:spPr>
        <a:xfrm>
          <a:off x="15457187" y="9821"/>
          <a:ext cx="1795536" cy="61657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32</xdr:col>
      <xdr:colOff>64601</xdr:colOff>
      <xdr:row>0</xdr:row>
      <xdr:rowOff>22227</xdr:rowOff>
    </xdr:from>
    <xdr:to>
      <xdr:col>33</xdr:col>
      <xdr:colOff>574901</xdr:colOff>
      <xdr:row>0</xdr:row>
      <xdr:rowOff>591347</xdr:rowOff>
    </xdr:to>
    <xdr:sp macro="" textlink="">
      <xdr:nvSpPr>
        <xdr:cNvPr id="17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094617C-5178-424C-AA66-CAF88607D332}"/>
            </a:ext>
          </a:extLst>
        </xdr:cNvPr>
        <xdr:cNvSpPr/>
      </xdr:nvSpPr>
      <xdr:spPr>
        <a:xfrm>
          <a:off x="12138672" y="22227"/>
          <a:ext cx="1154372" cy="56912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32</xdr:col>
      <xdr:colOff>3970</xdr:colOff>
      <xdr:row>0</xdr:row>
      <xdr:rowOff>737170</xdr:rowOff>
    </xdr:from>
    <xdr:to>
      <xdr:col>33</xdr:col>
      <xdr:colOff>514270</xdr:colOff>
      <xdr:row>1</xdr:row>
      <xdr:rowOff>537599</xdr:rowOff>
    </xdr:to>
    <xdr:sp macro="" textlink="">
      <xdr:nvSpPr>
        <xdr:cNvPr id="18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2BA0468-9D0B-4EA6-9FD1-DC9A8F84AA6B}"/>
            </a:ext>
          </a:extLst>
        </xdr:cNvPr>
        <xdr:cNvSpPr/>
      </xdr:nvSpPr>
      <xdr:spPr>
        <a:xfrm>
          <a:off x="12078041" y="737170"/>
          <a:ext cx="1154372" cy="5715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494178</xdr:colOff>
      <xdr:row>0</xdr:row>
      <xdr:rowOff>122465</xdr:rowOff>
    </xdr:from>
    <xdr:to>
      <xdr:col>1</xdr:col>
      <xdr:colOff>1524000</xdr:colOff>
      <xdr:row>0</xdr:row>
      <xdr:rowOff>681398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B2B92-6E85-4597-876B-C506D4D7D10B}"/>
            </a:ext>
          </a:extLst>
        </xdr:cNvPr>
        <xdr:cNvSpPr/>
      </xdr:nvSpPr>
      <xdr:spPr>
        <a:xfrm>
          <a:off x="603035" y="122465"/>
          <a:ext cx="1029822" cy="55893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17</xdr:col>
      <xdr:colOff>424463</xdr:colOff>
      <xdr:row>2</xdr:row>
      <xdr:rowOff>145341</xdr:rowOff>
    </xdr:from>
    <xdr:to>
      <xdr:col>19</xdr:col>
      <xdr:colOff>970643</xdr:colOff>
      <xdr:row>5</xdr:row>
      <xdr:rowOff>9071</xdr:rowOff>
    </xdr:to>
    <xdr:sp macro="" textlink="">
      <xdr:nvSpPr>
        <xdr:cNvPr id="1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7A3EDD-FB78-490B-8F97-2C2047ECFA32}"/>
            </a:ext>
          </a:extLst>
        </xdr:cNvPr>
        <xdr:cNvSpPr/>
      </xdr:nvSpPr>
      <xdr:spPr>
        <a:xfrm>
          <a:off x="6928677" y="1651198"/>
          <a:ext cx="1834323" cy="59851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19</xdr:col>
      <xdr:colOff>1135156</xdr:colOff>
      <xdr:row>1</xdr:row>
      <xdr:rowOff>86909</xdr:rowOff>
    </xdr:from>
    <xdr:to>
      <xdr:col>30</xdr:col>
      <xdr:colOff>95970</xdr:colOff>
      <xdr:row>1</xdr:row>
      <xdr:rowOff>649940</xdr:rowOff>
    </xdr:to>
    <xdr:sp macro="" textlink="">
      <xdr:nvSpPr>
        <xdr:cNvPr id="1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AF3482-F134-4043-976B-1069547BCA24}"/>
            </a:ext>
          </a:extLst>
        </xdr:cNvPr>
        <xdr:cNvSpPr/>
      </xdr:nvSpPr>
      <xdr:spPr>
        <a:xfrm>
          <a:off x="8497421" y="927350"/>
          <a:ext cx="1762284" cy="56303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30</xdr:col>
      <xdr:colOff>248050</xdr:colOff>
      <xdr:row>2</xdr:row>
      <xdr:rowOff>143659</xdr:rowOff>
    </xdr:from>
    <xdr:to>
      <xdr:col>33</xdr:col>
      <xdr:colOff>189939</xdr:colOff>
      <xdr:row>4</xdr:row>
      <xdr:rowOff>66675</xdr:rowOff>
    </xdr:to>
    <xdr:sp macro="" textlink="">
      <xdr:nvSpPr>
        <xdr:cNvPr id="1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353D09B-18CF-4070-85CE-DCB14996A822}"/>
            </a:ext>
          </a:extLst>
        </xdr:cNvPr>
        <xdr:cNvSpPr/>
      </xdr:nvSpPr>
      <xdr:spPr>
        <a:xfrm>
          <a:off x="10458850" y="1658134"/>
          <a:ext cx="1770689" cy="49451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30</xdr:col>
      <xdr:colOff>240133</xdr:colOff>
      <xdr:row>1</xdr:row>
      <xdr:rowOff>76200</xdr:rowOff>
    </xdr:from>
    <xdr:to>
      <xdr:col>33</xdr:col>
      <xdr:colOff>204019</xdr:colOff>
      <xdr:row>1</xdr:row>
      <xdr:rowOff>638735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F01837F-21FC-4BF7-B54B-09E98A2C6AF5}"/>
            </a:ext>
          </a:extLst>
        </xdr:cNvPr>
        <xdr:cNvSpPr/>
      </xdr:nvSpPr>
      <xdr:spPr>
        <a:xfrm>
          <a:off x="10403868" y="916641"/>
          <a:ext cx="1779239" cy="56253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14</xdr:col>
      <xdr:colOff>295275</xdr:colOff>
      <xdr:row>1</xdr:row>
      <xdr:rowOff>112059</xdr:rowOff>
    </xdr:from>
    <xdr:to>
      <xdr:col>17</xdr:col>
      <xdr:colOff>281830</xdr:colOff>
      <xdr:row>2</xdr:row>
      <xdr:rowOff>11205</xdr:rowOff>
    </xdr:to>
    <xdr:sp macro="" textlink="">
      <xdr:nvSpPr>
        <xdr:cNvPr id="18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DF4EE97-C4CD-4E56-AEC5-514977FE3DE4}"/>
            </a:ext>
          </a:extLst>
        </xdr:cNvPr>
        <xdr:cNvSpPr/>
      </xdr:nvSpPr>
      <xdr:spPr>
        <a:xfrm>
          <a:off x="4631951" y="952500"/>
          <a:ext cx="1801908" cy="57149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14</xdr:col>
      <xdr:colOff>265206</xdr:colOff>
      <xdr:row>2</xdr:row>
      <xdr:rowOff>119530</xdr:rowOff>
    </xdr:from>
    <xdr:to>
      <xdr:col>17</xdr:col>
      <xdr:colOff>251761</xdr:colOff>
      <xdr:row>4</xdr:row>
      <xdr:rowOff>97118</xdr:rowOff>
    </xdr:to>
    <xdr:sp macro="" textlink="">
      <xdr:nvSpPr>
        <xdr:cNvPr id="9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9225A51-413E-47B6-A6FD-3328B33D36BB}"/>
            </a:ext>
          </a:extLst>
        </xdr:cNvPr>
        <xdr:cNvSpPr/>
      </xdr:nvSpPr>
      <xdr:spPr>
        <a:xfrm>
          <a:off x="4601882" y="1632324"/>
          <a:ext cx="1801908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453571</xdr:colOff>
      <xdr:row>1</xdr:row>
      <xdr:rowOff>99787</xdr:rowOff>
    </xdr:from>
    <xdr:to>
      <xdr:col>19</xdr:col>
      <xdr:colOff>1014300</xdr:colOff>
      <xdr:row>1</xdr:row>
      <xdr:rowOff>664321</xdr:rowOff>
    </xdr:to>
    <xdr:sp macro="" textlink="">
      <xdr:nvSpPr>
        <xdr:cNvPr id="11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80D3601-28D1-4233-959B-3464C11C777D}"/>
            </a:ext>
          </a:extLst>
        </xdr:cNvPr>
        <xdr:cNvSpPr/>
      </xdr:nvSpPr>
      <xdr:spPr>
        <a:xfrm>
          <a:off x="6966857" y="934358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</xdr:colOff>
      <xdr:row>0</xdr:row>
      <xdr:rowOff>238125</xdr:rowOff>
    </xdr:from>
    <xdr:to>
      <xdr:col>1</xdr:col>
      <xdr:colOff>1390650</xdr:colOff>
      <xdr:row>0</xdr:row>
      <xdr:rowOff>714375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9B180-F10B-434C-A41C-EAA306AB684F}"/>
            </a:ext>
          </a:extLst>
        </xdr:cNvPr>
        <xdr:cNvSpPr/>
      </xdr:nvSpPr>
      <xdr:spPr>
        <a:xfrm>
          <a:off x="247649" y="238125"/>
          <a:ext cx="1314451" cy="4762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882225</xdr:colOff>
      <xdr:row>1</xdr:row>
      <xdr:rowOff>74021</xdr:rowOff>
    </xdr:from>
    <xdr:to>
      <xdr:col>20</xdr:col>
      <xdr:colOff>485641</xdr:colOff>
      <xdr:row>1</xdr:row>
      <xdr:rowOff>667979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B39380-5B53-4309-90CD-82F4F133851A}"/>
            </a:ext>
          </a:extLst>
        </xdr:cNvPr>
        <xdr:cNvSpPr/>
      </xdr:nvSpPr>
      <xdr:spPr>
        <a:xfrm>
          <a:off x="8300519" y="1026521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17</xdr:col>
      <xdr:colOff>27214</xdr:colOff>
      <xdr:row>2</xdr:row>
      <xdr:rowOff>116766</xdr:rowOff>
    </xdr:from>
    <xdr:to>
      <xdr:col>19</xdr:col>
      <xdr:colOff>587668</xdr:colOff>
      <xdr:row>4</xdr:row>
      <xdr:rowOff>83148</xdr:rowOff>
    </xdr:to>
    <xdr:sp macro="" textlink="">
      <xdr:nvSpPr>
        <xdr:cNvPr id="1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E6ECDB-4BDB-41AB-A0DB-5E22C5563C32}"/>
            </a:ext>
          </a:extLst>
        </xdr:cNvPr>
        <xdr:cNvSpPr/>
      </xdr:nvSpPr>
      <xdr:spPr>
        <a:xfrm>
          <a:off x="6235273" y="1820060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  <xdr:twoCellAnchor>
    <xdr:from>
      <xdr:col>28</xdr:col>
      <xdr:colOff>89486</xdr:colOff>
      <xdr:row>2</xdr:row>
      <xdr:rowOff>90992</xdr:rowOff>
    </xdr:from>
    <xdr:to>
      <xdr:col>31</xdr:col>
      <xdr:colOff>44822</xdr:colOff>
      <xdr:row>4</xdr:row>
      <xdr:rowOff>57374</xdr:rowOff>
    </xdr:to>
    <xdr:sp macro="" textlink="">
      <xdr:nvSpPr>
        <xdr:cNvPr id="1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AFAA047-CD2B-46DE-9DAD-1317189AD50C}"/>
            </a:ext>
          </a:extLst>
        </xdr:cNvPr>
        <xdr:cNvSpPr/>
      </xdr:nvSpPr>
      <xdr:spPr>
        <a:xfrm>
          <a:off x="10309251" y="1794286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28</xdr:col>
      <xdr:colOff>60839</xdr:colOff>
      <xdr:row>1</xdr:row>
      <xdr:rowOff>78441</xdr:rowOff>
    </xdr:from>
    <xdr:to>
      <xdr:col>31</xdr:col>
      <xdr:colOff>38172</xdr:colOff>
      <xdr:row>1</xdr:row>
      <xdr:rowOff>698515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D6D50B8-726D-4632-B187-A1EB12011431}"/>
            </a:ext>
          </a:extLst>
        </xdr:cNvPr>
        <xdr:cNvSpPr/>
      </xdr:nvSpPr>
      <xdr:spPr>
        <a:xfrm>
          <a:off x="10280604" y="1030941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13</xdr:col>
      <xdr:colOff>403412</xdr:colOff>
      <xdr:row>1</xdr:row>
      <xdr:rowOff>78441</xdr:rowOff>
    </xdr:from>
    <xdr:to>
      <xdr:col>16</xdr:col>
      <xdr:colOff>403414</xdr:colOff>
      <xdr:row>1</xdr:row>
      <xdr:rowOff>627529</xdr:rowOff>
    </xdr:to>
    <xdr:sp macro="" textlink="">
      <xdr:nvSpPr>
        <xdr:cNvPr id="18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14167E5-E0D6-4555-83B2-E5DADE90574F}"/>
            </a:ext>
          </a:extLst>
        </xdr:cNvPr>
        <xdr:cNvSpPr/>
      </xdr:nvSpPr>
      <xdr:spPr>
        <a:xfrm>
          <a:off x="4191000" y="1030941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13</xdr:col>
      <xdr:colOff>437030</xdr:colOff>
      <xdr:row>2</xdr:row>
      <xdr:rowOff>67236</xdr:rowOff>
    </xdr:from>
    <xdr:to>
      <xdr:col>16</xdr:col>
      <xdr:colOff>437032</xdr:colOff>
      <xdr:row>4</xdr:row>
      <xdr:rowOff>44824</xdr:rowOff>
    </xdr:to>
    <xdr:sp macro="" textlink="">
      <xdr:nvSpPr>
        <xdr:cNvPr id="1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EE818E-4639-48FF-B0CD-B9D43C3624DA}"/>
            </a:ext>
          </a:extLst>
        </xdr:cNvPr>
        <xdr:cNvSpPr/>
      </xdr:nvSpPr>
      <xdr:spPr>
        <a:xfrm>
          <a:off x="4224618" y="1770530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72571</xdr:colOff>
      <xdr:row>1</xdr:row>
      <xdr:rowOff>90714</xdr:rowOff>
    </xdr:from>
    <xdr:to>
      <xdr:col>19</xdr:col>
      <xdr:colOff>633300</xdr:colOff>
      <xdr:row>1</xdr:row>
      <xdr:rowOff>655248</xdr:rowOff>
    </xdr:to>
    <xdr:sp macro="" textlink="">
      <xdr:nvSpPr>
        <xdr:cNvPr id="11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E0D1690-CA80-48DC-818F-CB2A7C323155}"/>
            </a:ext>
          </a:extLst>
        </xdr:cNvPr>
        <xdr:cNvSpPr/>
      </xdr:nvSpPr>
      <xdr:spPr>
        <a:xfrm>
          <a:off x="6640285" y="1043214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1838647</xdr:colOff>
      <xdr:row>0</xdr:row>
      <xdr:rowOff>838823</xdr:rowOff>
    </xdr:from>
    <xdr:to>
      <xdr:col>31</xdr:col>
      <xdr:colOff>218941</xdr:colOff>
      <xdr:row>1</xdr:row>
      <xdr:rowOff>575531</xdr:rowOff>
    </xdr:to>
    <xdr:sp macro="" textlink="">
      <xdr:nvSpPr>
        <xdr:cNvPr id="1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D4F24-21FF-4264-9243-911F3D6C69DA}"/>
            </a:ext>
          </a:extLst>
        </xdr:cNvPr>
        <xdr:cNvSpPr/>
      </xdr:nvSpPr>
      <xdr:spPr>
        <a:xfrm>
          <a:off x="9334822" y="838823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17</xdr:col>
      <xdr:colOff>290873</xdr:colOff>
      <xdr:row>3</xdr:row>
      <xdr:rowOff>56895</xdr:rowOff>
    </xdr:from>
    <xdr:to>
      <xdr:col>19</xdr:col>
      <xdr:colOff>845083</xdr:colOff>
      <xdr:row>5</xdr:row>
      <xdr:rowOff>117929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AEE480-63D1-4E70-98E5-F6D8F9D237CE}"/>
            </a:ext>
          </a:extLst>
        </xdr:cNvPr>
        <xdr:cNvSpPr/>
      </xdr:nvSpPr>
      <xdr:spPr>
        <a:xfrm>
          <a:off x="6913016" y="1744181"/>
          <a:ext cx="1842353" cy="5962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19</xdr:col>
      <xdr:colOff>1863138</xdr:colOff>
      <xdr:row>3</xdr:row>
      <xdr:rowOff>24317</xdr:rowOff>
    </xdr:from>
    <xdr:to>
      <xdr:col>31</xdr:col>
      <xdr:colOff>214352</xdr:colOff>
      <xdr:row>4</xdr:row>
      <xdr:rowOff>181199</xdr:rowOff>
    </xdr:to>
    <xdr:sp macro="" textlink="">
      <xdr:nvSpPr>
        <xdr:cNvPr id="1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960570-E641-4B5F-8807-872C01DC41E0}"/>
            </a:ext>
          </a:extLst>
        </xdr:cNvPr>
        <xdr:cNvSpPr/>
      </xdr:nvSpPr>
      <xdr:spPr>
        <a:xfrm>
          <a:off x="9374281" y="1697996"/>
          <a:ext cx="1780214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32</xdr:col>
      <xdr:colOff>446715</xdr:colOff>
      <xdr:row>0</xdr:row>
      <xdr:rowOff>852592</xdr:rowOff>
    </xdr:from>
    <xdr:to>
      <xdr:col>35</xdr:col>
      <xdr:colOff>408213</xdr:colOff>
      <xdr:row>1</xdr:row>
      <xdr:rowOff>612322</xdr:rowOff>
    </xdr:to>
    <xdr:sp macro="" textlink="">
      <xdr:nvSpPr>
        <xdr:cNvPr id="1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C861751-7D31-4359-A3D3-4EBC5F413078}"/>
            </a:ext>
          </a:extLst>
        </xdr:cNvPr>
        <xdr:cNvSpPr/>
      </xdr:nvSpPr>
      <xdr:spPr>
        <a:xfrm>
          <a:off x="11999179" y="852592"/>
          <a:ext cx="1798463" cy="61698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12</xdr:col>
      <xdr:colOff>495300</xdr:colOff>
      <xdr:row>1</xdr:row>
      <xdr:rowOff>1</xdr:rowOff>
    </xdr:from>
    <xdr:to>
      <xdr:col>15</xdr:col>
      <xdr:colOff>481855</xdr:colOff>
      <xdr:row>1</xdr:row>
      <xdr:rowOff>612321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7826FA7-6CE0-4E9D-B63E-12FD29439F38}"/>
            </a:ext>
          </a:extLst>
        </xdr:cNvPr>
        <xdr:cNvSpPr/>
      </xdr:nvSpPr>
      <xdr:spPr>
        <a:xfrm>
          <a:off x="3720193" y="857251"/>
          <a:ext cx="1823519" cy="61232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0</xdr:col>
      <xdr:colOff>123826</xdr:colOff>
      <xdr:row>0</xdr:row>
      <xdr:rowOff>95249</xdr:rowOff>
    </xdr:from>
    <xdr:to>
      <xdr:col>1</xdr:col>
      <xdr:colOff>1047750</xdr:colOff>
      <xdr:row>0</xdr:row>
      <xdr:rowOff>802820</xdr:rowOff>
    </xdr:to>
    <xdr:sp macro="" textlink="">
      <xdr:nvSpPr>
        <xdr:cNvPr id="9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0070BB8-25FF-4360-901C-174ADEE9349B}"/>
            </a:ext>
          </a:extLst>
        </xdr:cNvPr>
        <xdr:cNvSpPr/>
      </xdr:nvSpPr>
      <xdr:spPr>
        <a:xfrm>
          <a:off x="123826" y="95249"/>
          <a:ext cx="1128031" cy="70757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12</xdr:col>
      <xdr:colOff>476250</xdr:colOff>
      <xdr:row>3</xdr:row>
      <xdr:rowOff>25854</xdr:rowOff>
    </xdr:from>
    <xdr:to>
      <xdr:col>15</xdr:col>
      <xdr:colOff>462805</xdr:colOff>
      <xdr:row>4</xdr:row>
      <xdr:rowOff>193942</xdr:rowOff>
    </xdr:to>
    <xdr:sp macro="" textlink="">
      <xdr:nvSpPr>
        <xdr:cNvPr id="11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1CA40A7-DACC-4D22-B0E2-1B79542D0956}"/>
            </a:ext>
          </a:extLst>
        </xdr:cNvPr>
        <xdr:cNvSpPr/>
      </xdr:nvSpPr>
      <xdr:spPr>
        <a:xfrm>
          <a:off x="3701143" y="1699533"/>
          <a:ext cx="1823519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281215</xdr:colOff>
      <xdr:row>1</xdr:row>
      <xdr:rowOff>18142</xdr:rowOff>
    </xdr:from>
    <xdr:to>
      <xdr:col>19</xdr:col>
      <xdr:colOff>841944</xdr:colOff>
      <xdr:row>1</xdr:row>
      <xdr:rowOff>582676</xdr:rowOff>
    </xdr:to>
    <xdr:sp macro="" textlink="">
      <xdr:nvSpPr>
        <xdr:cNvPr id="18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0A07CBD-C1E6-4AE3-A8D7-D935F84608DE}"/>
            </a:ext>
          </a:extLst>
        </xdr:cNvPr>
        <xdr:cNvSpPr/>
      </xdr:nvSpPr>
      <xdr:spPr>
        <a:xfrm>
          <a:off x="6903358" y="879928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112619</xdr:colOff>
      <xdr:row>0</xdr:row>
      <xdr:rowOff>404533</xdr:rowOff>
    </xdr:from>
    <xdr:to>
      <xdr:col>1</xdr:col>
      <xdr:colOff>1427069</xdr:colOff>
      <xdr:row>0</xdr:row>
      <xdr:rowOff>885265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B5D1B-3A15-4463-ACB4-CDA1AAEF6692}"/>
            </a:ext>
          </a:extLst>
        </xdr:cNvPr>
        <xdr:cNvSpPr/>
      </xdr:nvSpPr>
      <xdr:spPr>
        <a:xfrm>
          <a:off x="269501" y="404533"/>
          <a:ext cx="1314450" cy="48073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1576989</xdr:colOff>
      <xdr:row>0</xdr:row>
      <xdr:rowOff>1228227</xdr:rowOff>
    </xdr:from>
    <xdr:to>
      <xdr:col>30</xdr:col>
      <xdr:colOff>575287</xdr:colOff>
      <xdr:row>1</xdr:row>
      <xdr:rowOff>533509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97DABF-D489-4FC7-9DAF-D063D148EA39}"/>
            </a:ext>
          </a:extLst>
        </xdr:cNvPr>
        <xdr:cNvSpPr/>
      </xdr:nvSpPr>
      <xdr:spPr>
        <a:xfrm>
          <a:off x="8984077" y="1228227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19</xdr:col>
      <xdr:colOff>1603561</xdr:colOff>
      <xdr:row>1</xdr:row>
      <xdr:rowOff>664573</xdr:rowOff>
    </xdr:from>
    <xdr:to>
      <xdr:col>30</xdr:col>
      <xdr:colOff>572779</xdr:colOff>
      <xdr:row>3</xdr:row>
      <xdr:rowOff>171513</xdr:rowOff>
    </xdr:to>
    <xdr:sp macro="" textlink="">
      <xdr:nvSpPr>
        <xdr:cNvPr id="1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30FAAA-AC98-4D33-BCCB-24799CFC106A}"/>
            </a:ext>
          </a:extLst>
        </xdr:cNvPr>
        <xdr:cNvSpPr/>
      </xdr:nvSpPr>
      <xdr:spPr>
        <a:xfrm>
          <a:off x="9010649" y="1953249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31</xdr:col>
      <xdr:colOff>128074</xdr:colOff>
      <xdr:row>0</xdr:row>
      <xdr:rowOff>1232647</xdr:rowOff>
    </xdr:from>
    <xdr:to>
      <xdr:col>34</xdr:col>
      <xdr:colOff>105407</xdr:colOff>
      <xdr:row>1</xdr:row>
      <xdr:rowOff>564045</xdr:rowOff>
    </xdr:to>
    <xdr:sp macro="" textlink="">
      <xdr:nvSpPr>
        <xdr:cNvPr id="17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A97A689-6C7A-4CB5-ABD1-F4D19E70FB82}"/>
            </a:ext>
          </a:extLst>
        </xdr:cNvPr>
        <xdr:cNvSpPr/>
      </xdr:nvSpPr>
      <xdr:spPr>
        <a:xfrm>
          <a:off x="10941750" y="1232647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15</xdr:col>
      <xdr:colOff>11207</xdr:colOff>
      <xdr:row>0</xdr:row>
      <xdr:rowOff>1255058</xdr:rowOff>
    </xdr:from>
    <xdr:to>
      <xdr:col>18</xdr:col>
      <xdr:colOff>11209</xdr:colOff>
      <xdr:row>1</xdr:row>
      <xdr:rowOff>515470</xdr:rowOff>
    </xdr:to>
    <xdr:sp macro="" textlink="">
      <xdr:nvSpPr>
        <xdr:cNvPr id="18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CFF7C7-9A6E-479D-81CC-DB1B6AED6E96}"/>
            </a:ext>
          </a:extLst>
        </xdr:cNvPr>
        <xdr:cNvSpPr/>
      </xdr:nvSpPr>
      <xdr:spPr>
        <a:xfrm>
          <a:off x="4997825" y="1255058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14</xdr:col>
      <xdr:colOff>593913</xdr:colOff>
      <xdr:row>1</xdr:row>
      <xdr:rowOff>672353</xdr:rowOff>
    </xdr:from>
    <xdr:to>
      <xdr:col>17</xdr:col>
      <xdr:colOff>593915</xdr:colOff>
      <xdr:row>3</xdr:row>
      <xdr:rowOff>190499</xdr:rowOff>
    </xdr:to>
    <xdr:sp macro="" textlink="">
      <xdr:nvSpPr>
        <xdr:cNvPr id="12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0A69594-7901-4254-8EEE-E171661F8C82}"/>
            </a:ext>
          </a:extLst>
        </xdr:cNvPr>
        <xdr:cNvSpPr/>
      </xdr:nvSpPr>
      <xdr:spPr>
        <a:xfrm>
          <a:off x="4975413" y="1961029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18</xdr:col>
      <xdr:colOff>172944</xdr:colOff>
      <xdr:row>1</xdr:row>
      <xdr:rowOff>682825</xdr:rowOff>
    </xdr:from>
    <xdr:to>
      <xdr:col>19</xdr:col>
      <xdr:colOff>1371226</xdr:colOff>
      <xdr:row>3</xdr:row>
      <xdr:rowOff>244930</xdr:rowOff>
    </xdr:to>
    <xdr:sp macro="" textlink="">
      <xdr:nvSpPr>
        <xdr:cNvPr id="1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EC26C68-A580-4C61-B80F-201DC5CEE0A8}"/>
            </a:ext>
          </a:extLst>
        </xdr:cNvPr>
        <xdr:cNvSpPr/>
      </xdr:nvSpPr>
      <xdr:spPr>
        <a:xfrm>
          <a:off x="7384730" y="1961896"/>
          <a:ext cx="1842353" cy="5962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18</xdr:col>
      <xdr:colOff>154214</xdr:colOff>
      <xdr:row>0</xdr:row>
      <xdr:rowOff>1215571</xdr:rowOff>
    </xdr:from>
    <xdr:to>
      <xdr:col>19</xdr:col>
      <xdr:colOff>1359015</xdr:colOff>
      <xdr:row>1</xdr:row>
      <xdr:rowOff>501034</xdr:rowOff>
    </xdr:to>
    <xdr:sp macro="" textlink="">
      <xdr:nvSpPr>
        <xdr:cNvPr id="16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BF5D130-6B9B-4181-8EF6-4912F7B71ABE}"/>
            </a:ext>
          </a:extLst>
        </xdr:cNvPr>
        <xdr:cNvSpPr/>
      </xdr:nvSpPr>
      <xdr:spPr>
        <a:xfrm>
          <a:off x="7366000" y="1215571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0</xdr:row>
      <xdr:rowOff>114300</xdr:rowOff>
    </xdr:from>
    <xdr:to>
      <xdr:col>1</xdr:col>
      <xdr:colOff>771525</xdr:colOff>
      <xdr:row>0</xdr:row>
      <xdr:rowOff>466725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66676" y="114300"/>
          <a:ext cx="923924" cy="3524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4</xdr:col>
      <xdr:colOff>268379</xdr:colOff>
      <xdr:row>0</xdr:row>
      <xdr:rowOff>527008</xdr:rowOff>
    </xdr:from>
    <xdr:to>
      <xdr:col>7</xdr:col>
      <xdr:colOff>212911</xdr:colOff>
      <xdr:row>2</xdr:row>
      <xdr:rowOff>22413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4593850" y="527008"/>
          <a:ext cx="2432237" cy="55996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hours of reduction and unallocated cases</a:t>
          </a:r>
        </a:p>
      </xdr:txBody>
    </xdr:sp>
    <xdr:clientData fPrintsWithSheet="0"/>
  </xdr:twoCellAnchor>
  <xdr:twoCellAnchor>
    <xdr:from>
      <xdr:col>7</xdr:col>
      <xdr:colOff>742391</xdr:colOff>
      <xdr:row>1</xdr:row>
      <xdr:rowOff>3362</xdr:rowOff>
    </xdr:from>
    <xdr:to>
      <xdr:col>9</xdr:col>
      <xdr:colOff>263337</xdr:colOff>
      <xdr:row>1</xdr:row>
      <xdr:rowOff>466600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7555567" y="574862"/>
          <a:ext cx="1549211" cy="46323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9</xdr:col>
      <xdr:colOff>643219</xdr:colOff>
      <xdr:row>1</xdr:row>
      <xdr:rowOff>9856</xdr:rowOff>
    </xdr:from>
    <xdr:to>
      <xdr:col>11</xdr:col>
      <xdr:colOff>862854</xdr:colOff>
      <xdr:row>1</xdr:row>
      <xdr:rowOff>468406</xdr:rowOff>
    </xdr:to>
    <xdr:sp macro="" textlink="">
      <xdr:nvSpPr>
        <xdr:cNvPr id="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9484660" y="581356"/>
          <a:ext cx="2057400" cy="4585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227481</xdr:colOff>
      <xdr:row>0</xdr:row>
      <xdr:rowOff>364191</xdr:rowOff>
    </xdr:from>
    <xdr:to>
      <xdr:col>1</xdr:col>
      <xdr:colOff>1221441</xdr:colOff>
      <xdr:row>0</xdr:row>
      <xdr:rowOff>830916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227481" y="364191"/>
          <a:ext cx="993960" cy="466725"/>
        </a:xfrm>
        <a:prstGeom prst="roundRect">
          <a:avLst>
            <a:gd name="adj" fmla="val 0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3</xdr:col>
      <xdr:colOff>421609</xdr:colOff>
      <xdr:row>1</xdr:row>
      <xdr:rowOff>19329</xdr:rowOff>
    </xdr:from>
    <xdr:to>
      <xdr:col>5</xdr:col>
      <xdr:colOff>686718</xdr:colOff>
      <xdr:row>2</xdr:row>
      <xdr:rowOff>131668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5284962" y="882182"/>
          <a:ext cx="2203727" cy="65022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  <xdr:twoCellAnchor>
    <xdr:from>
      <xdr:col>6</xdr:col>
      <xdr:colOff>253991</xdr:colOff>
      <xdr:row>1</xdr:row>
      <xdr:rowOff>33618</xdr:rowOff>
    </xdr:from>
    <xdr:to>
      <xdr:col>8</xdr:col>
      <xdr:colOff>405848</xdr:colOff>
      <xdr:row>2</xdr:row>
      <xdr:rowOff>142251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7784344" y="896471"/>
          <a:ext cx="1967210" cy="64651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8</xdr:col>
      <xdr:colOff>618892</xdr:colOff>
      <xdr:row>1</xdr:row>
      <xdr:rowOff>56500</xdr:rowOff>
    </xdr:from>
    <xdr:to>
      <xdr:col>10</xdr:col>
      <xdr:colOff>874060</xdr:colOff>
      <xdr:row>2</xdr:row>
      <xdr:rowOff>144824</xdr:rowOff>
    </xdr:to>
    <xdr:sp macro="" textlink="">
      <xdr:nvSpPr>
        <xdr:cNvPr id="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9964598" y="919353"/>
          <a:ext cx="2126550" cy="62620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866775</xdr:colOff>
      <xdr:row>1</xdr:row>
      <xdr:rowOff>29133</xdr:rowOff>
    </xdr:from>
    <xdr:to>
      <xdr:col>5</xdr:col>
      <xdr:colOff>1304924</xdr:colOff>
      <xdr:row>2</xdr:row>
      <xdr:rowOff>58740</xdr:rowOff>
    </xdr:to>
    <xdr:sp macro="" textlink="">
      <xdr:nvSpPr>
        <xdr:cNvPr id="4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6076950" y="619683"/>
          <a:ext cx="2438399" cy="543957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reduction in hours and unallocated cases</a:t>
          </a:r>
        </a:p>
      </xdr:txBody>
    </xdr:sp>
    <xdr:clientData fPrintsWithSheet="0"/>
  </xdr:twoCellAnchor>
  <xdr:twoCellAnchor>
    <xdr:from>
      <xdr:col>0</xdr:col>
      <xdr:colOff>147916</xdr:colOff>
      <xdr:row>0</xdr:row>
      <xdr:rowOff>86285</xdr:rowOff>
    </xdr:from>
    <xdr:to>
      <xdr:col>1</xdr:col>
      <xdr:colOff>788893</xdr:colOff>
      <xdr:row>1</xdr:row>
      <xdr:rowOff>52107</xdr:rowOff>
    </xdr:to>
    <xdr:sp macro="" textlink="">
      <xdr:nvSpPr>
        <xdr:cNvPr id="5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14692591" y="86285"/>
          <a:ext cx="1002927" cy="38492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</xdr:col>
      <xdr:colOff>816428</xdr:colOff>
      <xdr:row>1</xdr:row>
      <xdr:rowOff>27213</xdr:rowOff>
    </xdr:from>
    <xdr:to>
      <xdr:col>3</xdr:col>
      <xdr:colOff>744294</xdr:colOff>
      <xdr:row>2</xdr:row>
      <xdr:rowOff>36286</xdr:rowOff>
    </xdr:to>
    <xdr:sp macro="" textlink="">
      <xdr:nvSpPr>
        <xdr:cNvPr id="7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A90310-08AB-4DAE-98E6-AFA3022648E0}"/>
            </a:ext>
          </a:extLst>
        </xdr:cNvPr>
        <xdr:cNvSpPr/>
      </xdr:nvSpPr>
      <xdr:spPr>
        <a:xfrm>
          <a:off x="3900714" y="616856"/>
          <a:ext cx="2304580" cy="52614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  <xdr:twoCellAnchor>
    <xdr:from>
      <xdr:col>5</xdr:col>
      <xdr:colOff>1433285</xdr:colOff>
      <xdr:row>1</xdr:row>
      <xdr:rowOff>0</xdr:rowOff>
    </xdr:from>
    <xdr:to>
      <xdr:col>6</xdr:col>
      <xdr:colOff>1692188</xdr:colOff>
      <xdr:row>2</xdr:row>
      <xdr:rowOff>101664</xdr:rowOff>
    </xdr:to>
    <xdr:sp macro="" textlink="">
      <xdr:nvSpPr>
        <xdr:cNvPr id="8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6107CE1-3E0A-4CC7-8942-45BB562DF107}"/>
            </a:ext>
          </a:extLst>
        </xdr:cNvPr>
        <xdr:cNvSpPr/>
      </xdr:nvSpPr>
      <xdr:spPr>
        <a:xfrm>
          <a:off x="8989785" y="589643"/>
          <a:ext cx="2227403" cy="61873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139515</xdr:colOff>
      <xdr:row>0</xdr:row>
      <xdr:rowOff>228599</xdr:rowOff>
    </xdr:from>
    <xdr:to>
      <xdr:col>1</xdr:col>
      <xdr:colOff>1019737</xdr:colOff>
      <xdr:row>0</xdr:row>
      <xdr:rowOff>657224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251574" y="228599"/>
          <a:ext cx="880222" cy="4286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7</xdr:col>
      <xdr:colOff>108136</xdr:colOff>
      <xdr:row>1</xdr:row>
      <xdr:rowOff>57482</xdr:rowOff>
    </xdr:from>
    <xdr:to>
      <xdr:col>8</xdr:col>
      <xdr:colOff>168087</xdr:colOff>
      <xdr:row>1</xdr:row>
      <xdr:rowOff>501694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6473077" y="965158"/>
          <a:ext cx="2401981" cy="44421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reduction in hours and </a:t>
          </a:r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unallocated</a:t>
          </a:r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cases</a:t>
          </a:r>
        </a:p>
      </xdr:txBody>
    </xdr:sp>
    <xdr:clientData fPrintsWithSheet="0"/>
  </xdr:twoCellAnchor>
  <xdr:twoCellAnchor>
    <xdr:from>
      <xdr:col>9</xdr:col>
      <xdr:colOff>24092</xdr:colOff>
      <xdr:row>1</xdr:row>
      <xdr:rowOff>71718</xdr:rowOff>
    </xdr:from>
    <xdr:to>
      <xdr:col>10</xdr:col>
      <xdr:colOff>560294</xdr:colOff>
      <xdr:row>1</xdr:row>
      <xdr:rowOff>519393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9470651" y="979394"/>
          <a:ext cx="1634378" cy="4476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4</xdr:col>
      <xdr:colOff>224118</xdr:colOff>
      <xdr:row>1</xdr:row>
      <xdr:rowOff>37352</xdr:rowOff>
    </xdr:from>
    <xdr:to>
      <xdr:col>6</xdr:col>
      <xdr:colOff>511639</xdr:colOff>
      <xdr:row>2</xdr:row>
      <xdr:rowOff>7470</xdr:rowOff>
    </xdr:to>
    <xdr:sp macro="" textlink="">
      <xdr:nvSpPr>
        <xdr:cNvPr id="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26BE1CB-AD68-4732-BEB9-3EF27735CCC3}"/>
            </a:ext>
          </a:extLst>
        </xdr:cNvPr>
        <xdr:cNvSpPr/>
      </xdr:nvSpPr>
      <xdr:spPr>
        <a:xfrm>
          <a:off x="4071471" y="941293"/>
          <a:ext cx="2304580" cy="493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165287</xdr:colOff>
      <xdr:row>0</xdr:row>
      <xdr:rowOff>344020</xdr:rowOff>
    </xdr:from>
    <xdr:to>
      <xdr:col>1</xdr:col>
      <xdr:colOff>728382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65287" y="344020"/>
          <a:ext cx="832036" cy="49642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169332</xdr:colOff>
      <xdr:row>0</xdr:row>
      <xdr:rowOff>169333</xdr:rowOff>
    </xdr:from>
    <xdr:to>
      <xdr:col>1</xdr:col>
      <xdr:colOff>994833</xdr:colOff>
      <xdr:row>0</xdr:row>
      <xdr:rowOff>582083</xdr:rowOff>
    </xdr:to>
    <xdr:sp macro="" textlink="">
      <xdr:nvSpPr>
        <xdr:cNvPr id="3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>
        <a:xfrm>
          <a:off x="19938999" y="169333"/>
          <a:ext cx="1068917" cy="412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17931</xdr:colOff>
      <xdr:row>0</xdr:row>
      <xdr:rowOff>115103</xdr:rowOff>
    </xdr:from>
    <xdr:to>
      <xdr:col>7</xdr:col>
      <xdr:colOff>457332</xdr:colOff>
      <xdr:row>0</xdr:row>
      <xdr:rowOff>566708</xdr:rowOff>
    </xdr:to>
    <xdr:sp macro="" textlink="">
      <xdr:nvSpPr>
        <xdr:cNvPr id="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/>
      </xdr:nvSpPr>
      <xdr:spPr>
        <a:xfrm>
          <a:off x="7996519" y="115103"/>
          <a:ext cx="1750489" cy="45160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</a:t>
          </a:r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luster</a:t>
          </a:r>
        </a:p>
      </xdr:txBody>
    </xdr:sp>
    <xdr:clientData fPrintsWithSheet="0"/>
  </xdr:twoCellAnchor>
  <xdr:twoCellAnchor>
    <xdr:from>
      <xdr:col>7</xdr:col>
      <xdr:colOff>597648</xdr:colOff>
      <xdr:row>0</xdr:row>
      <xdr:rowOff>97118</xdr:rowOff>
    </xdr:from>
    <xdr:to>
      <xdr:col>9</xdr:col>
      <xdr:colOff>788147</xdr:colOff>
      <xdr:row>0</xdr:row>
      <xdr:rowOff>582023</xdr:rowOff>
    </xdr:to>
    <xdr:sp macro="" textlink="">
      <xdr:nvSpPr>
        <xdr:cNvPr id="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/>
      </xdr:nvSpPr>
      <xdr:spPr>
        <a:xfrm>
          <a:off x="11766177" y="97118"/>
          <a:ext cx="3193676" cy="48490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regional reductions as % of contracted hours</a:t>
          </a:r>
        </a:p>
      </xdr:txBody>
    </xdr:sp>
    <xdr:clientData fPrintsWithSheet="0"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244930</xdr:colOff>
      <xdr:row>0</xdr:row>
      <xdr:rowOff>285750</xdr:rowOff>
    </xdr:from>
    <xdr:to>
      <xdr:col>0</xdr:col>
      <xdr:colOff>1199030</xdr:colOff>
      <xdr:row>0</xdr:row>
      <xdr:rowOff>857250</xdr:rowOff>
    </xdr:to>
    <xdr:sp macro="" textlink="">
      <xdr:nvSpPr>
        <xdr:cNvPr id="3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244930" y="285750"/>
          <a:ext cx="954100" cy="5715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3</xdr:col>
      <xdr:colOff>594715</xdr:colOff>
      <xdr:row>0</xdr:row>
      <xdr:rowOff>130333</xdr:rowOff>
    </xdr:from>
    <xdr:to>
      <xdr:col>4</xdr:col>
      <xdr:colOff>1714501</xdr:colOff>
      <xdr:row>0</xdr:row>
      <xdr:rowOff>847217</xdr:rowOff>
    </xdr:to>
    <xdr:sp macro="" textlink="">
      <xdr:nvSpPr>
        <xdr:cNvPr id="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>
          <a:off x="6769156" y="130333"/>
          <a:ext cx="1724904" cy="71688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4</xdr:col>
      <xdr:colOff>2276023</xdr:colOff>
      <xdr:row>0</xdr:row>
      <xdr:rowOff>120062</xdr:rowOff>
    </xdr:from>
    <xdr:to>
      <xdr:col>6</xdr:col>
      <xdr:colOff>38848</xdr:colOff>
      <xdr:row>0</xdr:row>
      <xdr:rowOff>853341</xdr:rowOff>
    </xdr:to>
    <xdr:sp macro="" textlink="">
      <xdr:nvSpPr>
        <xdr:cNvPr id="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/>
      </xdr:nvSpPr>
      <xdr:spPr>
        <a:xfrm>
          <a:off x="9055582" y="120062"/>
          <a:ext cx="2009854" cy="7332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reductions as % of contracted hours</a:t>
          </a:r>
        </a:p>
      </xdr:txBody>
    </xdr:sp>
    <xdr:clientData fPrintsWithSheet="0"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124945</xdr:rowOff>
    </xdr:from>
    <xdr:to>
      <xdr:col>1</xdr:col>
      <xdr:colOff>1176618</xdr:colOff>
      <xdr:row>0</xdr:row>
      <xdr:rowOff>582706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/>
      </xdr:nvSpPr>
      <xdr:spPr>
        <a:xfrm>
          <a:off x="180975" y="124945"/>
          <a:ext cx="1286996" cy="45776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9</xdr:col>
      <xdr:colOff>324972</xdr:colOff>
      <xdr:row>0</xdr:row>
      <xdr:rowOff>89646</xdr:rowOff>
    </xdr:from>
    <xdr:to>
      <xdr:col>11</xdr:col>
      <xdr:colOff>289672</xdr:colOff>
      <xdr:row>0</xdr:row>
      <xdr:rowOff>703727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/>
      </xdr:nvSpPr>
      <xdr:spPr>
        <a:xfrm>
          <a:off x="9547413" y="89646"/>
          <a:ext cx="1712818" cy="61408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11</xdr:col>
      <xdr:colOff>505944</xdr:colOff>
      <xdr:row>0</xdr:row>
      <xdr:rowOff>108696</xdr:rowOff>
    </xdr:from>
    <xdr:to>
      <xdr:col>13</xdr:col>
      <xdr:colOff>164725</xdr:colOff>
      <xdr:row>0</xdr:row>
      <xdr:rowOff>717175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/>
      </xdr:nvSpPr>
      <xdr:spPr>
        <a:xfrm>
          <a:off x="11476503" y="108696"/>
          <a:ext cx="1552575" cy="608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PDU</a:t>
          </a:r>
          <a:endParaRPr lang="en-GB" sz="1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68159</xdr:colOff>
      <xdr:row>0</xdr:row>
      <xdr:rowOff>176894</xdr:rowOff>
    </xdr:from>
    <xdr:to>
      <xdr:col>1</xdr:col>
      <xdr:colOff>375557</xdr:colOff>
      <xdr:row>0</xdr:row>
      <xdr:rowOff>830036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/>
      </xdr:nvSpPr>
      <xdr:spPr>
        <a:xfrm>
          <a:off x="68159" y="176894"/>
          <a:ext cx="1341541" cy="65314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2</xdr:col>
      <xdr:colOff>1614714</xdr:colOff>
      <xdr:row>2</xdr:row>
      <xdr:rowOff>974640</xdr:rowOff>
    </xdr:from>
    <xdr:to>
      <xdr:col>3</xdr:col>
      <xdr:colOff>2118714</xdr:colOff>
      <xdr:row>2</xdr:row>
      <xdr:rowOff>1651886</xdr:rowOff>
    </xdr:to>
    <xdr:sp macro="" textlink="">
      <xdr:nvSpPr>
        <xdr:cNvPr id="8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800-000008000000}"/>
            </a:ext>
          </a:extLst>
        </xdr:cNvPr>
        <xdr:cNvSpPr/>
      </xdr:nvSpPr>
      <xdr:spPr>
        <a:xfrm>
          <a:off x="4544785" y="2779854"/>
          <a:ext cx="2182215" cy="67724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Divisional caseload</a:t>
          </a:r>
        </a:p>
      </xdr:txBody>
    </xdr:sp>
    <xdr:clientData fLocksWithSheet="0"/>
  </xdr:twoCellAnchor>
  <xdr:twoCellAnchor>
    <xdr:from>
      <xdr:col>3</xdr:col>
      <xdr:colOff>3048001</xdr:colOff>
      <xdr:row>2</xdr:row>
      <xdr:rowOff>972825</xdr:rowOff>
    </xdr:from>
    <xdr:to>
      <xdr:col>6</xdr:col>
      <xdr:colOff>132858</xdr:colOff>
      <xdr:row>2</xdr:row>
      <xdr:rowOff>1656393</xdr:rowOff>
    </xdr:to>
    <xdr:sp macro="" textlink="">
      <xdr:nvSpPr>
        <xdr:cNvPr id="9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800-000009000000}"/>
            </a:ext>
          </a:extLst>
        </xdr:cNvPr>
        <xdr:cNvSpPr/>
      </xdr:nvSpPr>
      <xdr:spPr>
        <a:xfrm>
          <a:off x="7443108" y="2768968"/>
          <a:ext cx="2310000" cy="68356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LocksWithSheet="0"/>
  </xdr:twoCellAnchor>
  <xdr:twoCellAnchor>
    <xdr:from>
      <xdr:col>0</xdr:col>
      <xdr:colOff>1030942</xdr:colOff>
      <xdr:row>2</xdr:row>
      <xdr:rowOff>1010924</xdr:rowOff>
    </xdr:from>
    <xdr:to>
      <xdr:col>2</xdr:col>
      <xdr:colOff>530680</xdr:colOff>
      <xdr:row>2</xdr:row>
      <xdr:rowOff>1632857</xdr:rowOff>
    </xdr:to>
    <xdr:sp macro="" textlink="">
      <xdr:nvSpPr>
        <xdr:cNvPr id="10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800-00000A000000}"/>
            </a:ext>
          </a:extLst>
        </xdr:cNvPr>
        <xdr:cNvSpPr/>
      </xdr:nvSpPr>
      <xdr:spPr>
        <a:xfrm>
          <a:off x="1030942" y="2807067"/>
          <a:ext cx="2289202" cy="62193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LocksWithSheet="0"/>
  </xdr:twoCellAnchor>
  <xdr:twoCellAnchor>
    <xdr:from>
      <xdr:col>1</xdr:col>
      <xdr:colOff>875394</xdr:colOff>
      <xdr:row>2</xdr:row>
      <xdr:rowOff>2444750</xdr:rowOff>
    </xdr:from>
    <xdr:to>
      <xdr:col>3</xdr:col>
      <xdr:colOff>192562</xdr:colOff>
      <xdr:row>2</xdr:row>
      <xdr:rowOff>3297229</xdr:rowOff>
    </xdr:to>
    <xdr:sp macro="" textlink="">
      <xdr:nvSpPr>
        <xdr:cNvPr id="12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CCF790-0382-4122-BFD8-EAD102398E44}"/>
            </a:ext>
          </a:extLst>
        </xdr:cNvPr>
        <xdr:cNvSpPr/>
      </xdr:nvSpPr>
      <xdr:spPr>
        <a:xfrm>
          <a:off x="1954894" y="4249964"/>
          <a:ext cx="2845954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Divisional caseload percentage</a:t>
          </a:r>
        </a:p>
      </xdr:txBody>
    </xdr:sp>
    <xdr:clientData fLocksWithSheet="0"/>
  </xdr:twoCellAnchor>
  <xdr:twoCellAnchor>
    <xdr:from>
      <xdr:col>3</xdr:col>
      <xdr:colOff>1200150</xdr:colOff>
      <xdr:row>2</xdr:row>
      <xdr:rowOff>2479222</xdr:rowOff>
    </xdr:from>
    <xdr:to>
      <xdr:col>4</xdr:col>
      <xdr:colOff>354032</xdr:colOff>
      <xdr:row>2</xdr:row>
      <xdr:rowOff>3331701</xdr:rowOff>
    </xdr:to>
    <xdr:sp macro="" textlink="">
      <xdr:nvSpPr>
        <xdr:cNvPr id="13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8BBB189-CB77-4642-B571-896ADF9DAFA0}"/>
            </a:ext>
          </a:extLst>
        </xdr:cNvPr>
        <xdr:cNvSpPr/>
      </xdr:nvSpPr>
      <xdr:spPr>
        <a:xfrm>
          <a:off x="5595257" y="4275365"/>
          <a:ext cx="2678132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LocksWithSheet="0"/>
  </xdr:twoCellAnchor>
  <xdr:twoCellAnchor>
    <xdr:from>
      <xdr:col>5</xdr:col>
      <xdr:colOff>304801</xdr:colOff>
      <xdr:row>2</xdr:row>
      <xdr:rowOff>2427514</xdr:rowOff>
    </xdr:from>
    <xdr:to>
      <xdr:col>9</xdr:col>
      <xdr:colOff>220683</xdr:colOff>
      <xdr:row>2</xdr:row>
      <xdr:rowOff>3279993</xdr:rowOff>
    </xdr:to>
    <xdr:sp macro="" textlink="">
      <xdr:nvSpPr>
        <xdr:cNvPr id="15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1AB9B6B-A9C9-44D8-BCC8-9966003091CC}"/>
            </a:ext>
          </a:extLst>
        </xdr:cNvPr>
        <xdr:cNvSpPr/>
      </xdr:nvSpPr>
      <xdr:spPr>
        <a:xfrm>
          <a:off x="9203872" y="4223657"/>
          <a:ext cx="2678132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LocksWithSheet="0"/>
  </xdr:twoCellAnchor>
  <xdr:twoCellAnchor>
    <xdr:from>
      <xdr:col>7</xdr:col>
      <xdr:colOff>598715</xdr:colOff>
      <xdr:row>2</xdr:row>
      <xdr:rowOff>902068</xdr:rowOff>
    </xdr:from>
    <xdr:to>
      <xdr:col>11</xdr:col>
      <xdr:colOff>230785</xdr:colOff>
      <xdr:row>2</xdr:row>
      <xdr:rowOff>1626726</xdr:rowOff>
    </xdr:to>
    <xdr:sp macro="" textlink="">
      <xdr:nvSpPr>
        <xdr:cNvPr id="16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150301F-49C0-45D1-9E83-B722A6866DB9}"/>
            </a:ext>
          </a:extLst>
        </xdr:cNvPr>
        <xdr:cNvSpPr/>
      </xdr:nvSpPr>
      <xdr:spPr>
        <a:xfrm>
          <a:off x="10899322" y="2698211"/>
          <a:ext cx="2380713" cy="7246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235323</xdr:colOff>
      <xdr:row>0</xdr:row>
      <xdr:rowOff>199465</xdr:rowOff>
    </xdr:from>
    <xdr:to>
      <xdr:col>1</xdr:col>
      <xdr:colOff>1146361</xdr:colOff>
      <xdr:row>0</xdr:row>
      <xdr:rowOff>579782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/>
      </xdr:nvSpPr>
      <xdr:spPr>
        <a:xfrm>
          <a:off x="1266264" y="199465"/>
          <a:ext cx="911038" cy="38031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2</xdr:col>
      <xdr:colOff>493057</xdr:colOff>
      <xdr:row>2</xdr:row>
      <xdr:rowOff>1813668</xdr:rowOff>
    </xdr:from>
    <xdr:to>
      <xdr:col>3</xdr:col>
      <xdr:colOff>1064557</xdr:colOff>
      <xdr:row>2</xdr:row>
      <xdr:rowOff>3025587</xdr:rowOff>
    </xdr:to>
    <xdr:sp macro="" textlink="">
      <xdr:nvSpPr>
        <xdr:cNvPr id="69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900-000045000000}"/>
            </a:ext>
          </a:extLst>
        </xdr:cNvPr>
        <xdr:cNvSpPr/>
      </xdr:nvSpPr>
      <xdr:spPr>
        <a:xfrm>
          <a:off x="3272116" y="2889433"/>
          <a:ext cx="2173941" cy="121191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Level Capacities, Reduction of Hours and Unallocated Cases</a:t>
          </a:r>
          <a:endParaRPr lang="en-GB" sz="2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  <xdr:twoCellAnchor>
    <xdr:from>
      <xdr:col>3</xdr:col>
      <xdr:colOff>1689292</xdr:colOff>
      <xdr:row>2</xdr:row>
      <xdr:rowOff>1961029</xdr:rowOff>
    </xdr:from>
    <xdr:to>
      <xdr:col>3</xdr:col>
      <xdr:colOff>3320489</xdr:colOff>
      <xdr:row>2</xdr:row>
      <xdr:rowOff>2830352</xdr:rowOff>
    </xdr:to>
    <xdr:sp macro="" textlink="">
      <xdr:nvSpPr>
        <xdr:cNvPr id="70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900-000046000000}"/>
            </a:ext>
          </a:extLst>
        </xdr:cNvPr>
        <xdr:cNvSpPr/>
      </xdr:nvSpPr>
      <xdr:spPr>
        <a:xfrm>
          <a:off x="6070792" y="3036794"/>
          <a:ext cx="1631197" cy="86932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LocksWithSheet="0"/>
  </xdr:twoCellAnchor>
  <xdr:twoCellAnchor>
    <xdr:from>
      <xdr:col>0</xdr:col>
      <xdr:colOff>930087</xdr:colOff>
      <xdr:row>2</xdr:row>
      <xdr:rowOff>1927411</xdr:rowOff>
    </xdr:from>
    <xdr:to>
      <xdr:col>1</xdr:col>
      <xdr:colOff>1523670</xdr:colOff>
      <xdr:row>2</xdr:row>
      <xdr:rowOff>2801470</xdr:rowOff>
    </xdr:to>
    <xdr:sp macro="" textlink="">
      <xdr:nvSpPr>
        <xdr:cNvPr id="71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900-000047000000}"/>
            </a:ext>
          </a:extLst>
        </xdr:cNvPr>
        <xdr:cNvSpPr/>
      </xdr:nvSpPr>
      <xdr:spPr>
        <a:xfrm>
          <a:off x="930087" y="3003176"/>
          <a:ext cx="1624524" cy="874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Divisional Capacity</a:t>
          </a:r>
        </a:p>
      </xdr:txBody>
    </xdr:sp>
    <xdr:clientData fLocksWithSheet="0"/>
  </xdr:twoCellAnchor>
  <xdr:twoCellAnchor>
    <xdr:from>
      <xdr:col>4</xdr:col>
      <xdr:colOff>212913</xdr:colOff>
      <xdr:row>2</xdr:row>
      <xdr:rowOff>1972234</xdr:rowOff>
    </xdr:from>
    <xdr:to>
      <xdr:col>6</xdr:col>
      <xdr:colOff>437029</xdr:colOff>
      <xdr:row>2</xdr:row>
      <xdr:rowOff>2846293</xdr:rowOff>
    </xdr:to>
    <xdr:sp macro="" textlink="">
      <xdr:nvSpPr>
        <xdr:cNvPr id="6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SpPr/>
      </xdr:nvSpPr>
      <xdr:spPr>
        <a:xfrm>
          <a:off x="8505266" y="3047999"/>
          <a:ext cx="1994645" cy="874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Capacity by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526677</xdr:colOff>
      <xdr:row>0</xdr:row>
      <xdr:rowOff>210671</xdr:rowOff>
    </xdr:from>
    <xdr:to>
      <xdr:col>1</xdr:col>
      <xdr:colOff>373156</xdr:colOff>
      <xdr:row>0</xdr:row>
      <xdr:rowOff>590988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/>
      </xdr:nvSpPr>
      <xdr:spPr>
        <a:xfrm>
          <a:off x="526677" y="210671"/>
          <a:ext cx="877420" cy="38031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3</xdr:col>
      <xdr:colOff>149302</xdr:colOff>
      <xdr:row>2</xdr:row>
      <xdr:rowOff>1064553</xdr:rowOff>
    </xdr:from>
    <xdr:to>
      <xdr:col>3</xdr:col>
      <xdr:colOff>2221144</xdr:colOff>
      <xdr:row>2</xdr:row>
      <xdr:rowOff>1975632</xdr:rowOff>
    </xdr:to>
    <xdr:sp macro="" textlink="">
      <xdr:nvSpPr>
        <xdr:cNvPr id="6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/>
      </xdr:nvSpPr>
      <xdr:spPr>
        <a:xfrm>
          <a:off x="4530802" y="2140318"/>
          <a:ext cx="2071842" cy="9110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  <xdr:twoCellAnchor>
    <xdr:from>
      <xdr:col>4</xdr:col>
      <xdr:colOff>51323</xdr:colOff>
      <xdr:row>2</xdr:row>
      <xdr:rowOff>1066677</xdr:rowOff>
    </xdr:from>
    <xdr:to>
      <xdr:col>6</xdr:col>
      <xdr:colOff>419090</xdr:colOff>
      <xdr:row>2</xdr:row>
      <xdr:rowOff>1973425</xdr:rowOff>
    </xdr:to>
    <xdr:sp macro="" textlink="">
      <xdr:nvSpPr>
        <xdr:cNvPr id="7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/>
      </xdr:nvSpPr>
      <xdr:spPr>
        <a:xfrm>
          <a:off x="7962676" y="2142442"/>
          <a:ext cx="2082267" cy="9067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Reductions as % of Contracted Hours</a:t>
          </a:r>
        </a:p>
      </xdr:txBody>
    </xdr:sp>
    <xdr:clientData fLocksWithSheet="0"/>
  </xdr:twoCellAnchor>
  <xdr:twoCellAnchor>
    <xdr:from>
      <xdr:col>1</xdr:col>
      <xdr:colOff>44823</xdr:colOff>
      <xdr:row>2</xdr:row>
      <xdr:rowOff>1064552</xdr:rowOff>
    </xdr:from>
    <xdr:to>
      <xdr:col>2</xdr:col>
      <xdr:colOff>358590</xdr:colOff>
      <xdr:row>2</xdr:row>
      <xdr:rowOff>1994647</xdr:rowOff>
    </xdr:to>
    <xdr:sp macro="" textlink="">
      <xdr:nvSpPr>
        <xdr:cNvPr id="8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/>
      </xdr:nvSpPr>
      <xdr:spPr>
        <a:xfrm>
          <a:off x="1075764" y="2140317"/>
          <a:ext cx="2061885" cy="93009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justiceuk.sharepoint.com/nd1vcf0011/HBSSHAREDDATA01/NPS/NPS%20NE%20Division%20Hub/Performance%20&amp;%20Quality/Performance/2014-15%20Performance/PTRS%202013-14%20Q4%20Local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ttps://justiceuk.sharepoint.com/UKBIA03KDFSJ001.a03.wp360g.svcs.hp.com/ORG/NPS%20Deputy%20Director%20Effective%20Probation%20Practice/NPS%202020%20Knowledge%20Management/1)%20Define/Risk%20Register/NPS202_KM_Risks%20Issues%20Register_v0.7.xlsm?02995023" TargetMode="External"/><Relationship Id="rId1" Type="http://schemas.openxmlformats.org/officeDocument/2006/relationships/externalLinkPath" Target="file:///02995023/NPS202_KM_Risks%20Issues%20Register_v0.7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https://justiceuk.sharepoint.com/eucw4171nas002.dom1.infra.int/HMPPS_Finance$/NPS%20Deputy%20Director%20Effective%20Probation%20Practice/NPS%202020%20Knowledge%20Management/1)%20Define/Risk%20Register/NPS202_KM_Risks%20Issues%20Register_v0.7.xlsm?CE4A5563" TargetMode="External"/><Relationship Id="rId1" Type="http://schemas.openxmlformats.org/officeDocument/2006/relationships/externalLinkPath" Target="file:///CE4A5563/NPS202_KM_Risks%20Issues%20Register_v0.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Looku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Data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40"/>
  <sheetViews>
    <sheetView showGridLines="0" showRowColHeaders="0" tabSelected="1" topLeftCell="F3" zoomScale="90" zoomScaleNormal="90" zoomScaleSheetLayoutView="85" workbookViewId="0">
      <selection activeCell="L36" sqref="L36"/>
    </sheetView>
  </sheetViews>
  <sheetFormatPr baseColWidth="10" defaultColWidth="8.83203125" defaultRowHeight="14" x14ac:dyDescent="0.15"/>
  <cols>
    <col min="1" max="1" width="3.1640625" customWidth="1"/>
    <col min="10" max="10" width="21.5" customWidth="1"/>
    <col min="11" max="11" width="9.5" bestFit="1" customWidth="1"/>
    <col min="17" max="17" width="12.5" customWidth="1"/>
    <col min="21" max="21" width="11.5" customWidth="1"/>
    <col min="31" max="31" width="6.5" customWidth="1"/>
  </cols>
  <sheetData>
    <row r="1" spans="1:24" ht="45" customHeight="1" x14ac:dyDescent="0.15">
      <c r="A1" s="259" t="s">
        <v>0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</row>
    <row r="2" spans="1:24" x14ac:dyDescent="0.15">
      <c r="A2" s="10"/>
    </row>
    <row r="3" spans="1:24" ht="21.75" customHeight="1" x14ac:dyDescent="0.15">
      <c r="C3" s="229"/>
      <c r="D3" s="229"/>
      <c r="E3" s="229"/>
    </row>
    <row r="4" spans="1:24" ht="18" customHeight="1" x14ac:dyDescent="0.2">
      <c r="C4" s="228"/>
      <c r="D4" s="228"/>
      <c r="E4" s="228"/>
      <c r="Q4" s="70" t="s">
        <v>1</v>
      </c>
      <c r="R4" s="71"/>
      <c r="S4" s="71"/>
      <c r="T4" s="71"/>
      <c r="U4" s="71"/>
      <c r="V4" s="71"/>
      <c r="W4" s="72"/>
    </row>
    <row r="5" spans="1:24" ht="18" customHeight="1" x14ac:dyDescent="0.2">
      <c r="C5" s="228"/>
      <c r="D5" s="228"/>
      <c r="E5" s="228"/>
      <c r="Q5" s="234" t="s">
        <v>2</v>
      </c>
      <c r="R5" s="71"/>
      <c r="S5" s="71"/>
      <c r="T5" s="71"/>
      <c r="U5" s="71"/>
      <c r="V5" s="71"/>
      <c r="W5" s="72"/>
    </row>
    <row r="6" spans="1:24" ht="17.25" customHeight="1" x14ac:dyDescent="0.2">
      <c r="C6" s="228"/>
      <c r="D6" s="228"/>
      <c r="E6" s="228"/>
      <c r="Q6" s="234" t="s">
        <v>3</v>
      </c>
      <c r="R6" s="234"/>
      <c r="S6" s="234"/>
      <c r="T6" s="234"/>
      <c r="U6" s="234"/>
      <c r="V6" s="234"/>
      <c r="W6" s="234"/>
    </row>
    <row r="7" spans="1:24" ht="15" customHeight="1" x14ac:dyDescent="0.2">
      <c r="Q7" s="234" t="s">
        <v>4</v>
      </c>
      <c r="R7" s="234"/>
      <c r="S7" s="234"/>
      <c r="T7" s="234"/>
      <c r="U7" s="234"/>
      <c r="V7" s="234"/>
      <c r="W7" s="234"/>
    </row>
    <row r="8" spans="1:24" ht="15" customHeight="1" x14ac:dyDescent="0.2">
      <c r="Q8" s="234" t="s">
        <v>5</v>
      </c>
      <c r="R8" s="233"/>
      <c r="S8" s="233"/>
      <c r="T8" s="233"/>
      <c r="U8" s="233"/>
      <c r="V8" s="233"/>
      <c r="W8" s="233"/>
    </row>
    <row r="9" spans="1:24" ht="18" x14ac:dyDescent="0.2">
      <c r="Q9" s="234" t="s">
        <v>6</v>
      </c>
      <c r="R9" s="234"/>
      <c r="S9" s="234"/>
      <c r="T9" s="234"/>
      <c r="U9" s="234"/>
      <c r="V9" s="234"/>
      <c r="W9" s="234"/>
    </row>
    <row r="10" spans="1:24" ht="18" x14ac:dyDescent="0.2">
      <c r="Q10" s="234" t="s">
        <v>7</v>
      </c>
      <c r="R10" s="234"/>
      <c r="S10" s="234"/>
      <c r="T10" s="234"/>
      <c r="U10" s="234"/>
      <c r="V10" s="234"/>
      <c r="W10" s="234"/>
      <c r="X10" s="234"/>
    </row>
    <row r="11" spans="1:24" ht="18" x14ac:dyDescent="0.2">
      <c r="Q11" s="234" t="s">
        <v>8</v>
      </c>
      <c r="R11" s="234"/>
      <c r="S11" s="234"/>
      <c r="T11" s="234"/>
      <c r="U11" s="234"/>
      <c r="V11" s="234"/>
      <c r="W11" s="234"/>
    </row>
    <row r="12" spans="1:24" ht="18" x14ac:dyDescent="0.2">
      <c r="Q12" s="234" t="s">
        <v>9</v>
      </c>
      <c r="R12" s="234"/>
      <c r="S12" s="234"/>
      <c r="T12" s="234"/>
      <c r="U12" s="234"/>
      <c r="V12" s="234"/>
      <c r="W12" s="234"/>
    </row>
    <row r="13" spans="1:24" ht="18" x14ac:dyDescent="0.2">
      <c r="Q13" s="234" t="s">
        <v>10</v>
      </c>
      <c r="R13" s="234"/>
      <c r="S13" s="234"/>
      <c r="T13" s="234"/>
      <c r="U13" s="234"/>
      <c r="V13" s="234"/>
      <c r="W13" s="234"/>
    </row>
    <row r="14" spans="1:24" ht="18" x14ac:dyDescent="0.2">
      <c r="Q14" s="234" t="s">
        <v>11</v>
      </c>
      <c r="R14" s="234"/>
      <c r="S14" s="234"/>
      <c r="T14" s="234"/>
      <c r="U14" s="234"/>
      <c r="V14" s="234"/>
      <c r="W14" s="234"/>
    </row>
    <row r="15" spans="1:24" ht="18" x14ac:dyDescent="0.2">
      <c r="Q15" s="234" t="s">
        <v>12</v>
      </c>
      <c r="R15" s="234"/>
      <c r="S15" s="234"/>
      <c r="T15" s="234"/>
      <c r="U15" s="234"/>
      <c r="V15" s="234"/>
      <c r="W15" s="234"/>
    </row>
    <row r="16" spans="1:24" ht="18" x14ac:dyDescent="0.2">
      <c r="Q16" s="234" t="s">
        <v>13</v>
      </c>
      <c r="R16" s="234"/>
      <c r="S16" s="234"/>
      <c r="T16" s="234"/>
      <c r="U16" s="234"/>
      <c r="V16" s="234"/>
      <c r="W16" s="234"/>
    </row>
    <row r="17" spans="11:23" ht="18" x14ac:dyDescent="0.2">
      <c r="Q17" s="234" t="s">
        <v>14</v>
      </c>
    </row>
    <row r="18" spans="11:23" ht="18" x14ac:dyDescent="0.2">
      <c r="Q18" s="234" t="s">
        <v>15</v>
      </c>
      <c r="R18" s="234"/>
      <c r="S18" s="234"/>
      <c r="T18" s="234"/>
      <c r="U18" s="234"/>
      <c r="V18" s="234"/>
      <c r="W18" s="234"/>
    </row>
    <row r="19" spans="11:23" ht="18" x14ac:dyDescent="0.2">
      <c r="Q19" s="234" t="s">
        <v>16</v>
      </c>
      <c r="R19" s="72"/>
      <c r="S19" s="72"/>
      <c r="T19" s="72"/>
      <c r="U19" s="72"/>
      <c r="V19" s="72"/>
      <c r="W19" s="72"/>
    </row>
    <row r="20" spans="11:23" ht="18" x14ac:dyDescent="0.2">
      <c r="Q20" s="234" t="s">
        <v>17</v>
      </c>
      <c r="R20" s="233"/>
      <c r="S20" s="233"/>
      <c r="T20" s="233"/>
      <c r="U20" s="233"/>
      <c r="V20" s="233"/>
      <c r="W20" s="233"/>
    </row>
    <row r="21" spans="11:23" ht="18" x14ac:dyDescent="0.2">
      <c r="Q21" s="234" t="s">
        <v>18</v>
      </c>
      <c r="R21" s="72"/>
      <c r="S21" s="72"/>
      <c r="T21" s="72"/>
      <c r="U21" s="72"/>
      <c r="V21" s="72"/>
      <c r="W21" s="72"/>
    </row>
    <row r="22" spans="11:23" ht="18" x14ac:dyDescent="0.2">
      <c r="Q22" s="233" t="s">
        <v>1408</v>
      </c>
      <c r="R22" s="233"/>
      <c r="S22" s="233"/>
      <c r="T22" s="233"/>
      <c r="U22" s="233"/>
      <c r="V22" s="233"/>
      <c r="W22" s="233"/>
    </row>
    <row r="23" spans="11:23" ht="18" x14ac:dyDescent="0.2">
      <c r="Q23" s="234" t="s">
        <v>19</v>
      </c>
      <c r="R23" s="72"/>
      <c r="S23" s="72"/>
      <c r="T23" s="72"/>
      <c r="U23" s="72"/>
      <c r="V23" s="72"/>
      <c r="W23" s="72"/>
    </row>
    <row r="27" spans="11:23" x14ac:dyDescent="0.15">
      <c r="K27" s="7"/>
    </row>
    <row r="35" spans="2:4" x14ac:dyDescent="0.15">
      <c r="D35" s="60"/>
    </row>
    <row r="40" spans="2:4" x14ac:dyDescent="0.15">
      <c r="B40" s="60"/>
    </row>
  </sheetData>
  <sheetProtection selectLockedCells="1"/>
  <mergeCells count="1">
    <mergeCell ref="A1:Q1"/>
  </mergeCells>
  <hyperlinks>
    <hyperlink ref="Q6" location="'cluster overview'!A1" display="'cluster overview'!A1" xr:uid="{00000000-0004-0000-0000-000000000000}"/>
    <hyperlink ref="Q7" location="'divisional overview'!A1" display="'divisional overview'!A1" xr:uid="{00000000-0004-0000-0000-000001000000}"/>
    <hyperlink ref="Q10" location="'cluster capacity, unallocateds'!A1" display="'cluster capacity, unallocateds'!A1" xr:uid="{00000000-0004-0000-0000-000002000000}"/>
    <hyperlink ref="Q11" location="'cluster officer capacity ranks'!A1" display="'cluster officer capacity ranks'!A1" xr:uid="{00000000-0004-0000-0000-000003000000}"/>
    <hyperlink ref="Q12" location="'div over-capacities'!A1" display="'div over-capacities'!A1" xr:uid="{00000000-0004-0000-0000-000004000000}"/>
    <hyperlink ref="Q13" location="'reasons for reduction division'!A1" display="'reasons for reduction division'!A1" xr:uid="{00000000-0004-0000-0000-000005000000}"/>
    <hyperlink ref="Q14" location="'cluster reductions'!A1" display="'cluster reductions'!A1" xr:uid="{00000000-0004-0000-0000-000006000000}"/>
    <hyperlink ref="Q15" location="'division reduction in hours'!A1" display="'division reduction in hours'!A1" xr:uid="{00000000-0004-0000-0000-000007000000}"/>
    <hyperlink ref="Q16" location="'national caseload'!A1" display="National Caseload Allocations" xr:uid="{00000000-0004-0000-0000-000008000000}"/>
    <hyperlink ref="Q18" location="'divisional caseload'!A1" display="divisional caseload allocations" xr:uid="{00000000-0004-0000-0000-000009000000}"/>
    <hyperlink ref="Q20" location="'custody caseload'!A1" display="custodial case allocations" xr:uid="{00000000-0004-0000-0000-00000A000000}"/>
    <hyperlink ref="Q22" location="'community caseload'!A1" display="community case allocations" xr:uid="{00000000-0004-0000-0000-00000B000000}"/>
    <hyperlink ref="Q19" location="'divisional &amp; regional caseload%'!A1" display="intra-divisional / regional overall allocation of cases as percentage" xr:uid="{00000000-0004-0000-0000-00000C000000}"/>
    <hyperlink ref="Q21" location="'custody %'!A1" display="      intra-divisional allocation of custody cases as percentage" xr:uid="{00000000-0004-0000-0000-00000D000000}"/>
    <hyperlink ref="Q20:W20" location="'custody caseload'!A1" display="intra-divisional allocation of custody cases" xr:uid="{00000000-0004-0000-0000-00000E000000}"/>
    <hyperlink ref="Q22:W22" location="'community caseload'!A1" display="intra-divisional allocation of cases in the comunity" xr:uid="{00000000-0004-0000-0000-00000F000000}"/>
    <hyperlink ref="Q23" location="'community %'!A1" display="intra-divisional allocation of cases in the community as percentage" xr:uid="{00000000-0004-0000-0000-000010000000}"/>
    <hyperlink ref="Q17" location="'national tier ratios'!A1" display="national breakdown ratios of caseload allocation by tier" xr:uid="{00000000-0004-0000-0000-000011000000}"/>
    <hyperlink ref="Q9:W9" location="'divisional &amp; regional capacity'!A1" display="divisional / regional capacities" xr:uid="{00000000-0004-0000-0000-000012000000}"/>
    <hyperlink ref="Q8" location="'team overview'!A1" display="team overview" xr:uid="{00000000-0004-0000-0000-000013000000}"/>
    <hyperlink ref="Q5" location="FAQs!A1" display="FAQs" xr:uid="{00000000-0004-0000-0000-000014000000}"/>
    <hyperlink ref="Q10:X10" location="'cluster capacity, unallocateds'!A1" display="intra-division capacities, unallocated cases and reductions in hours" xr:uid="{00000000-0004-0000-0000-000015000000}"/>
    <hyperlink ref="Q7:W7" location="'divisional &amp; regional overview'!A1" display="divisional / regional overview" xr:uid="{E78FB61B-A580-48D2-A4E2-3EC2B2C40D75}"/>
    <hyperlink ref="Q12:W12" location="'div &amp; regional over-capacities'!A1" display="divisional / regional over-capacity ratios" xr:uid="{3F2D3A21-17C4-4DDD-8B96-3780F2AA4579}"/>
    <hyperlink ref="Q15:W15" location="'div &amp; regional reduction hours'!A1" display="divisional / regional reduction in hours" xr:uid="{4B1E4BCB-3218-431F-88BC-5A1C2A72E054}"/>
    <hyperlink ref="Q18:W18" location="'divisional &amp; regional caseload'!A1" display="intra-divisional / regional overall allocation of cases" xr:uid="{E2874725-6FDB-4EAA-BF9C-841ADA1B97C9}"/>
  </hyperlinks>
  <pageMargins left="0.7" right="0.7" top="0.75" bottom="0.75" header="0.3" footer="0.3"/>
  <pageSetup paperSize="9" scale="57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PDUs!$A$30:$A$42</xm:f>
          </x14:formula1>
          <xm:sqref>J27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2">
    <tabColor rgb="FFE27070"/>
  </sheetPr>
  <dimension ref="A1:AE156"/>
  <sheetViews>
    <sheetView topLeftCell="J1" zoomScale="80" zoomScaleNormal="60" workbookViewId="0">
      <selection activeCell="M8" sqref="M8"/>
    </sheetView>
  </sheetViews>
  <sheetFormatPr baseColWidth="10" defaultColWidth="8.83203125" defaultRowHeight="14" x14ac:dyDescent="0.15"/>
  <cols>
    <col min="1" max="1" width="31.5" bestFit="1" customWidth="1"/>
    <col min="2" max="2" width="29.5" bestFit="1" customWidth="1"/>
    <col min="3" max="3" width="26.5" bestFit="1" customWidth="1"/>
    <col min="4" max="4" width="31.83203125" customWidth="1"/>
    <col min="5" max="5" width="51.1640625" bestFit="1" customWidth="1"/>
    <col min="6" max="6" width="45.5" bestFit="1" customWidth="1"/>
    <col min="7" max="7" width="26.5" bestFit="1" customWidth="1"/>
    <col min="8" max="8" width="34.5" bestFit="1" customWidth="1"/>
    <col min="9" max="9" width="50.83203125" bestFit="1" customWidth="1"/>
    <col min="10" max="10" width="23.1640625" bestFit="1" customWidth="1"/>
    <col min="11" max="11" width="31.5" bestFit="1" customWidth="1"/>
    <col min="12" max="12" width="31.5" customWidth="1"/>
    <col min="13" max="13" width="32.5" bestFit="1" customWidth="1"/>
    <col min="14" max="14" width="28.1640625" bestFit="1" customWidth="1"/>
    <col min="15" max="15" width="15.5" bestFit="1" customWidth="1"/>
    <col min="16" max="16" width="26.5" bestFit="1" customWidth="1"/>
    <col min="17" max="17" width="44.5" bestFit="1" customWidth="1"/>
    <col min="18" max="18" width="31.83203125" bestFit="1" customWidth="1"/>
    <col min="19" max="19" width="39.5" customWidth="1"/>
    <col min="20" max="20" width="33.5" bestFit="1" customWidth="1"/>
    <col min="21" max="21" width="55.1640625" bestFit="1" customWidth="1"/>
    <col min="22" max="22" width="30.5" style="256" bestFit="1" customWidth="1"/>
    <col min="23" max="23" width="41.5" bestFit="1" customWidth="1"/>
    <col min="24" max="25" width="45.1640625" customWidth="1"/>
    <col min="26" max="26" width="46.83203125" bestFit="1" customWidth="1"/>
    <col min="27" max="27" width="35.5" bestFit="1" customWidth="1"/>
    <col min="28" max="31" width="45.1640625" bestFit="1" customWidth="1"/>
  </cols>
  <sheetData>
    <row r="1" spans="1:31" x14ac:dyDescent="0.15">
      <c r="A1" s="8" t="s">
        <v>1355</v>
      </c>
      <c r="B1" s="8" t="s">
        <v>20</v>
      </c>
      <c r="C1" s="8" t="s">
        <v>21</v>
      </c>
      <c r="D1" s="8" t="s">
        <v>1357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1409</v>
      </c>
      <c r="M1" s="8" t="s">
        <v>29</v>
      </c>
      <c r="N1" s="8" t="s">
        <v>30</v>
      </c>
      <c r="O1" s="8" t="s">
        <v>34</v>
      </c>
      <c r="P1" s="8"/>
      <c r="Q1" s="8" t="s">
        <v>1355</v>
      </c>
      <c r="R1" s="8" t="s">
        <v>20</v>
      </c>
      <c r="S1" s="8" t="s">
        <v>21</v>
      </c>
      <c r="T1" s="8" t="s">
        <v>1357</v>
      </c>
      <c r="U1" s="8" t="s">
        <v>22</v>
      </c>
      <c r="V1" s="255" t="s">
        <v>23</v>
      </c>
      <c r="W1" s="8" t="s">
        <v>24</v>
      </c>
      <c r="X1" s="8" t="s">
        <v>25</v>
      </c>
      <c r="Y1" s="8" t="s">
        <v>26</v>
      </c>
      <c r="Z1" s="8" t="s">
        <v>27</v>
      </c>
      <c r="AA1" s="8" t="s">
        <v>28</v>
      </c>
      <c r="AB1" s="8" t="s">
        <v>1409</v>
      </c>
      <c r="AC1" s="8" t="s">
        <v>29</v>
      </c>
      <c r="AD1" s="8" t="s">
        <v>30</v>
      </c>
      <c r="AE1" s="8" t="s">
        <v>34</v>
      </c>
    </row>
    <row r="2" spans="1:31" x14ac:dyDescent="0.15">
      <c r="A2" t="s">
        <v>37</v>
      </c>
      <c r="B2" t="s">
        <v>1356</v>
      </c>
      <c r="C2" t="s">
        <v>39</v>
      </c>
      <c r="D2" t="s">
        <v>1358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1412</v>
      </c>
      <c r="M2" t="s">
        <v>49</v>
      </c>
      <c r="N2" t="s">
        <v>50</v>
      </c>
      <c r="O2" t="s">
        <v>54</v>
      </c>
      <c r="Q2" t="s">
        <v>473</v>
      </c>
      <c r="R2" t="s">
        <v>58</v>
      </c>
      <c r="S2" t="s">
        <v>59</v>
      </c>
      <c r="T2" t="s">
        <v>231</v>
      </c>
      <c r="U2" t="s">
        <v>61</v>
      </c>
      <c r="V2" s="256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1417</v>
      </c>
      <c r="AC2" t="s">
        <v>68</v>
      </c>
      <c r="AD2" t="s">
        <v>69</v>
      </c>
      <c r="AE2" t="s">
        <v>70</v>
      </c>
    </row>
    <row r="3" spans="1:31" x14ac:dyDescent="0.15">
      <c r="A3" t="s">
        <v>71</v>
      </c>
      <c r="B3" t="s">
        <v>37</v>
      </c>
      <c r="C3" t="s">
        <v>73</v>
      </c>
      <c r="D3" t="s">
        <v>40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1360</v>
      </c>
      <c r="M3" t="s">
        <v>83</v>
      </c>
      <c r="O3" t="s">
        <v>86</v>
      </c>
      <c r="Q3" t="s">
        <v>1379</v>
      </c>
      <c r="R3" t="s">
        <v>89</v>
      </c>
      <c r="S3" t="s">
        <v>90</v>
      </c>
      <c r="T3" t="s">
        <v>1396</v>
      </c>
      <c r="U3" t="s">
        <v>92</v>
      </c>
      <c r="V3" s="256" t="s">
        <v>93</v>
      </c>
      <c r="W3" t="s">
        <v>94</v>
      </c>
      <c r="X3" t="s">
        <v>95</v>
      </c>
      <c r="Y3" t="s">
        <v>96</v>
      </c>
      <c r="Z3" t="s">
        <v>97</v>
      </c>
      <c r="AA3" t="s">
        <v>98</v>
      </c>
      <c r="AB3" t="s">
        <v>1426</v>
      </c>
      <c r="AC3" t="s">
        <v>99</v>
      </c>
      <c r="AD3" t="s">
        <v>100</v>
      </c>
      <c r="AE3" t="s">
        <v>101</v>
      </c>
    </row>
    <row r="4" spans="1:31" x14ac:dyDescent="0.15">
      <c r="A4" t="s">
        <v>102</v>
      </c>
      <c r="B4" t="s">
        <v>71</v>
      </c>
      <c r="C4" t="s">
        <v>104</v>
      </c>
      <c r="D4" t="s">
        <v>74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1410</v>
      </c>
      <c r="M4" t="s">
        <v>114</v>
      </c>
      <c r="O4" t="s">
        <v>117</v>
      </c>
      <c r="Q4" t="s">
        <v>358</v>
      </c>
      <c r="R4" t="s">
        <v>120</v>
      </c>
      <c r="S4" t="s">
        <v>121</v>
      </c>
      <c r="T4" t="s">
        <v>151</v>
      </c>
      <c r="U4" t="s">
        <v>123</v>
      </c>
      <c r="V4" s="256" t="s">
        <v>124</v>
      </c>
      <c r="W4" t="s">
        <v>125</v>
      </c>
      <c r="X4" t="s">
        <v>126</v>
      </c>
      <c r="Y4" t="s">
        <v>127</v>
      </c>
      <c r="Z4" t="s">
        <v>128</v>
      </c>
      <c r="AA4" t="s">
        <v>129</v>
      </c>
      <c r="AB4" t="s">
        <v>1436</v>
      </c>
      <c r="AC4" t="s">
        <v>130</v>
      </c>
      <c r="AD4" t="s">
        <v>131</v>
      </c>
      <c r="AE4" t="s">
        <v>132</v>
      </c>
    </row>
    <row r="5" spans="1:31" x14ac:dyDescent="0.15">
      <c r="A5" t="s">
        <v>133</v>
      </c>
      <c r="B5" t="s">
        <v>102</v>
      </c>
      <c r="C5" t="s">
        <v>135</v>
      </c>
      <c r="D5" t="s">
        <v>1359</v>
      </c>
      <c r="E5" t="s">
        <v>137</v>
      </c>
      <c r="F5" t="s">
        <v>138</v>
      </c>
      <c r="G5" t="s">
        <v>139</v>
      </c>
      <c r="H5" t="s">
        <v>140</v>
      </c>
      <c r="I5" t="s">
        <v>141</v>
      </c>
      <c r="J5" t="s">
        <v>142</v>
      </c>
      <c r="K5" t="s">
        <v>143</v>
      </c>
      <c r="L5" t="s">
        <v>48</v>
      </c>
      <c r="M5" t="s">
        <v>145</v>
      </c>
      <c r="O5" t="s">
        <v>147</v>
      </c>
      <c r="Q5" t="s">
        <v>1375</v>
      </c>
      <c r="R5" t="s">
        <v>149</v>
      </c>
      <c r="S5" t="s">
        <v>150</v>
      </c>
      <c r="T5" t="s">
        <v>1397</v>
      </c>
      <c r="U5" t="s">
        <v>152</v>
      </c>
      <c r="V5" s="256" t="s">
        <v>153</v>
      </c>
      <c r="W5" t="s">
        <v>154</v>
      </c>
      <c r="X5" t="s">
        <v>155</v>
      </c>
      <c r="Y5" t="s">
        <v>156</v>
      </c>
      <c r="Z5" t="s">
        <v>157</v>
      </c>
      <c r="AA5" t="s">
        <v>158</v>
      </c>
      <c r="AB5" t="s">
        <v>1442</v>
      </c>
      <c r="AC5" t="s">
        <v>159</v>
      </c>
      <c r="AD5" t="s">
        <v>160</v>
      </c>
      <c r="AE5" t="s">
        <v>161</v>
      </c>
    </row>
    <row r="6" spans="1:31" x14ac:dyDescent="0.15">
      <c r="A6" t="s">
        <v>162</v>
      </c>
      <c r="B6" t="s">
        <v>133</v>
      </c>
      <c r="C6" t="s">
        <v>164</v>
      </c>
      <c r="D6" t="s">
        <v>105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  <c r="J6" t="s">
        <v>171</v>
      </c>
      <c r="K6" t="s">
        <v>172</v>
      </c>
      <c r="L6" t="s">
        <v>82</v>
      </c>
      <c r="M6" t="s">
        <v>174</v>
      </c>
      <c r="Q6" t="s">
        <v>88</v>
      </c>
      <c r="R6" t="s">
        <v>177</v>
      </c>
      <c r="S6" t="s">
        <v>178</v>
      </c>
      <c r="T6" t="s">
        <v>1398</v>
      </c>
      <c r="U6" t="s">
        <v>180</v>
      </c>
      <c r="V6" s="256" t="s">
        <v>181</v>
      </c>
      <c r="W6" t="s">
        <v>182</v>
      </c>
      <c r="X6" t="s">
        <v>183</v>
      </c>
      <c r="Y6" t="s">
        <v>184</v>
      </c>
      <c r="Z6" t="s">
        <v>185</v>
      </c>
      <c r="AA6" t="s">
        <v>186</v>
      </c>
      <c r="AB6" t="s">
        <v>1452</v>
      </c>
      <c r="AC6" t="s">
        <v>187</v>
      </c>
      <c r="AD6" t="s">
        <v>188</v>
      </c>
      <c r="AE6" t="s">
        <v>189</v>
      </c>
    </row>
    <row r="7" spans="1:31" x14ac:dyDescent="0.15">
      <c r="A7" t="s">
        <v>190</v>
      </c>
      <c r="B7" t="s">
        <v>162</v>
      </c>
      <c r="C7" t="s">
        <v>192</v>
      </c>
      <c r="D7" t="s">
        <v>136</v>
      </c>
      <c r="E7" t="s">
        <v>194</v>
      </c>
      <c r="F7" t="s">
        <v>195</v>
      </c>
      <c r="G7" t="s">
        <v>196</v>
      </c>
      <c r="H7" t="s">
        <v>197</v>
      </c>
      <c r="I7" t="s">
        <v>198</v>
      </c>
      <c r="J7" t="s">
        <v>199</v>
      </c>
      <c r="K7" t="s">
        <v>200</v>
      </c>
      <c r="L7" t="s">
        <v>1413</v>
      </c>
      <c r="M7" t="s">
        <v>202</v>
      </c>
      <c r="Q7" t="s">
        <v>1368</v>
      </c>
      <c r="R7" t="s">
        <v>204</v>
      </c>
      <c r="S7" t="s">
        <v>205</v>
      </c>
      <c r="T7" t="s">
        <v>179</v>
      </c>
      <c r="U7" t="s">
        <v>207</v>
      </c>
      <c r="V7" s="256" t="s">
        <v>208</v>
      </c>
      <c r="W7" t="s">
        <v>209</v>
      </c>
      <c r="X7" t="s">
        <v>210</v>
      </c>
      <c r="Y7" t="s">
        <v>211</v>
      </c>
      <c r="Z7" t="s">
        <v>212</v>
      </c>
      <c r="AA7" t="s">
        <v>213</v>
      </c>
      <c r="AB7" t="s">
        <v>1458</v>
      </c>
      <c r="AC7" t="s">
        <v>214</v>
      </c>
      <c r="AD7" t="s">
        <v>215</v>
      </c>
      <c r="AE7" t="s">
        <v>216</v>
      </c>
    </row>
    <row r="8" spans="1:31" x14ac:dyDescent="0.15">
      <c r="B8" t="s">
        <v>190</v>
      </c>
      <c r="C8" t="s">
        <v>218</v>
      </c>
      <c r="D8" t="s">
        <v>165</v>
      </c>
      <c r="E8" t="s">
        <v>219</v>
      </c>
      <c r="F8" t="s">
        <v>220</v>
      </c>
      <c r="G8" t="s">
        <v>221</v>
      </c>
      <c r="H8" t="s">
        <v>222</v>
      </c>
      <c r="I8" t="s">
        <v>223</v>
      </c>
      <c r="J8" t="s">
        <v>224</v>
      </c>
      <c r="K8" t="s">
        <v>225</v>
      </c>
      <c r="L8" t="s">
        <v>113</v>
      </c>
      <c r="M8" t="s">
        <v>227</v>
      </c>
      <c r="Q8" t="s">
        <v>119</v>
      </c>
      <c r="R8" t="s">
        <v>229</v>
      </c>
      <c r="S8" t="s">
        <v>230</v>
      </c>
      <c r="T8" t="s">
        <v>206</v>
      </c>
      <c r="U8" t="s">
        <v>232</v>
      </c>
      <c r="V8" s="256" t="s">
        <v>233</v>
      </c>
      <c r="W8" t="s">
        <v>234</v>
      </c>
      <c r="X8" t="s">
        <v>235</v>
      </c>
      <c r="Y8" t="s">
        <v>236</v>
      </c>
      <c r="Z8" t="s">
        <v>237</v>
      </c>
      <c r="AA8" t="s">
        <v>238</v>
      </c>
      <c r="AB8" t="s">
        <v>1507</v>
      </c>
      <c r="AC8" t="s">
        <v>239</v>
      </c>
      <c r="AD8" t="s">
        <v>240</v>
      </c>
      <c r="AE8" t="s">
        <v>241</v>
      </c>
    </row>
    <row r="9" spans="1:31" x14ac:dyDescent="0.15">
      <c r="B9" t="s">
        <v>1361</v>
      </c>
      <c r="C9" t="s">
        <v>243</v>
      </c>
      <c r="D9" t="s">
        <v>193</v>
      </c>
      <c r="E9" t="s">
        <v>244</v>
      </c>
      <c r="F9" t="s">
        <v>245</v>
      </c>
      <c r="G9" t="s">
        <v>246</v>
      </c>
      <c r="H9" t="s">
        <v>247</v>
      </c>
      <c r="I9" t="s">
        <v>248</v>
      </c>
      <c r="J9" t="s">
        <v>249</v>
      </c>
      <c r="K9" t="s">
        <v>250</v>
      </c>
      <c r="L9" t="s">
        <v>144</v>
      </c>
      <c r="Q9" t="s">
        <v>1369</v>
      </c>
      <c r="R9" t="s">
        <v>253</v>
      </c>
      <c r="S9" t="s">
        <v>254</v>
      </c>
      <c r="T9" t="s">
        <v>1402</v>
      </c>
      <c r="U9" t="s">
        <v>256</v>
      </c>
      <c r="V9" s="256" t="s">
        <v>257</v>
      </c>
      <c r="W9" t="s">
        <v>258</v>
      </c>
      <c r="X9" t="s">
        <v>259</v>
      </c>
      <c r="Y9" t="s">
        <v>260</v>
      </c>
      <c r="Z9" t="s">
        <v>261</v>
      </c>
      <c r="AA9" t="s">
        <v>262</v>
      </c>
      <c r="AB9" t="s">
        <v>1427</v>
      </c>
      <c r="AC9" t="s">
        <v>263</v>
      </c>
      <c r="AD9" t="s">
        <v>264</v>
      </c>
      <c r="AE9" t="s">
        <v>265</v>
      </c>
    </row>
    <row r="10" spans="1:31" x14ac:dyDescent="0.15">
      <c r="C10" t="s">
        <v>267</v>
      </c>
      <c r="E10" t="s">
        <v>268</v>
      </c>
      <c r="F10" t="s">
        <v>269</v>
      </c>
      <c r="G10" t="s">
        <v>270</v>
      </c>
      <c r="H10" t="s">
        <v>271</v>
      </c>
      <c r="I10" t="s">
        <v>272</v>
      </c>
      <c r="K10" t="s">
        <v>273</v>
      </c>
      <c r="L10" t="s">
        <v>173</v>
      </c>
      <c r="Q10" t="s">
        <v>176</v>
      </c>
      <c r="R10" t="s">
        <v>276</v>
      </c>
      <c r="S10" t="s">
        <v>277</v>
      </c>
      <c r="T10" t="s">
        <v>343</v>
      </c>
      <c r="U10" t="s">
        <v>279</v>
      </c>
      <c r="V10" s="256" t="s">
        <v>280</v>
      </c>
      <c r="W10" t="s">
        <v>281</v>
      </c>
      <c r="X10" t="s">
        <v>282</v>
      </c>
      <c r="Y10" t="s">
        <v>283</v>
      </c>
      <c r="Z10" t="s">
        <v>284</v>
      </c>
      <c r="AA10" t="s">
        <v>285</v>
      </c>
      <c r="AB10" t="s">
        <v>1428</v>
      </c>
      <c r="AC10" t="s">
        <v>286</v>
      </c>
      <c r="AD10" t="s">
        <v>287</v>
      </c>
      <c r="AE10" t="s">
        <v>288</v>
      </c>
    </row>
    <row r="11" spans="1:31" x14ac:dyDescent="0.15">
      <c r="E11" t="s">
        <v>290</v>
      </c>
      <c r="F11" t="s">
        <v>291</v>
      </c>
      <c r="G11" t="s">
        <v>292</v>
      </c>
      <c r="H11" t="s">
        <v>293</v>
      </c>
      <c r="I11" t="s">
        <v>294</v>
      </c>
      <c r="K11" t="s">
        <v>295</v>
      </c>
      <c r="L11" t="s">
        <v>201</v>
      </c>
      <c r="Q11" t="s">
        <v>1370</v>
      </c>
      <c r="R11" t="s">
        <v>298</v>
      </c>
      <c r="S11" t="s">
        <v>299</v>
      </c>
      <c r="T11" t="s">
        <v>1403</v>
      </c>
      <c r="U11" t="s">
        <v>301</v>
      </c>
      <c r="V11" s="256" t="s">
        <v>302</v>
      </c>
      <c r="W11" t="s">
        <v>303</v>
      </c>
      <c r="X11" t="s">
        <v>304</v>
      </c>
      <c r="Y11" t="s">
        <v>305</v>
      </c>
      <c r="Z11" t="s">
        <v>306</v>
      </c>
      <c r="AA11" t="s">
        <v>307</v>
      </c>
      <c r="AB11" t="s">
        <v>1429</v>
      </c>
      <c r="AC11" t="s">
        <v>308</v>
      </c>
      <c r="AD11" t="s">
        <v>309</v>
      </c>
      <c r="AE11" t="s">
        <v>310</v>
      </c>
    </row>
    <row r="12" spans="1:31" x14ac:dyDescent="0.15">
      <c r="E12" t="s">
        <v>312</v>
      </c>
      <c r="F12" t="s">
        <v>313</v>
      </c>
      <c r="G12" t="s">
        <v>314</v>
      </c>
      <c r="H12" t="s">
        <v>315</v>
      </c>
      <c r="I12" t="s">
        <v>316</v>
      </c>
      <c r="K12" t="s">
        <v>317</v>
      </c>
      <c r="L12" t="s">
        <v>226</v>
      </c>
      <c r="Q12" t="s">
        <v>1383</v>
      </c>
      <c r="R12" t="s">
        <v>320</v>
      </c>
      <c r="S12" t="s">
        <v>321</v>
      </c>
      <c r="T12" t="s">
        <v>1404</v>
      </c>
      <c r="U12" t="s">
        <v>323</v>
      </c>
      <c r="V12" s="256" t="s">
        <v>324</v>
      </c>
      <c r="W12" t="s">
        <v>325</v>
      </c>
      <c r="X12" t="s">
        <v>326</v>
      </c>
      <c r="Y12" t="s">
        <v>327</v>
      </c>
      <c r="Z12" t="s">
        <v>328</v>
      </c>
      <c r="AA12" t="s">
        <v>329</v>
      </c>
      <c r="AB12" t="s">
        <v>1430</v>
      </c>
      <c r="AC12" t="s">
        <v>330</v>
      </c>
      <c r="AD12" t="s">
        <v>331</v>
      </c>
      <c r="AE12" t="s">
        <v>332</v>
      </c>
    </row>
    <row r="13" spans="1:31" x14ac:dyDescent="0.15">
      <c r="E13" t="s">
        <v>334</v>
      </c>
      <c r="G13" t="s">
        <v>335</v>
      </c>
      <c r="H13" t="s">
        <v>336</v>
      </c>
      <c r="I13" t="s">
        <v>337</v>
      </c>
      <c r="K13" t="s">
        <v>338</v>
      </c>
      <c r="L13" t="s">
        <v>251</v>
      </c>
      <c r="Q13" t="s">
        <v>57</v>
      </c>
      <c r="R13" t="s">
        <v>341</v>
      </c>
      <c r="S13" t="s">
        <v>342</v>
      </c>
      <c r="T13" t="s">
        <v>361</v>
      </c>
      <c r="U13" t="s">
        <v>344</v>
      </c>
      <c r="V13" s="256" t="s">
        <v>345</v>
      </c>
      <c r="W13" t="s">
        <v>346</v>
      </c>
      <c r="X13" t="s">
        <v>347</v>
      </c>
      <c r="Y13" t="s">
        <v>348</v>
      </c>
      <c r="Z13" t="s">
        <v>349</v>
      </c>
      <c r="AA13" t="s">
        <v>143</v>
      </c>
      <c r="AB13" t="s">
        <v>1431</v>
      </c>
      <c r="AC13" t="s">
        <v>350</v>
      </c>
      <c r="AD13" t="s">
        <v>351</v>
      </c>
      <c r="AE13" t="s">
        <v>352</v>
      </c>
    </row>
    <row r="14" spans="1:31" x14ac:dyDescent="0.15">
      <c r="E14" t="s">
        <v>354</v>
      </c>
      <c r="G14" t="s">
        <v>355</v>
      </c>
      <c r="H14" t="s">
        <v>356</v>
      </c>
      <c r="L14" t="s">
        <v>274</v>
      </c>
      <c r="Q14" t="s">
        <v>1364</v>
      </c>
      <c r="R14" t="s">
        <v>359</v>
      </c>
      <c r="S14" t="s">
        <v>360</v>
      </c>
      <c r="T14" t="s">
        <v>378</v>
      </c>
      <c r="U14" t="s">
        <v>362</v>
      </c>
      <c r="V14" s="256" t="s">
        <v>363</v>
      </c>
      <c r="W14" t="s">
        <v>364</v>
      </c>
      <c r="X14" t="s">
        <v>365</v>
      </c>
      <c r="Y14" t="s">
        <v>366</v>
      </c>
      <c r="Z14" t="s">
        <v>367</v>
      </c>
      <c r="AA14" t="s">
        <v>368</v>
      </c>
      <c r="AB14" t="s">
        <v>1432</v>
      </c>
      <c r="AC14" t="s">
        <v>369</v>
      </c>
      <c r="AD14" t="s">
        <v>370</v>
      </c>
      <c r="AE14" t="s">
        <v>371</v>
      </c>
    </row>
    <row r="15" spans="1:31" x14ac:dyDescent="0.15">
      <c r="E15" t="s">
        <v>373</v>
      </c>
      <c r="G15" t="s">
        <v>374</v>
      </c>
      <c r="L15" t="s">
        <v>56</v>
      </c>
      <c r="Q15" t="s">
        <v>1365</v>
      </c>
      <c r="R15" t="s">
        <v>376</v>
      </c>
      <c r="S15" t="s">
        <v>377</v>
      </c>
      <c r="T15" t="s">
        <v>1405</v>
      </c>
      <c r="U15" t="s">
        <v>379</v>
      </c>
      <c r="V15" s="256" t="s">
        <v>380</v>
      </c>
      <c r="W15" t="s">
        <v>381</v>
      </c>
      <c r="X15" t="s">
        <v>382</v>
      </c>
      <c r="Y15" t="s">
        <v>383</v>
      </c>
      <c r="Z15" t="s">
        <v>384</v>
      </c>
      <c r="AA15" t="s">
        <v>385</v>
      </c>
      <c r="AB15" t="s">
        <v>1433</v>
      </c>
      <c r="AC15" t="s">
        <v>386</v>
      </c>
      <c r="AD15" t="s">
        <v>387</v>
      </c>
      <c r="AE15" t="s">
        <v>388</v>
      </c>
    </row>
    <row r="16" spans="1:31" x14ac:dyDescent="0.15">
      <c r="E16" t="s">
        <v>390</v>
      </c>
      <c r="L16" t="s">
        <v>1411</v>
      </c>
      <c r="Q16" t="s">
        <v>1366</v>
      </c>
      <c r="R16" t="s">
        <v>392</v>
      </c>
      <c r="S16" t="s">
        <v>393</v>
      </c>
      <c r="T16" t="s">
        <v>255</v>
      </c>
      <c r="U16" t="s">
        <v>395</v>
      </c>
      <c r="V16" s="256" t="s">
        <v>396</v>
      </c>
      <c r="W16" t="s">
        <v>397</v>
      </c>
      <c r="X16" t="s">
        <v>398</v>
      </c>
      <c r="Y16" t="s">
        <v>399</v>
      </c>
      <c r="Z16" t="s">
        <v>400</v>
      </c>
      <c r="AA16" t="s">
        <v>401</v>
      </c>
      <c r="AB16" t="s">
        <v>1497</v>
      </c>
      <c r="AC16" t="s">
        <v>402</v>
      </c>
      <c r="AD16" t="s">
        <v>403</v>
      </c>
      <c r="AE16" t="s">
        <v>404</v>
      </c>
    </row>
    <row r="17" spans="5:31" x14ac:dyDescent="0.15">
      <c r="E17" t="s">
        <v>405</v>
      </c>
      <c r="L17" t="s">
        <v>296</v>
      </c>
      <c r="Q17" t="s">
        <v>1367</v>
      </c>
      <c r="R17" t="s">
        <v>407</v>
      </c>
      <c r="S17" t="s">
        <v>408</v>
      </c>
      <c r="T17" t="s">
        <v>1399</v>
      </c>
      <c r="U17" t="s">
        <v>410</v>
      </c>
      <c r="V17" s="256" t="s">
        <v>411</v>
      </c>
      <c r="W17" t="s">
        <v>412</v>
      </c>
      <c r="X17" t="s">
        <v>413</v>
      </c>
      <c r="Y17" t="s">
        <v>414</v>
      </c>
      <c r="Z17" t="s">
        <v>415</v>
      </c>
      <c r="AA17" t="s">
        <v>416</v>
      </c>
      <c r="AB17" t="s">
        <v>1498</v>
      </c>
      <c r="AC17" t="s">
        <v>417</v>
      </c>
      <c r="AD17" t="s">
        <v>418</v>
      </c>
      <c r="AE17" t="s">
        <v>419</v>
      </c>
    </row>
    <row r="18" spans="5:31" x14ac:dyDescent="0.15">
      <c r="E18" t="s">
        <v>420</v>
      </c>
      <c r="L18" t="s">
        <v>318</v>
      </c>
      <c r="Q18" t="s">
        <v>375</v>
      </c>
      <c r="R18" t="s">
        <v>422</v>
      </c>
      <c r="S18" t="s">
        <v>423</v>
      </c>
      <c r="T18" t="s">
        <v>278</v>
      </c>
      <c r="U18" t="s">
        <v>425</v>
      </c>
      <c r="V18" s="256" t="s">
        <v>426</v>
      </c>
      <c r="W18" t="s">
        <v>427</v>
      </c>
      <c r="X18" t="s">
        <v>428</v>
      </c>
      <c r="Y18" t="s">
        <v>429</v>
      </c>
      <c r="Z18" t="s">
        <v>430</v>
      </c>
      <c r="AA18" t="s">
        <v>431</v>
      </c>
      <c r="AB18" t="s">
        <v>1499</v>
      </c>
      <c r="AC18" t="s">
        <v>432</v>
      </c>
      <c r="AD18" t="s">
        <v>433</v>
      </c>
      <c r="AE18" t="s">
        <v>434</v>
      </c>
    </row>
    <row r="19" spans="5:31" x14ac:dyDescent="0.15">
      <c r="E19" t="s">
        <v>435</v>
      </c>
      <c r="L19" t="s">
        <v>1414</v>
      </c>
      <c r="Q19" t="s">
        <v>148</v>
      </c>
      <c r="R19" t="s">
        <v>437</v>
      </c>
      <c r="S19" t="s">
        <v>438</v>
      </c>
      <c r="T19" t="s">
        <v>1400</v>
      </c>
      <c r="U19" t="s">
        <v>439</v>
      </c>
      <c r="V19" s="256" t="s">
        <v>440</v>
      </c>
      <c r="W19" t="s">
        <v>441</v>
      </c>
      <c r="X19" t="s">
        <v>442</v>
      </c>
      <c r="Y19" t="s">
        <v>443</v>
      </c>
      <c r="Z19" t="s">
        <v>444</v>
      </c>
      <c r="AA19" t="s">
        <v>445</v>
      </c>
      <c r="AB19" t="s">
        <v>1500</v>
      </c>
      <c r="AC19" t="s">
        <v>446</v>
      </c>
      <c r="AD19" t="s">
        <v>447</v>
      </c>
    </row>
    <row r="20" spans="5:31" x14ac:dyDescent="0.15">
      <c r="E20" t="s">
        <v>448</v>
      </c>
      <c r="L20" t="s">
        <v>339</v>
      </c>
      <c r="Q20" t="s">
        <v>1362</v>
      </c>
      <c r="R20" t="s">
        <v>450</v>
      </c>
      <c r="S20" t="s">
        <v>451</v>
      </c>
      <c r="T20" t="s">
        <v>300</v>
      </c>
      <c r="U20" t="s">
        <v>452</v>
      </c>
      <c r="V20" s="256" t="s">
        <v>453</v>
      </c>
      <c r="W20" t="s">
        <v>454</v>
      </c>
      <c r="X20" t="s">
        <v>455</v>
      </c>
      <c r="Y20" t="s">
        <v>456</v>
      </c>
      <c r="Z20" t="s">
        <v>457</v>
      </c>
      <c r="AA20" t="s">
        <v>458</v>
      </c>
      <c r="AB20" t="s">
        <v>1501</v>
      </c>
      <c r="AC20" t="s">
        <v>459</v>
      </c>
    </row>
    <row r="21" spans="5:31" x14ac:dyDescent="0.15">
      <c r="E21" t="s">
        <v>460</v>
      </c>
      <c r="L21" t="s">
        <v>357</v>
      </c>
      <c r="Q21" t="s">
        <v>203</v>
      </c>
      <c r="R21" t="s">
        <v>462</v>
      </c>
      <c r="S21" t="s">
        <v>463</v>
      </c>
      <c r="T21" t="s">
        <v>1401</v>
      </c>
      <c r="U21" t="s">
        <v>464</v>
      </c>
      <c r="V21" s="256" t="s">
        <v>465</v>
      </c>
      <c r="W21" t="s">
        <v>466</v>
      </c>
      <c r="X21" t="s">
        <v>467</v>
      </c>
      <c r="Y21" t="s">
        <v>468</v>
      </c>
      <c r="Z21" t="s">
        <v>469</v>
      </c>
      <c r="AA21" t="s">
        <v>470</v>
      </c>
      <c r="AB21" t="s">
        <v>1502</v>
      </c>
      <c r="AC21" t="s">
        <v>471</v>
      </c>
    </row>
    <row r="22" spans="5:31" x14ac:dyDescent="0.15">
      <c r="E22" t="s">
        <v>472</v>
      </c>
      <c r="Q22" t="s">
        <v>228</v>
      </c>
      <c r="R22" t="s">
        <v>474</v>
      </c>
      <c r="T22" t="s">
        <v>60</v>
      </c>
      <c r="U22" t="s">
        <v>475</v>
      </c>
      <c r="V22" s="256" t="s">
        <v>476</v>
      </c>
      <c r="W22" t="s">
        <v>477</v>
      </c>
      <c r="X22" t="s">
        <v>478</v>
      </c>
      <c r="Y22" t="s">
        <v>479</v>
      </c>
      <c r="Z22" t="s">
        <v>480</v>
      </c>
      <c r="AA22" t="s">
        <v>481</v>
      </c>
      <c r="AB22" t="s">
        <v>1503</v>
      </c>
      <c r="AC22" t="s">
        <v>482</v>
      </c>
    </row>
    <row r="23" spans="5:31" x14ac:dyDescent="0.15">
      <c r="E23" t="s">
        <v>483</v>
      </c>
      <c r="Q23" t="s">
        <v>252</v>
      </c>
      <c r="R23" t="s">
        <v>485</v>
      </c>
      <c r="T23" t="s">
        <v>1394</v>
      </c>
      <c r="U23" t="s">
        <v>486</v>
      </c>
      <c r="V23" s="256" t="s">
        <v>487</v>
      </c>
      <c r="W23" t="s">
        <v>488</v>
      </c>
      <c r="X23" t="s">
        <v>489</v>
      </c>
      <c r="Y23" t="s">
        <v>490</v>
      </c>
      <c r="Z23" t="s">
        <v>491</v>
      </c>
      <c r="AA23" t="s">
        <v>492</v>
      </c>
      <c r="AB23" t="s">
        <v>1504</v>
      </c>
      <c r="AC23" t="s">
        <v>494</v>
      </c>
    </row>
    <row r="24" spans="5:31" x14ac:dyDescent="0.15">
      <c r="E24" t="s">
        <v>495</v>
      </c>
      <c r="Q24" t="s">
        <v>1371</v>
      </c>
      <c r="R24" t="s">
        <v>496</v>
      </c>
      <c r="T24" t="s">
        <v>91</v>
      </c>
      <c r="U24" t="s">
        <v>497</v>
      </c>
      <c r="V24" s="256" t="s">
        <v>498</v>
      </c>
      <c r="W24" t="s">
        <v>499</v>
      </c>
      <c r="X24" t="s">
        <v>500</v>
      </c>
      <c r="Y24" t="s">
        <v>501</v>
      </c>
      <c r="Z24" t="s">
        <v>502</v>
      </c>
      <c r="AA24" t="s">
        <v>503</v>
      </c>
      <c r="AB24" t="s">
        <v>1505</v>
      </c>
      <c r="AC24" t="s">
        <v>504</v>
      </c>
    </row>
    <row r="25" spans="5:31" x14ac:dyDescent="0.15">
      <c r="E25" t="s">
        <v>505</v>
      </c>
      <c r="Q25" t="s">
        <v>1372</v>
      </c>
      <c r="R25" t="s">
        <v>506</v>
      </c>
      <c r="T25" t="s">
        <v>122</v>
      </c>
      <c r="U25" t="s">
        <v>507</v>
      </c>
      <c r="V25" s="256" t="s">
        <v>508</v>
      </c>
      <c r="W25" t="s">
        <v>509</v>
      </c>
      <c r="X25" t="s">
        <v>510</v>
      </c>
      <c r="Y25" t="s">
        <v>511</v>
      </c>
      <c r="Z25" t="s">
        <v>512</v>
      </c>
      <c r="AA25" t="s">
        <v>513</v>
      </c>
      <c r="AB25" t="s">
        <v>1506</v>
      </c>
      <c r="AC25" t="s">
        <v>514</v>
      </c>
    </row>
    <row r="26" spans="5:31" x14ac:dyDescent="0.15">
      <c r="E26" t="s">
        <v>515</v>
      </c>
      <c r="Q26" t="s">
        <v>275</v>
      </c>
      <c r="R26" t="s">
        <v>516</v>
      </c>
      <c r="T26" t="s">
        <v>1395</v>
      </c>
      <c r="U26" t="s">
        <v>517</v>
      </c>
      <c r="V26" s="256" t="s">
        <v>518</v>
      </c>
      <c r="W26" t="s">
        <v>519</v>
      </c>
      <c r="X26" t="s">
        <v>520</v>
      </c>
      <c r="Y26" t="s">
        <v>521</v>
      </c>
      <c r="Z26" t="s">
        <v>522</v>
      </c>
      <c r="AA26" t="s">
        <v>523</v>
      </c>
      <c r="AB26" t="s">
        <v>1443</v>
      </c>
      <c r="AC26" t="s">
        <v>524</v>
      </c>
    </row>
    <row r="27" spans="5:31" x14ac:dyDescent="0.15">
      <c r="E27" t="s">
        <v>525</v>
      </c>
      <c r="Q27" t="s">
        <v>297</v>
      </c>
      <c r="R27" t="s">
        <v>526</v>
      </c>
      <c r="T27" t="s">
        <v>394</v>
      </c>
      <c r="U27" t="s">
        <v>527</v>
      </c>
      <c r="V27" s="256" t="s">
        <v>528</v>
      </c>
      <c r="W27" t="s">
        <v>529</v>
      </c>
      <c r="X27" t="s">
        <v>530</v>
      </c>
      <c r="Y27" t="s">
        <v>531</v>
      </c>
      <c r="Z27" t="s">
        <v>532</v>
      </c>
      <c r="AA27" t="s">
        <v>533</v>
      </c>
      <c r="AB27" t="s">
        <v>1444</v>
      </c>
      <c r="AC27" t="s">
        <v>534</v>
      </c>
    </row>
    <row r="28" spans="5:31" x14ac:dyDescent="0.15">
      <c r="E28" t="s">
        <v>535</v>
      </c>
      <c r="Q28" t="s">
        <v>319</v>
      </c>
      <c r="R28" t="s">
        <v>536</v>
      </c>
      <c r="T28" t="s">
        <v>1406</v>
      </c>
      <c r="U28" t="s">
        <v>537</v>
      </c>
      <c r="V28" s="256" t="s">
        <v>538</v>
      </c>
      <c r="W28" t="s">
        <v>539</v>
      </c>
      <c r="X28" t="s">
        <v>540</v>
      </c>
      <c r="Y28" t="s">
        <v>541</v>
      </c>
      <c r="Z28" t="s">
        <v>542</v>
      </c>
      <c r="AA28" t="s">
        <v>543</v>
      </c>
      <c r="AB28" t="s">
        <v>1445</v>
      </c>
    </row>
    <row r="29" spans="5:31" x14ac:dyDescent="0.15">
      <c r="Q29" t="s">
        <v>1373</v>
      </c>
      <c r="R29" t="s">
        <v>544</v>
      </c>
      <c r="T29" t="s">
        <v>409</v>
      </c>
      <c r="U29" t="s">
        <v>545</v>
      </c>
      <c r="V29" s="256" t="s">
        <v>546</v>
      </c>
      <c r="W29" t="s">
        <v>547</v>
      </c>
      <c r="X29" t="s">
        <v>548</v>
      </c>
      <c r="Y29" t="s">
        <v>549</v>
      </c>
      <c r="Z29" t="s">
        <v>550</v>
      </c>
      <c r="AA29" t="s">
        <v>551</v>
      </c>
      <c r="AB29" t="s">
        <v>1469</v>
      </c>
    </row>
    <row r="30" spans="5:31" x14ac:dyDescent="0.15">
      <c r="Q30" t="s">
        <v>340</v>
      </c>
      <c r="R30" t="s">
        <v>552</v>
      </c>
      <c r="T30" t="s">
        <v>1407</v>
      </c>
      <c r="U30" t="s">
        <v>553</v>
      </c>
      <c r="V30" s="256" t="s">
        <v>554</v>
      </c>
      <c r="W30" t="s">
        <v>555</v>
      </c>
      <c r="X30" t="s">
        <v>556</v>
      </c>
      <c r="Y30" t="s">
        <v>557</v>
      </c>
      <c r="Z30" t="s">
        <v>558</v>
      </c>
      <c r="AA30" t="s">
        <v>559</v>
      </c>
      <c r="AB30" t="s">
        <v>1470</v>
      </c>
    </row>
    <row r="31" spans="5:31" x14ac:dyDescent="0.15">
      <c r="Q31" t="s">
        <v>1374</v>
      </c>
      <c r="R31" t="s">
        <v>560</v>
      </c>
      <c r="T31" t="s">
        <v>424</v>
      </c>
      <c r="U31" t="s">
        <v>561</v>
      </c>
      <c r="V31" s="256" t="s">
        <v>562</v>
      </c>
      <c r="W31" t="s">
        <v>563</v>
      </c>
      <c r="X31" t="s">
        <v>564</v>
      </c>
      <c r="Y31" t="s">
        <v>565</v>
      </c>
      <c r="Z31" t="s">
        <v>566</v>
      </c>
      <c r="AA31" t="s">
        <v>567</v>
      </c>
      <c r="AB31" t="s">
        <v>1471</v>
      </c>
    </row>
    <row r="32" spans="5:31" x14ac:dyDescent="0.15">
      <c r="Q32" t="s">
        <v>391</v>
      </c>
      <c r="R32" t="s">
        <v>568</v>
      </c>
      <c r="T32" t="s">
        <v>322</v>
      </c>
      <c r="U32" t="s">
        <v>569</v>
      </c>
      <c r="V32" s="256" t="s">
        <v>570</v>
      </c>
      <c r="W32" t="s">
        <v>571</v>
      </c>
      <c r="X32" t="s">
        <v>572</v>
      </c>
      <c r="Y32" t="s">
        <v>573</v>
      </c>
      <c r="Z32" t="s">
        <v>574</v>
      </c>
      <c r="AA32" t="s">
        <v>575</v>
      </c>
      <c r="AB32" t="s">
        <v>1472</v>
      </c>
    </row>
    <row r="33" spans="17:28" x14ac:dyDescent="0.15">
      <c r="Q33" t="s">
        <v>1376</v>
      </c>
      <c r="R33" t="s">
        <v>576</v>
      </c>
      <c r="T33" t="s">
        <v>1393</v>
      </c>
      <c r="U33" t="s">
        <v>577</v>
      </c>
      <c r="V33" s="256" t="s">
        <v>578</v>
      </c>
      <c r="W33" t="s">
        <v>579</v>
      </c>
      <c r="X33" t="s">
        <v>580</v>
      </c>
      <c r="Y33" t="s">
        <v>581</v>
      </c>
      <c r="Z33" t="s">
        <v>582</v>
      </c>
      <c r="AA33" t="s">
        <v>583</v>
      </c>
      <c r="AB33" t="s">
        <v>1481</v>
      </c>
    </row>
    <row r="34" spans="17:28" x14ac:dyDescent="0.15">
      <c r="Q34" t="s">
        <v>484</v>
      </c>
      <c r="R34" t="s">
        <v>584</v>
      </c>
      <c r="U34" t="s">
        <v>585</v>
      </c>
      <c r="V34" s="256" t="s">
        <v>586</v>
      </c>
      <c r="W34" t="s">
        <v>587</v>
      </c>
      <c r="X34" t="s">
        <v>588</v>
      </c>
      <c r="Y34" t="s">
        <v>589</v>
      </c>
      <c r="Z34" t="s">
        <v>590</v>
      </c>
      <c r="AA34" t="s">
        <v>591</v>
      </c>
      <c r="AB34" t="s">
        <v>1482</v>
      </c>
    </row>
    <row r="35" spans="17:28" x14ac:dyDescent="0.15">
      <c r="Q35" t="s">
        <v>1380</v>
      </c>
      <c r="R35" t="s">
        <v>592</v>
      </c>
      <c r="U35" t="s">
        <v>593</v>
      </c>
      <c r="V35" s="256" t="s">
        <v>594</v>
      </c>
      <c r="W35" t="s">
        <v>595</v>
      </c>
      <c r="X35" t="s">
        <v>596</v>
      </c>
      <c r="Y35" t="s">
        <v>597</v>
      </c>
      <c r="Z35" t="s">
        <v>598</v>
      </c>
      <c r="AA35" t="s">
        <v>599</v>
      </c>
      <c r="AB35" t="s">
        <v>1446</v>
      </c>
    </row>
    <row r="36" spans="17:28" x14ac:dyDescent="0.15">
      <c r="Q36" t="s">
        <v>1381</v>
      </c>
      <c r="R36" t="s">
        <v>600</v>
      </c>
      <c r="U36" t="s">
        <v>601</v>
      </c>
      <c r="V36" s="256" t="s">
        <v>602</v>
      </c>
      <c r="W36" t="s">
        <v>603</v>
      </c>
      <c r="X36" t="s">
        <v>604</v>
      </c>
      <c r="Y36" t="s">
        <v>605</v>
      </c>
      <c r="Z36" t="s">
        <v>606</v>
      </c>
      <c r="AA36" t="s">
        <v>607</v>
      </c>
      <c r="AB36" t="s">
        <v>1447</v>
      </c>
    </row>
    <row r="37" spans="17:28" x14ac:dyDescent="0.15">
      <c r="Q37" t="s">
        <v>1377</v>
      </c>
      <c r="R37" t="s">
        <v>608</v>
      </c>
      <c r="U37" t="s">
        <v>609</v>
      </c>
      <c r="V37" s="256" t="s">
        <v>610</v>
      </c>
      <c r="W37" t="s">
        <v>611</v>
      </c>
      <c r="X37" t="s">
        <v>612</v>
      </c>
      <c r="Y37" t="s">
        <v>613</v>
      </c>
      <c r="Z37" t="s">
        <v>614</v>
      </c>
      <c r="AA37" t="s">
        <v>615</v>
      </c>
      <c r="AB37" t="s">
        <v>1448</v>
      </c>
    </row>
    <row r="38" spans="17:28" x14ac:dyDescent="0.15">
      <c r="Q38" t="s">
        <v>421</v>
      </c>
      <c r="R38" t="s">
        <v>616</v>
      </c>
      <c r="U38" t="s">
        <v>617</v>
      </c>
      <c r="V38" s="256" t="s">
        <v>618</v>
      </c>
      <c r="W38" t="s">
        <v>619</v>
      </c>
      <c r="X38" t="s">
        <v>620</v>
      </c>
      <c r="Y38" t="s">
        <v>621</v>
      </c>
      <c r="Z38" t="s">
        <v>622</v>
      </c>
      <c r="AA38" t="s">
        <v>623</v>
      </c>
      <c r="AB38" t="s">
        <v>1449</v>
      </c>
    </row>
    <row r="39" spans="17:28" x14ac:dyDescent="0.15">
      <c r="Q39" t="s">
        <v>436</v>
      </c>
      <c r="R39" t="s">
        <v>624</v>
      </c>
      <c r="U39" t="s">
        <v>625</v>
      </c>
      <c r="V39" s="256" t="s">
        <v>626</v>
      </c>
      <c r="W39" t="s">
        <v>627</v>
      </c>
      <c r="X39" t="s">
        <v>628</v>
      </c>
      <c r="Y39" t="s">
        <v>629</v>
      </c>
      <c r="Z39" t="s">
        <v>630</v>
      </c>
      <c r="AA39" t="s">
        <v>631</v>
      </c>
      <c r="AB39" t="s">
        <v>1450</v>
      </c>
    </row>
    <row r="40" spans="17:28" x14ac:dyDescent="0.15">
      <c r="Q40" t="s">
        <v>1378</v>
      </c>
      <c r="R40" t="s">
        <v>632</v>
      </c>
      <c r="U40" t="s">
        <v>633</v>
      </c>
      <c r="V40" s="256" t="s">
        <v>634</v>
      </c>
      <c r="W40" t="s">
        <v>635</v>
      </c>
      <c r="X40" t="s">
        <v>636</v>
      </c>
      <c r="Y40" t="s">
        <v>637</v>
      </c>
      <c r="Z40" t="s">
        <v>638</v>
      </c>
      <c r="AA40" t="s">
        <v>639</v>
      </c>
      <c r="AB40" t="s">
        <v>1451</v>
      </c>
    </row>
    <row r="41" spans="17:28" x14ac:dyDescent="0.15">
      <c r="Q41" t="s">
        <v>449</v>
      </c>
      <c r="R41" t="s">
        <v>640</v>
      </c>
      <c r="U41" t="s">
        <v>641</v>
      </c>
      <c r="V41" s="256" t="s">
        <v>642</v>
      </c>
      <c r="W41" t="s">
        <v>643</v>
      </c>
      <c r="X41" t="s">
        <v>644</v>
      </c>
      <c r="Y41" t="s">
        <v>645</v>
      </c>
      <c r="Z41" t="s">
        <v>646</v>
      </c>
      <c r="AA41" t="s">
        <v>647</v>
      </c>
      <c r="AB41" t="s">
        <v>493</v>
      </c>
    </row>
    <row r="42" spans="17:28" x14ac:dyDescent="0.15">
      <c r="Q42" t="s">
        <v>1382</v>
      </c>
      <c r="R42" t="s">
        <v>648</v>
      </c>
      <c r="U42" t="s">
        <v>649</v>
      </c>
      <c r="V42" s="256" t="s">
        <v>650</v>
      </c>
      <c r="W42" t="s">
        <v>651</v>
      </c>
      <c r="X42" t="s">
        <v>652</v>
      </c>
      <c r="Y42" t="s">
        <v>653</v>
      </c>
      <c r="Z42" t="s">
        <v>654</v>
      </c>
      <c r="AA42" t="s">
        <v>655</v>
      </c>
      <c r="AB42" t="s">
        <v>1453</v>
      </c>
    </row>
    <row r="43" spans="17:28" x14ac:dyDescent="0.15">
      <c r="Q43" t="s">
        <v>461</v>
      </c>
      <c r="R43" t="s">
        <v>656</v>
      </c>
      <c r="U43" t="s">
        <v>657</v>
      </c>
      <c r="V43" s="256" t="s">
        <v>658</v>
      </c>
      <c r="W43" t="s">
        <v>659</v>
      </c>
      <c r="X43" t="s">
        <v>660</v>
      </c>
      <c r="Y43" t="s">
        <v>661</v>
      </c>
      <c r="Z43" t="s">
        <v>662</v>
      </c>
      <c r="AA43" t="s">
        <v>663</v>
      </c>
      <c r="AB43" t="s">
        <v>1454</v>
      </c>
    </row>
    <row r="44" spans="17:28" x14ac:dyDescent="0.15">
      <c r="Q44" t="s">
        <v>406</v>
      </c>
      <c r="R44" t="s">
        <v>664</v>
      </c>
      <c r="U44" t="s">
        <v>665</v>
      </c>
      <c r="V44" s="256" t="s">
        <v>666</v>
      </c>
      <c r="W44" t="s">
        <v>667</v>
      </c>
      <c r="X44" t="s">
        <v>668</v>
      </c>
      <c r="Y44" t="s">
        <v>669</v>
      </c>
      <c r="Z44" t="s">
        <v>670</v>
      </c>
      <c r="AA44" t="s">
        <v>671</v>
      </c>
      <c r="AB44" t="s">
        <v>1455</v>
      </c>
    </row>
    <row r="45" spans="17:28" x14ac:dyDescent="0.15">
      <c r="Q45" t="s">
        <v>1363</v>
      </c>
      <c r="R45" t="s">
        <v>672</v>
      </c>
      <c r="U45" t="s">
        <v>673</v>
      </c>
      <c r="V45" s="256" t="s">
        <v>674</v>
      </c>
      <c r="W45" t="s">
        <v>675</v>
      </c>
      <c r="X45" t="s">
        <v>676</v>
      </c>
      <c r="Y45" t="s">
        <v>677</v>
      </c>
      <c r="Z45" t="s">
        <v>678</v>
      </c>
      <c r="AA45" t="s">
        <v>679</v>
      </c>
      <c r="AB45" t="s">
        <v>1459</v>
      </c>
    </row>
    <row r="46" spans="17:28" x14ac:dyDescent="0.15">
      <c r="Q46" t="s">
        <v>1384</v>
      </c>
      <c r="R46" t="s">
        <v>680</v>
      </c>
      <c r="U46" t="s">
        <v>681</v>
      </c>
      <c r="V46" s="256" t="s">
        <v>682</v>
      </c>
      <c r="W46" t="s">
        <v>683</v>
      </c>
      <c r="X46" t="s">
        <v>684</v>
      </c>
      <c r="Y46" t="s">
        <v>685</v>
      </c>
      <c r="Z46" t="s">
        <v>686</v>
      </c>
      <c r="AA46" t="s">
        <v>687</v>
      </c>
      <c r="AB46" t="s">
        <v>1460</v>
      </c>
    </row>
    <row r="47" spans="17:28" x14ac:dyDescent="0.15">
      <c r="Q47" t="s">
        <v>1385</v>
      </c>
      <c r="R47" t="s">
        <v>688</v>
      </c>
      <c r="U47" t="s">
        <v>689</v>
      </c>
      <c r="V47" s="256" t="s">
        <v>690</v>
      </c>
      <c r="W47" t="s">
        <v>691</v>
      </c>
      <c r="X47" t="s">
        <v>692</v>
      </c>
      <c r="Y47" t="s">
        <v>693</v>
      </c>
      <c r="Z47" t="s">
        <v>694</v>
      </c>
      <c r="AA47" t="s">
        <v>695</v>
      </c>
      <c r="AB47" t="s">
        <v>1461</v>
      </c>
    </row>
    <row r="48" spans="17:28" x14ac:dyDescent="0.15">
      <c r="Q48" t="s">
        <v>1386</v>
      </c>
      <c r="R48" t="s">
        <v>696</v>
      </c>
      <c r="U48" t="s">
        <v>697</v>
      </c>
      <c r="V48" s="256" t="s">
        <v>698</v>
      </c>
      <c r="W48" t="s">
        <v>699</v>
      </c>
      <c r="X48" t="s">
        <v>700</v>
      </c>
      <c r="Y48" t="s">
        <v>701</v>
      </c>
      <c r="Z48" t="s">
        <v>702</v>
      </c>
      <c r="AA48" t="s">
        <v>703</v>
      </c>
      <c r="AB48" t="s">
        <v>1462</v>
      </c>
    </row>
    <row r="49" spans="17:28" x14ac:dyDescent="0.15">
      <c r="Q49" t="s">
        <v>1387</v>
      </c>
      <c r="R49" t="s">
        <v>704</v>
      </c>
      <c r="U49" t="s">
        <v>705</v>
      </c>
      <c r="V49" s="256" t="s">
        <v>706</v>
      </c>
      <c r="W49" t="s">
        <v>707</v>
      </c>
      <c r="X49" t="s">
        <v>708</v>
      </c>
      <c r="Z49" t="s">
        <v>709</v>
      </c>
      <c r="AA49" t="s">
        <v>710</v>
      </c>
      <c r="AB49" t="s">
        <v>1463</v>
      </c>
    </row>
    <row r="50" spans="17:28" x14ac:dyDescent="0.15">
      <c r="Q50" t="s">
        <v>1388</v>
      </c>
      <c r="R50" t="s">
        <v>711</v>
      </c>
      <c r="U50" t="s">
        <v>712</v>
      </c>
      <c r="V50" s="256" t="s">
        <v>713</v>
      </c>
      <c r="W50" t="s">
        <v>714</v>
      </c>
      <c r="X50" t="s">
        <v>715</v>
      </c>
      <c r="Z50" t="s">
        <v>716</v>
      </c>
      <c r="AA50" t="s">
        <v>717</v>
      </c>
      <c r="AB50" t="s">
        <v>1464</v>
      </c>
    </row>
    <row r="51" spans="17:28" x14ac:dyDescent="0.15">
      <c r="Q51" t="s">
        <v>1389</v>
      </c>
      <c r="R51" t="s">
        <v>718</v>
      </c>
      <c r="U51" t="s">
        <v>719</v>
      </c>
      <c r="V51" s="256" t="s">
        <v>720</v>
      </c>
      <c r="W51" t="s">
        <v>721</v>
      </c>
      <c r="X51" t="s">
        <v>722</v>
      </c>
      <c r="Z51" t="s">
        <v>723</v>
      </c>
      <c r="AA51" t="s">
        <v>724</v>
      </c>
      <c r="AB51" t="s">
        <v>1465</v>
      </c>
    </row>
    <row r="52" spans="17:28" x14ac:dyDescent="0.15">
      <c r="Q52" t="s">
        <v>1390</v>
      </c>
      <c r="R52" t="s">
        <v>725</v>
      </c>
      <c r="U52" t="s">
        <v>726</v>
      </c>
      <c r="V52" s="256" t="s">
        <v>727</v>
      </c>
      <c r="W52" t="s">
        <v>728</v>
      </c>
      <c r="X52" t="s">
        <v>729</v>
      </c>
      <c r="Z52" t="s">
        <v>730</v>
      </c>
      <c r="AA52" t="s">
        <v>731</v>
      </c>
      <c r="AB52" t="s">
        <v>1466</v>
      </c>
    </row>
    <row r="53" spans="17:28" x14ac:dyDescent="0.15">
      <c r="Q53" t="s">
        <v>1391</v>
      </c>
      <c r="R53" t="s">
        <v>732</v>
      </c>
      <c r="U53" t="s">
        <v>733</v>
      </c>
      <c r="V53" s="256" t="s">
        <v>734</v>
      </c>
      <c r="W53" t="s">
        <v>735</v>
      </c>
      <c r="X53" t="s">
        <v>736</v>
      </c>
      <c r="Z53" t="s">
        <v>737</v>
      </c>
      <c r="AA53" t="s">
        <v>738</v>
      </c>
      <c r="AB53" t="s">
        <v>1473</v>
      </c>
    </row>
    <row r="54" spans="17:28" x14ac:dyDescent="0.15">
      <c r="Q54" t="s">
        <v>1392</v>
      </c>
      <c r="R54" t="s">
        <v>739</v>
      </c>
      <c r="U54" t="s">
        <v>740</v>
      </c>
      <c r="V54" s="256" t="s">
        <v>741</v>
      </c>
      <c r="W54" t="s">
        <v>742</v>
      </c>
      <c r="X54" t="s">
        <v>743</v>
      </c>
      <c r="Z54" t="s">
        <v>744</v>
      </c>
      <c r="AA54" t="s">
        <v>745</v>
      </c>
      <c r="AB54" t="s">
        <v>1474</v>
      </c>
    </row>
    <row r="55" spans="17:28" x14ac:dyDescent="0.15">
      <c r="R55" t="s">
        <v>746</v>
      </c>
      <c r="U55" t="s">
        <v>747</v>
      </c>
      <c r="V55" s="256" t="s">
        <v>748</v>
      </c>
      <c r="W55" t="s">
        <v>749</v>
      </c>
      <c r="X55" t="s">
        <v>750</v>
      </c>
      <c r="Z55" t="s">
        <v>751</v>
      </c>
      <c r="AA55" t="s">
        <v>752</v>
      </c>
      <c r="AB55" t="s">
        <v>1496</v>
      </c>
    </row>
    <row r="56" spans="17:28" x14ac:dyDescent="0.15">
      <c r="R56" t="s">
        <v>753</v>
      </c>
      <c r="U56" t="s">
        <v>754</v>
      </c>
      <c r="V56" s="256" t="s">
        <v>755</v>
      </c>
      <c r="X56" t="s">
        <v>756</v>
      </c>
      <c r="Z56" t="s">
        <v>757</v>
      </c>
      <c r="AA56" t="s">
        <v>758</v>
      </c>
      <c r="AB56" t="s">
        <v>1508</v>
      </c>
    </row>
    <row r="57" spans="17:28" x14ac:dyDescent="0.15">
      <c r="R57" t="s">
        <v>759</v>
      </c>
      <c r="U57" t="s">
        <v>760</v>
      </c>
      <c r="V57" s="256" t="s">
        <v>761</v>
      </c>
      <c r="X57" t="s">
        <v>762</v>
      </c>
      <c r="Z57" t="s">
        <v>763</v>
      </c>
      <c r="AA57" t="s">
        <v>764</v>
      </c>
      <c r="AB57" t="s">
        <v>1509</v>
      </c>
    </row>
    <row r="58" spans="17:28" x14ac:dyDescent="0.15">
      <c r="R58" t="s">
        <v>765</v>
      </c>
      <c r="U58" t="s">
        <v>766</v>
      </c>
      <c r="V58" s="256" t="s">
        <v>767</v>
      </c>
      <c r="X58" t="s">
        <v>768</v>
      </c>
      <c r="AA58" t="s">
        <v>769</v>
      </c>
      <c r="AB58" t="s">
        <v>1475</v>
      </c>
    </row>
    <row r="59" spans="17:28" x14ac:dyDescent="0.15">
      <c r="R59" t="s">
        <v>770</v>
      </c>
      <c r="U59" t="s">
        <v>771</v>
      </c>
      <c r="V59" s="256" t="s">
        <v>772</v>
      </c>
      <c r="X59" t="s">
        <v>773</v>
      </c>
      <c r="AA59" t="s">
        <v>774</v>
      </c>
      <c r="AB59" t="s">
        <v>1476</v>
      </c>
    </row>
    <row r="60" spans="17:28" x14ac:dyDescent="0.15">
      <c r="R60" t="s">
        <v>775</v>
      </c>
      <c r="U60" t="s">
        <v>776</v>
      </c>
      <c r="V60" s="256" t="s">
        <v>777</v>
      </c>
      <c r="X60" t="s">
        <v>778</v>
      </c>
      <c r="AA60" t="s">
        <v>779</v>
      </c>
      <c r="AB60" t="s">
        <v>1477</v>
      </c>
    </row>
    <row r="61" spans="17:28" x14ac:dyDescent="0.15">
      <c r="R61" t="s">
        <v>780</v>
      </c>
      <c r="U61" t="s">
        <v>781</v>
      </c>
      <c r="V61" s="256" t="s">
        <v>782</v>
      </c>
      <c r="X61" t="s">
        <v>783</v>
      </c>
      <c r="AA61" t="s">
        <v>784</v>
      </c>
      <c r="AB61" t="s">
        <v>1478</v>
      </c>
    </row>
    <row r="62" spans="17:28" x14ac:dyDescent="0.15">
      <c r="R62" t="s">
        <v>785</v>
      </c>
      <c r="U62" t="s">
        <v>786</v>
      </c>
      <c r="V62" s="256" t="s">
        <v>787</v>
      </c>
      <c r="X62" t="s">
        <v>788</v>
      </c>
      <c r="AA62" t="s">
        <v>789</v>
      </c>
      <c r="AB62" t="s">
        <v>1479</v>
      </c>
    </row>
    <row r="63" spans="17:28" x14ac:dyDescent="0.15">
      <c r="R63" t="s">
        <v>790</v>
      </c>
      <c r="U63" t="s">
        <v>791</v>
      </c>
      <c r="V63" s="256" t="s">
        <v>792</v>
      </c>
      <c r="X63" t="s">
        <v>793</v>
      </c>
      <c r="AA63" t="s">
        <v>794</v>
      </c>
      <c r="AB63" t="s">
        <v>1480</v>
      </c>
    </row>
    <row r="64" spans="17:28" x14ac:dyDescent="0.15">
      <c r="R64" t="s">
        <v>795</v>
      </c>
      <c r="U64" t="s">
        <v>796</v>
      </c>
      <c r="V64" s="256" t="s">
        <v>797</v>
      </c>
      <c r="X64" t="s">
        <v>798</v>
      </c>
      <c r="AA64" t="s">
        <v>799</v>
      </c>
      <c r="AB64" t="s">
        <v>1513</v>
      </c>
    </row>
    <row r="65" spans="18:28" x14ac:dyDescent="0.15">
      <c r="R65" t="s">
        <v>800</v>
      </c>
      <c r="U65" t="s">
        <v>801</v>
      </c>
      <c r="V65" s="256" t="s">
        <v>802</v>
      </c>
      <c r="X65" t="s">
        <v>803</v>
      </c>
      <c r="AA65" t="s">
        <v>804</v>
      </c>
      <c r="AB65" t="s">
        <v>1514</v>
      </c>
    </row>
    <row r="66" spans="18:28" x14ac:dyDescent="0.15">
      <c r="R66" t="s">
        <v>805</v>
      </c>
      <c r="U66" t="s">
        <v>806</v>
      </c>
      <c r="V66" s="256" t="s">
        <v>807</v>
      </c>
      <c r="X66" t="s">
        <v>808</v>
      </c>
      <c r="AA66" t="s">
        <v>809</v>
      </c>
      <c r="AB66" t="s">
        <v>1515</v>
      </c>
    </row>
    <row r="67" spans="18:28" x14ac:dyDescent="0.15">
      <c r="R67" t="s">
        <v>810</v>
      </c>
      <c r="U67" t="s">
        <v>811</v>
      </c>
      <c r="V67" s="256" t="s">
        <v>812</v>
      </c>
      <c r="X67" t="s">
        <v>813</v>
      </c>
      <c r="AA67" t="s">
        <v>814</v>
      </c>
      <c r="AB67" t="s">
        <v>1418</v>
      </c>
    </row>
    <row r="68" spans="18:28" x14ac:dyDescent="0.15">
      <c r="R68" t="s">
        <v>815</v>
      </c>
      <c r="U68" t="s">
        <v>816</v>
      </c>
      <c r="V68" s="256" t="s">
        <v>817</v>
      </c>
      <c r="X68" t="s">
        <v>818</v>
      </c>
      <c r="AA68" t="s">
        <v>819</v>
      </c>
      <c r="AB68" t="s">
        <v>1419</v>
      </c>
    </row>
    <row r="69" spans="18:28" x14ac:dyDescent="0.15">
      <c r="R69" t="s">
        <v>820</v>
      </c>
      <c r="U69" t="s">
        <v>821</v>
      </c>
      <c r="V69" s="256" t="s">
        <v>822</v>
      </c>
      <c r="X69" t="s">
        <v>823</v>
      </c>
      <c r="AA69" t="s">
        <v>824</v>
      </c>
      <c r="AB69" t="s">
        <v>1420</v>
      </c>
    </row>
    <row r="70" spans="18:28" x14ac:dyDescent="0.15">
      <c r="R70" t="s">
        <v>825</v>
      </c>
      <c r="U70" t="s">
        <v>826</v>
      </c>
      <c r="X70" t="s">
        <v>827</v>
      </c>
      <c r="AA70" t="s">
        <v>828</v>
      </c>
      <c r="AB70" t="s">
        <v>1421</v>
      </c>
    </row>
    <row r="71" spans="18:28" x14ac:dyDescent="0.15">
      <c r="R71" t="s">
        <v>829</v>
      </c>
      <c r="U71" t="s">
        <v>830</v>
      </c>
      <c r="X71" t="s">
        <v>831</v>
      </c>
      <c r="AA71" t="s">
        <v>832</v>
      </c>
      <c r="AB71" t="s">
        <v>1437</v>
      </c>
    </row>
    <row r="72" spans="18:28" x14ac:dyDescent="0.15">
      <c r="R72" t="s">
        <v>833</v>
      </c>
      <c r="U72" t="s">
        <v>834</v>
      </c>
      <c r="X72" t="s">
        <v>835</v>
      </c>
      <c r="AA72" t="s">
        <v>836</v>
      </c>
      <c r="AB72" t="s">
        <v>1438</v>
      </c>
    </row>
    <row r="73" spans="18:28" x14ac:dyDescent="0.15">
      <c r="R73" t="s">
        <v>837</v>
      </c>
      <c r="U73" t="s">
        <v>838</v>
      </c>
      <c r="X73" t="s">
        <v>839</v>
      </c>
      <c r="AA73" t="s">
        <v>840</v>
      </c>
      <c r="AB73" t="s">
        <v>1439</v>
      </c>
    </row>
    <row r="74" spans="18:28" x14ac:dyDescent="0.15">
      <c r="R74" t="s">
        <v>841</v>
      </c>
      <c r="U74" t="s">
        <v>842</v>
      </c>
      <c r="X74" t="s">
        <v>843</v>
      </c>
      <c r="AA74" t="s">
        <v>844</v>
      </c>
      <c r="AB74" t="s">
        <v>1440</v>
      </c>
    </row>
    <row r="75" spans="18:28" x14ac:dyDescent="0.15">
      <c r="R75" t="s">
        <v>845</v>
      </c>
      <c r="U75" t="s">
        <v>846</v>
      </c>
      <c r="X75" t="s">
        <v>847</v>
      </c>
      <c r="AA75" t="s">
        <v>848</v>
      </c>
      <c r="AB75" t="s">
        <v>1441</v>
      </c>
    </row>
    <row r="76" spans="18:28" x14ac:dyDescent="0.15">
      <c r="R76" t="s">
        <v>849</v>
      </c>
      <c r="U76" t="s">
        <v>850</v>
      </c>
      <c r="X76" t="s">
        <v>851</v>
      </c>
      <c r="AA76" t="s">
        <v>852</v>
      </c>
      <c r="AB76" t="s">
        <v>1483</v>
      </c>
    </row>
    <row r="77" spans="18:28" x14ac:dyDescent="0.15">
      <c r="R77" t="s">
        <v>853</v>
      </c>
      <c r="U77" t="s">
        <v>854</v>
      </c>
      <c r="X77" t="s">
        <v>855</v>
      </c>
      <c r="AA77" t="s">
        <v>856</v>
      </c>
      <c r="AB77" t="s">
        <v>1422</v>
      </c>
    </row>
    <row r="78" spans="18:28" x14ac:dyDescent="0.15">
      <c r="R78" t="s">
        <v>857</v>
      </c>
      <c r="U78" t="s">
        <v>858</v>
      </c>
      <c r="X78" t="s">
        <v>859</v>
      </c>
      <c r="AA78" t="s">
        <v>860</v>
      </c>
      <c r="AB78" t="s">
        <v>1423</v>
      </c>
    </row>
    <row r="79" spans="18:28" x14ac:dyDescent="0.15">
      <c r="R79" t="s">
        <v>861</v>
      </c>
      <c r="U79" t="s">
        <v>862</v>
      </c>
      <c r="X79" t="s">
        <v>863</v>
      </c>
      <c r="AA79" t="s">
        <v>864</v>
      </c>
      <c r="AB79" t="s">
        <v>1424</v>
      </c>
    </row>
    <row r="80" spans="18:28" x14ac:dyDescent="0.15">
      <c r="R80" t="s">
        <v>865</v>
      </c>
      <c r="U80" t="s">
        <v>866</v>
      </c>
      <c r="X80" t="s">
        <v>867</v>
      </c>
      <c r="AA80" t="s">
        <v>868</v>
      </c>
      <c r="AB80" t="s">
        <v>1425</v>
      </c>
    </row>
    <row r="81" spans="18:28" x14ac:dyDescent="0.15">
      <c r="R81" t="s">
        <v>869</v>
      </c>
      <c r="U81" t="s">
        <v>870</v>
      </c>
      <c r="X81" t="s">
        <v>871</v>
      </c>
      <c r="AA81" t="s">
        <v>872</v>
      </c>
      <c r="AB81" t="s">
        <v>1490</v>
      </c>
    </row>
    <row r="82" spans="18:28" x14ac:dyDescent="0.15">
      <c r="R82" t="s">
        <v>873</v>
      </c>
      <c r="U82" t="s">
        <v>874</v>
      </c>
      <c r="X82" t="s">
        <v>875</v>
      </c>
      <c r="AA82" t="s">
        <v>876</v>
      </c>
      <c r="AB82" t="s">
        <v>1491</v>
      </c>
    </row>
    <row r="83" spans="18:28" x14ac:dyDescent="0.15">
      <c r="R83" t="s">
        <v>877</v>
      </c>
      <c r="U83" t="s">
        <v>878</v>
      </c>
      <c r="X83" t="s">
        <v>879</v>
      </c>
      <c r="AA83" t="s">
        <v>880</v>
      </c>
      <c r="AB83" t="s">
        <v>1492</v>
      </c>
    </row>
    <row r="84" spans="18:28" x14ac:dyDescent="0.15">
      <c r="R84" t="s">
        <v>881</v>
      </c>
      <c r="U84" t="s">
        <v>882</v>
      </c>
      <c r="X84" t="s">
        <v>883</v>
      </c>
      <c r="AA84" t="s">
        <v>884</v>
      </c>
      <c r="AB84" t="s">
        <v>1493</v>
      </c>
    </row>
    <row r="85" spans="18:28" x14ac:dyDescent="0.15">
      <c r="R85" t="s">
        <v>885</v>
      </c>
      <c r="U85" t="s">
        <v>886</v>
      </c>
      <c r="X85" t="s">
        <v>887</v>
      </c>
      <c r="AA85" t="s">
        <v>888</v>
      </c>
      <c r="AB85" t="s">
        <v>1494</v>
      </c>
    </row>
    <row r="86" spans="18:28" x14ac:dyDescent="0.15">
      <c r="R86" t="s">
        <v>889</v>
      </c>
      <c r="U86" t="s">
        <v>890</v>
      </c>
      <c r="X86" t="s">
        <v>891</v>
      </c>
      <c r="AA86" t="s">
        <v>892</v>
      </c>
      <c r="AB86" t="s">
        <v>1495</v>
      </c>
    </row>
    <row r="87" spans="18:28" x14ac:dyDescent="0.15">
      <c r="R87" t="s">
        <v>893</v>
      </c>
      <c r="U87" t="s">
        <v>894</v>
      </c>
      <c r="X87" t="s">
        <v>895</v>
      </c>
      <c r="AA87" t="s">
        <v>896</v>
      </c>
      <c r="AB87" t="s">
        <v>1435</v>
      </c>
    </row>
    <row r="88" spans="18:28" x14ac:dyDescent="0.15">
      <c r="R88" t="s">
        <v>897</v>
      </c>
      <c r="U88" t="s">
        <v>898</v>
      </c>
      <c r="AA88" t="s">
        <v>899</v>
      </c>
      <c r="AB88" t="s">
        <v>1434</v>
      </c>
    </row>
    <row r="89" spans="18:28" x14ac:dyDescent="0.15">
      <c r="R89" t="s">
        <v>900</v>
      </c>
      <c r="U89" t="s">
        <v>901</v>
      </c>
      <c r="AA89" t="s">
        <v>902</v>
      </c>
      <c r="AB89" t="s">
        <v>1484</v>
      </c>
    </row>
    <row r="90" spans="18:28" x14ac:dyDescent="0.15">
      <c r="R90" t="s">
        <v>903</v>
      </c>
      <c r="U90" t="s">
        <v>904</v>
      </c>
      <c r="AA90" t="s">
        <v>905</v>
      </c>
      <c r="AB90" t="s">
        <v>1485</v>
      </c>
    </row>
    <row r="91" spans="18:28" x14ac:dyDescent="0.15">
      <c r="R91" t="s">
        <v>906</v>
      </c>
      <c r="U91" t="s">
        <v>907</v>
      </c>
      <c r="AA91" t="s">
        <v>908</v>
      </c>
      <c r="AB91" t="s">
        <v>1456</v>
      </c>
    </row>
    <row r="92" spans="18:28" x14ac:dyDescent="0.15">
      <c r="R92" t="s">
        <v>909</v>
      </c>
      <c r="U92" t="s">
        <v>910</v>
      </c>
      <c r="AA92" t="s">
        <v>911</v>
      </c>
      <c r="AB92" t="s">
        <v>1457</v>
      </c>
    </row>
    <row r="93" spans="18:28" x14ac:dyDescent="0.15">
      <c r="R93" t="s">
        <v>912</v>
      </c>
      <c r="U93" t="s">
        <v>913</v>
      </c>
      <c r="AA93" t="s">
        <v>914</v>
      </c>
      <c r="AB93" t="s">
        <v>1486</v>
      </c>
    </row>
    <row r="94" spans="18:28" x14ac:dyDescent="0.15">
      <c r="R94" t="s">
        <v>915</v>
      </c>
      <c r="U94" t="s">
        <v>916</v>
      </c>
      <c r="AA94" t="s">
        <v>917</v>
      </c>
      <c r="AB94" t="s">
        <v>1467</v>
      </c>
    </row>
    <row r="95" spans="18:28" x14ac:dyDescent="0.15">
      <c r="R95" t="s">
        <v>918</v>
      </c>
      <c r="U95" t="s">
        <v>919</v>
      </c>
      <c r="AA95" t="s">
        <v>920</v>
      </c>
      <c r="AB95" t="s">
        <v>1468</v>
      </c>
    </row>
    <row r="96" spans="18:28" x14ac:dyDescent="0.15">
      <c r="R96" t="s">
        <v>921</v>
      </c>
      <c r="U96" t="s">
        <v>922</v>
      </c>
      <c r="AA96" t="s">
        <v>923</v>
      </c>
      <c r="AB96" t="s">
        <v>1487</v>
      </c>
    </row>
    <row r="97" spans="18:28" x14ac:dyDescent="0.15">
      <c r="R97" t="s">
        <v>924</v>
      </c>
      <c r="U97" t="s">
        <v>925</v>
      </c>
      <c r="AA97" t="s">
        <v>926</v>
      </c>
      <c r="AB97" t="s">
        <v>1488</v>
      </c>
    </row>
    <row r="98" spans="18:28" x14ac:dyDescent="0.15">
      <c r="R98" t="s">
        <v>927</v>
      </c>
      <c r="U98" t="s">
        <v>928</v>
      </c>
      <c r="AA98" t="s">
        <v>929</v>
      </c>
      <c r="AB98" t="s">
        <v>1415</v>
      </c>
    </row>
    <row r="99" spans="18:28" x14ac:dyDescent="0.15">
      <c r="R99" t="s">
        <v>930</v>
      </c>
      <c r="U99" t="s">
        <v>931</v>
      </c>
      <c r="AA99" t="s">
        <v>932</v>
      </c>
      <c r="AB99" t="s">
        <v>1510</v>
      </c>
    </row>
    <row r="100" spans="18:28" x14ac:dyDescent="0.15">
      <c r="R100" t="s">
        <v>933</v>
      </c>
      <c r="U100" t="s">
        <v>934</v>
      </c>
      <c r="AA100" t="s">
        <v>935</v>
      </c>
      <c r="AB100" t="s">
        <v>1511</v>
      </c>
    </row>
    <row r="101" spans="18:28" x14ac:dyDescent="0.15">
      <c r="R101" t="s">
        <v>936</v>
      </c>
      <c r="U101" t="s">
        <v>937</v>
      </c>
      <c r="AA101" t="s">
        <v>938</v>
      </c>
      <c r="AB101" t="s">
        <v>1512</v>
      </c>
    </row>
    <row r="102" spans="18:28" x14ac:dyDescent="0.15">
      <c r="R102" t="s">
        <v>939</v>
      </c>
      <c r="U102" t="s">
        <v>940</v>
      </c>
      <c r="AA102" t="s">
        <v>941</v>
      </c>
      <c r="AB102" t="s">
        <v>1489</v>
      </c>
    </row>
    <row r="103" spans="18:28" x14ac:dyDescent="0.15">
      <c r="R103" t="s">
        <v>942</v>
      </c>
      <c r="U103" t="s">
        <v>943</v>
      </c>
      <c r="AA103" t="s">
        <v>944</v>
      </c>
      <c r="AB103" t="s">
        <v>1416</v>
      </c>
    </row>
    <row r="104" spans="18:28" x14ac:dyDescent="0.15">
      <c r="R104" t="s">
        <v>945</v>
      </c>
      <c r="U104" t="s">
        <v>946</v>
      </c>
      <c r="AA104" t="s">
        <v>947</v>
      </c>
    </row>
    <row r="105" spans="18:28" x14ac:dyDescent="0.15">
      <c r="R105" t="s">
        <v>948</v>
      </c>
      <c r="U105" t="s">
        <v>949</v>
      </c>
      <c r="AA105" t="s">
        <v>950</v>
      </c>
    </row>
    <row r="106" spans="18:28" x14ac:dyDescent="0.15">
      <c r="R106" t="s">
        <v>951</v>
      </c>
      <c r="U106" t="s">
        <v>952</v>
      </c>
      <c r="AA106" t="s">
        <v>953</v>
      </c>
    </row>
    <row r="107" spans="18:28" x14ac:dyDescent="0.15">
      <c r="R107" t="s">
        <v>954</v>
      </c>
      <c r="U107" t="s">
        <v>955</v>
      </c>
      <c r="AA107" t="s">
        <v>956</v>
      </c>
    </row>
    <row r="108" spans="18:28" x14ac:dyDescent="0.15">
      <c r="R108" t="s">
        <v>957</v>
      </c>
      <c r="U108" t="s">
        <v>958</v>
      </c>
      <c r="AA108" t="s">
        <v>959</v>
      </c>
    </row>
    <row r="109" spans="18:28" x14ac:dyDescent="0.15">
      <c r="R109" t="s">
        <v>960</v>
      </c>
      <c r="U109" t="s">
        <v>961</v>
      </c>
      <c r="AA109" t="s">
        <v>962</v>
      </c>
    </row>
    <row r="110" spans="18:28" x14ac:dyDescent="0.15">
      <c r="R110" t="s">
        <v>963</v>
      </c>
      <c r="U110" t="s">
        <v>964</v>
      </c>
      <c r="AA110" t="s">
        <v>965</v>
      </c>
    </row>
    <row r="111" spans="18:28" x14ac:dyDescent="0.15">
      <c r="U111" t="s">
        <v>966</v>
      </c>
      <c r="AA111" t="s">
        <v>967</v>
      </c>
    </row>
    <row r="112" spans="18:28" x14ac:dyDescent="0.15">
      <c r="U112" t="s">
        <v>968</v>
      </c>
      <c r="AA112" t="s">
        <v>969</v>
      </c>
    </row>
    <row r="113" spans="21:27" x14ac:dyDescent="0.15">
      <c r="U113" t="s">
        <v>970</v>
      </c>
      <c r="AA113" t="s">
        <v>971</v>
      </c>
    </row>
    <row r="114" spans="21:27" x14ac:dyDescent="0.15">
      <c r="U114" t="s">
        <v>972</v>
      </c>
    </row>
    <row r="115" spans="21:27" x14ac:dyDescent="0.15">
      <c r="U115" t="s">
        <v>973</v>
      </c>
    </row>
    <row r="116" spans="21:27" x14ac:dyDescent="0.15">
      <c r="U116" t="s">
        <v>974</v>
      </c>
    </row>
    <row r="117" spans="21:27" x14ac:dyDescent="0.15">
      <c r="U117" t="s">
        <v>975</v>
      </c>
    </row>
    <row r="118" spans="21:27" x14ac:dyDescent="0.15">
      <c r="U118" t="s">
        <v>976</v>
      </c>
    </row>
    <row r="119" spans="21:27" x14ac:dyDescent="0.15">
      <c r="U119" t="s">
        <v>977</v>
      </c>
    </row>
    <row r="120" spans="21:27" x14ac:dyDescent="0.15">
      <c r="U120" t="s">
        <v>978</v>
      </c>
    </row>
    <row r="121" spans="21:27" x14ac:dyDescent="0.15">
      <c r="U121" t="s">
        <v>979</v>
      </c>
    </row>
    <row r="122" spans="21:27" x14ac:dyDescent="0.15">
      <c r="U122" t="s">
        <v>980</v>
      </c>
    </row>
    <row r="123" spans="21:27" x14ac:dyDescent="0.15">
      <c r="U123" t="s">
        <v>981</v>
      </c>
    </row>
    <row r="124" spans="21:27" x14ac:dyDescent="0.15">
      <c r="U124" t="s">
        <v>982</v>
      </c>
    </row>
    <row r="125" spans="21:27" x14ac:dyDescent="0.15">
      <c r="U125" t="s">
        <v>983</v>
      </c>
    </row>
    <row r="126" spans="21:27" x14ac:dyDescent="0.15">
      <c r="U126" t="s">
        <v>984</v>
      </c>
    </row>
    <row r="127" spans="21:27" x14ac:dyDescent="0.15">
      <c r="U127" t="s">
        <v>985</v>
      </c>
    </row>
    <row r="128" spans="21:27" x14ac:dyDescent="0.15">
      <c r="U128" t="s">
        <v>986</v>
      </c>
    </row>
    <row r="129" spans="21:21" x14ac:dyDescent="0.15">
      <c r="U129" t="s">
        <v>987</v>
      </c>
    </row>
    <row r="130" spans="21:21" x14ac:dyDescent="0.15">
      <c r="U130" t="s">
        <v>988</v>
      </c>
    </row>
    <row r="131" spans="21:21" x14ac:dyDescent="0.15">
      <c r="U131" t="s">
        <v>989</v>
      </c>
    </row>
    <row r="132" spans="21:21" x14ac:dyDescent="0.15">
      <c r="U132" t="s">
        <v>990</v>
      </c>
    </row>
    <row r="133" spans="21:21" x14ac:dyDescent="0.15">
      <c r="U133" t="s">
        <v>991</v>
      </c>
    </row>
    <row r="134" spans="21:21" x14ac:dyDescent="0.15">
      <c r="U134" t="s">
        <v>992</v>
      </c>
    </row>
    <row r="135" spans="21:21" x14ac:dyDescent="0.15">
      <c r="U135" t="s">
        <v>993</v>
      </c>
    </row>
    <row r="136" spans="21:21" x14ac:dyDescent="0.15">
      <c r="U136" t="s">
        <v>994</v>
      </c>
    </row>
    <row r="137" spans="21:21" x14ac:dyDescent="0.15">
      <c r="U137" t="s">
        <v>995</v>
      </c>
    </row>
    <row r="138" spans="21:21" x14ac:dyDescent="0.15">
      <c r="U138" t="s">
        <v>996</v>
      </c>
    </row>
    <row r="139" spans="21:21" x14ac:dyDescent="0.15">
      <c r="U139" t="s">
        <v>997</v>
      </c>
    </row>
    <row r="140" spans="21:21" x14ac:dyDescent="0.15">
      <c r="U140" t="s">
        <v>998</v>
      </c>
    </row>
    <row r="141" spans="21:21" x14ac:dyDescent="0.15">
      <c r="U141" t="s">
        <v>999</v>
      </c>
    </row>
    <row r="142" spans="21:21" x14ac:dyDescent="0.15">
      <c r="U142" t="s">
        <v>1000</v>
      </c>
    </row>
    <row r="143" spans="21:21" x14ac:dyDescent="0.15">
      <c r="U143" t="s">
        <v>1001</v>
      </c>
    </row>
    <row r="144" spans="21:21" x14ac:dyDescent="0.15">
      <c r="U144" t="s">
        <v>1002</v>
      </c>
    </row>
    <row r="145" spans="21:21" x14ac:dyDescent="0.15">
      <c r="U145" t="s">
        <v>1003</v>
      </c>
    </row>
    <row r="146" spans="21:21" x14ac:dyDescent="0.15">
      <c r="U146" t="s">
        <v>1004</v>
      </c>
    </row>
    <row r="147" spans="21:21" x14ac:dyDescent="0.15">
      <c r="U147" t="s">
        <v>1005</v>
      </c>
    </row>
    <row r="148" spans="21:21" x14ac:dyDescent="0.15">
      <c r="U148" t="s">
        <v>1006</v>
      </c>
    </row>
    <row r="149" spans="21:21" x14ac:dyDescent="0.15">
      <c r="U149" t="s">
        <v>1007</v>
      </c>
    </row>
    <row r="150" spans="21:21" x14ac:dyDescent="0.15">
      <c r="U150" t="s">
        <v>1008</v>
      </c>
    </row>
    <row r="151" spans="21:21" x14ac:dyDescent="0.15">
      <c r="U151" t="s">
        <v>1009</v>
      </c>
    </row>
    <row r="152" spans="21:21" x14ac:dyDescent="0.15">
      <c r="U152" t="s">
        <v>1010</v>
      </c>
    </row>
    <row r="153" spans="21:21" x14ac:dyDescent="0.15">
      <c r="U153" t="s">
        <v>1011</v>
      </c>
    </row>
    <row r="154" spans="21:21" x14ac:dyDescent="0.15">
      <c r="U154" t="s">
        <v>1012</v>
      </c>
    </row>
    <row r="155" spans="21:21" x14ac:dyDescent="0.15">
      <c r="U155" t="s">
        <v>1013</v>
      </c>
    </row>
    <row r="156" spans="21:21" x14ac:dyDescent="0.15">
      <c r="U156" t="s">
        <v>1014</v>
      </c>
    </row>
  </sheetData>
  <sheetProtection selectLockedCells="1" selectUnlockedCells="1"/>
  <sortState xmlns:xlrd2="http://schemas.microsoft.com/office/spreadsheetml/2017/richdata2" ref="AB2:AB804">
    <sortCondition ref="AB2"/>
  </sortState>
  <conditionalFormatting sqref="R8:R11 F7:F12 B2 A2:A8 D2:E3 D4:D7 C2:C10 I2:J6 J7 E4:E23 J9 I7:I11 K2:K12 L2:L14 M2:N29 O2:O5 R2:R6 G2 F3:G6 G7:G16">
    <cfRule type="duplicateValues" dxfId="5703" priority="4232"/>
  </conditionalFormatting>
  <conditionalFormatting sqref="F2:F12">
    <cfRule type="duplicateValues" dxfId="5702" priority="4288"/>
  </conditionalFormatting>
  <conditionalFormatting sqref="V2:V69">
    <cfRule type="duplicateValues" dxfId="5701" priority="4348"/>
  </conditionalFormatting>
  <conditionalFormatting sqref="X2:X87">
    <cfRule type="duplicateValues" dxfId="5700" priority="4563"/>
  </conditionalFormatting>
  <conditionalFormatting sqref="H3:H14">
    <cfRule type="duplicateValues" dxfId="5699" priority="4619"/>
  </conditionalFormatting>
  <conditionalFormatting sqref="AE2:AF95 X29:X46 R7 AC20:AC95 AC2:AD19 AB40:AB48 U19:U71 W3:X6 W7:W55 X7:X27 Q2 S2:S21 R12:R110 V19:V30 AA2:AB39 U3:V18 U2:Y2">
    <cfRule type="duplicateValues" dxfId="5698" priority="4624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E27070"/>
  </sheetPr>
  <dimension ref="A1:V1"/>
  <sheetViews>
    <sheetView zoomScale="80" zoomScaleNormal="80" workbookViewId="0">
      <selection activeCell="A2" sqref="A2"/>
    </sheetView>
  </sheetViews>
  <sheetFormatPr baseColWidth="10" defaultColWidth="8.83203125" defaultRowHeight="14" x14ac:dyDescent="0.15"/>
  <cols>
    <col min="1" max="1" width="31.5" bestFit="1" customWidth="1"/>
    <col min="2" max="2" width="17.1640625" customWidth="1"/>
    <col min="3" max="3" width="31.5" bestFit="1" customWidth="1"/>
  </cols>
  <sheetData>
    <row r="1" spans="1:22" x14ac:dyDescent="0.15">
      <c r="A1" s="42" t="s">
        <v>1015</v>
      </c>
      <c r="B1" s="42" t="s">
        <v>1016</v>
      </c>
      <c r="C1" s="42" t="s">
        <v>1017</v>
      </c>
      <c r="D1" s="42" t="s">
        <v>1018</v>
      </c>
      <c r="E1" s="42" t="s">
        <v>1019</v>
      </c>
      <c r="F1" s="42" t="s">
        <v>1020</v>
      </c>
      <c r="G1" s="42" t="s">
        <v>1021</v>
      </c>
      <c r="H1" s="42" t="s">
        <v>1022</v>
      </c>
      <c r="I1" s="42" t="s">
        <v>1023</v>
      </c>
      <c r="J1" s="42" t="s">
        <v>1024</v>
      </c>
      <c r="K1" s="42" t="s">
        <v>1025</v>
      </c>
      <c r="L1" s="42" t="s">
        <v>1026</v>
      </c>
      <c r="M1" s="42" t="s">
        <v>1027</v>
      </c>
      <c r="N1" s="42" t="s">
        <v>1028</v>
      </c>
      <c r="O1" s="42" t="s">
        <v>1029</v>
      </c>
      <c r="P1" s="42" t="s">
        <v>1030</v>
      </c>
      <c r="Q1" s="42" t="s">
        <v>1031</v>
      </c>
      <c r="R1" s="42" t="s">
        <v>1032</v>
      </c>
      <c r="S1" s="42" t="s">
        <v>1033</v>
      </c>
      <c r="T1" s="42" t="s">
        <v>1034</v>
      </c>
      <c r="U1" s="42" t="s">
        <v>1035</v>
      </c>
      <c r="V1" s="42" t="s">
        <v>1036</v>
      </c>
    </row>
  </sheetData>
  <autoFilter ref="A1:V1819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>
    <tabColor rgb="FFE27070"/>
  </sheetPr>
  <dimension ref="A1:U4355"/>
  <sheetViews>
    <sheetView topLeftCell="B1" zoomScale="70" zoomScaleNormal="70" workbookViewId="0">
      <pane ySplit="1" topLeftCell="A2" activePane="bottomLeft" state="frozen"/>
      <selection activeCell="B20" sqref="B20"/>
      <selection pane="bottomLeft" activeCell="F5" sqref="F5"/>
    </sheetView>
  </sheetViews>
  <sheetFormatPr baseColWidth="10" defaultColWidth="8.83203125" defaultRowHeight="14" x14ac:dyDescent="0.15"/>
  <cols>
    <col min="1" max="1" width="31.83203125" bestFit="1" customWidth="1"/>
    <col min="2" max="2" width="53.5" customWidth="1"/>
    <col min="3" max="3" width="21" customWidth="1"/>
    <col min="4" max="4" width="15.5" bestFit="1" customWidth="1"/>
    <col min="5" max="5" width="12.5" customWidth="1"/>
    <col min="6" max="6" width="17.5" style="253" bestFit="1" customWidth="1"/>
    <col min="7" max="7" width="13.5" bestFit="1" customWidth="1"/>
    <col min="8" max="8" width="18.5" bestFit="1" customWidth="1"/>
    <col min="9" max="9" width="15.5" bestFit="1" customWidth="1"/>
    <col min="10" max="10" width="18.5" bestFit="1" customWidth="1"/>
    <col min="11" max="12" width="11" customWidth="1"/>
    <col min="13" max="13" width="14.5" style="252" customWidth="1"/>
    <col min="15" max="15" width="31.5" bestFit="1" customWidth="1"/>
    <col min="16" max="16" width="26.83203125" customWidth="1"/>
    <col min="17" max="17" width="15.5" customWidth="1"/>
    <col min="18" max="18" width="19.5" customWidth="1"/>
    <col min="19" max="19" width="13.83203125" bestFit="1" customWidth="1"/>
    <col min="20" max="20" width="15.83203125" customWidth="1"/>
    <col min="21" max="21" width="12.5" customWidth="1"/>
  </cols>
  <sheetData>
    <row r="1" spans="1:21" ht="45" customHeight="1" x14ac:dyDescent="0.2">
      <c r="A1" s="241" t="s">
        <v>1015</v>
      </c>
      <c r="B1" s="241" t="s">
        <v>1041</v>
      </c>
      <c r="C1" s="241" t="s">
        <v>1042</v>
      </c>
      <c r="D1" s="241" t="s">
        <v>1043</v>
      </c>
      <c r="E1" s="241" t="s">
        <v>1044</v>
      </c>
      <c r="F1" s="241" t="s">
        <v>1045</v>
      </c>
      <c r="G1" s="241" t="s">
        <v>1046</v>
      </c>
      <c r="H1" s="241" t="s">
        <v>1047</v>
      </c>
      <c r="I1" s="241" t="s">
        <v>1048</v>
      </c>
      <c r="J1" s="241" t="s">
        <v>1049</v>
      </c>
      <c r="K1" s="241" t="s">
        <v>1050</v>
      </c>
      <c r="L1" s="241" t="s">
        <v>1051</v>
      </c>
      <c r="M1" s="241" t="s">
        <v>1052</v>
      </c>
      <c r="O1" s="26" t="s">
        <v>1053</v>
      </c>
      <c r="P1" s="50" t="s">
        <v>1054</v>
      </c>
      <c r="Q1" s="51" t="s">
        <v>1055</v>
      </c>
      <c r="R1" s="51" t="s">
        <v>1056</v>
      </c>
      <c r="S1" s="52" t="s">
        <v>1057</v>
      </c>
      <c r="T1" s="52" t="s">
        <v>1058</v>
      </c>
      <c r="U1" s="210" t="s">
        <v>1059</v>
      </c>
    </row>
    <row r="2" spans="1:21" ht="16" x14ac:dyDescent="0.2">
      <c r="O2" s="26"/>
      <c r="P2" s="26"/>
      <c r="Q2" s="247" t="str">
        <f>IFERROR(SUM((SUMIFS('capacity data'!$G:$G,'capacity data'!$E:$E,"PO",'capacity data'!$B:$B,P2))-SUMIFS('capacity data'!$H:$H,'capacity data'!$E:$E,"PO",'capacity data'!$B:$B,P2))/SUMIFS('capacity data'!$G:$G,'capacity data'!$E:$E,"PO",'capacity data'!$B:$B,P2),"")</f>
        <v/>
      </c>
      <c r="R2" s="247" t="str">
        <f>IFERROR(SUM((SUMIFS('capacity data'!$G:$G,'capacity data'!$E:$E,"PSO",'capacity data'!$B:$B,P2))-SUMIFS('capacity data'!$H:$H,'capacity data'!$E:$E,"PSO",'capacity data'!$B:$B,P2))/SUMIFS('capacity data'!$G:$G,'capacity data'!$E:$E,"PSO",'capacity data'!$B:$B,P2),"")</f>
        <v/>
      </c>
      <c r="S2" s="24" t="str">
        <f>IFERROR((Q2-R2),"")</f>
        <v/>
      </c>
      <c r="T2" s="248" t="str">
        <f>IFERROR(SUMIFS('capacity data'!$L:$L,'capacity data'!$B:$B,P2,'capacity data'!$E:$E,"PSO")/SUMIFS('capacity data'!$G:$G,'capacity data'!$E:$E,"PSO",'capacity data'!$B:$B,P2),"")</f>
        <v/>
      </c>
      <c r="U2" s="248" t="str">
        <f>IFERROR(SUMIFS('capacity data'!$L:$L,'capacity data'!$B:$B,P2,'capacity data'!$E:$E,"TPO")/SUMIFS('capacity data'!$G:$G,'capacity data'!$E:$E,"TPO",'capacity data'!$B:$B,P2),"")</f>
        <v/>
      </c>
    </row>
    <row r="3" spans="1:21" ht="16" x14ac:dyDescent="0.2">
      <c r="O3" s="26" t="s">
        <v>1355</v>
      </c>
      <c r="P3" t="s">
        <v>37</v>
      </c>
      <c r="Q3" s="247" t="str">
        <f>IFERROR(SUM((SUMIFS('capacity data'!$G:$G,'capacity data'!$E:$E,"PO",'capacity data'!$B:$B,P3))-SUMIFS('capacity data'!$H:$H,'capacity data'!$E:$E,"PO",'capacity data'!$B:$B,P3))/SUMIFS('capacity data'!$G:$G,'capacity data'!$E:$E,"PO",'capacity data'!$B:$B,P3),"")</f>
        <v/>
      </c>
      <c r="R3" s="247" t="str">
        <f>IFERROR(SUM((SUMIFS('capacity data'!$G:$G,'capacity data'!$E:$E,"PSO",'capacity data'!$B:$B,P3))-SUMIFS('capacity data'!$H:$H,'capacity data'!$E:$E,"PSO",'capacity data'!$B:$B,P3))/SUMIFS('capacity data'!$G:$G,'capacity data'!$E:$E,"PSO",'capacity data'!$B:$B,P3),"")</f>
        <v/>
      </c>
      <c r="S3" s="24" t="str">
        <f>IFERROR((Q3-R3),"")</f>
        <v/>
      </c>
      <c r="T3" s="248" t="str">
        <f>IFERROR(SUMIFS('capacity data'!$L:$L,'capacity data'!$B:$B,P3,'capacity data'!$E:$E,"PSO")/SUMIFS('capacity data'!$G:$G,'capacity data'!$E:$E,"PSO",'capacity data'!$B:$B,P3),"")</f>
        <v/>
      </c>
      <c r="U3" s="248" t="str">
        <f>IFERROR(SUMIFS('capacity data'!$L:$L,'capacity data'!$B:$B,P3,'capacity data'!$E:$E,"TPO")/SUMIFS('capacity data'!$G:$G,'capacity data'!$E:$E,"TPO",'capacity data'!$B:$B,P3),"")</f>
        <v/>
      </c>
    </row>
    <row r="4" spans="1:21" ht="16" x14ac:dyDescent="0.2">
      <c r="O4" s="26" t="s">
        <v>1355</v>
      </c>
      <c r="P4" t="s">
        <v>71</v>
      </c>
      <c r="Q4" s="247" t="str">
        <f>IFERROR(SUM((SUMIFS('capacity data'!$G:$G,'capacity data'!$E:$E,"PO",'capacity data'!$B:$B,P4))-SUMIFS('capacity data'!$H:$H,'capacity data'!$E:$E,"PO",'capacity data'!$B:$B,P4))/SUMIFS('capacity data'!$G:$G,'capacity data'!$E:$E,"PO",'capacity data'!$B:$B,P4),"")</f>
        <v/>
      </c>
      <c r="R4" s="247" t="str">
        <f>IFERROR(SUM((SUMIFS('capacity data'!$G:$G,'capacity data'!$E:$E,"PSO",'capacity data'!$B:$B,P4))-SUMIFS('capacity data'!$H:$H,'capacity data'!$E:$E,"PSO",'capacity data'!$B:$B,P4))/SUMIFS('capacity data'!$G:$G,'capacity data'!$E:$E,"PSO",'capacity data'!$B:$B,P4),"")</f>
        <v/>
      </c>
      <c r="S4" s="24" t="str">
        <f>IFERROR((Q4-R4),"")</f>
        <v/>
      </c>
      <c r="T4" s="248" t="str">
        <f>IFERROR(SUMIFS('capacity data'!$L:$L,'capacity data'!$B:$B,P4,'capacity data'!$E:$E,"PSO")/SUMIFS('capacity data'!$G:$G,'capacity data'!$E:$E,"PSO",'capacity data'!$B:$B,P4),"")</f>
        <v/>
      </c>
      <c r="U4" s="248" t="str">
        <f>IFERROR(SUMIFS('capacity data'!$L:$L,'capacity data'!$B:$B,P4,'capacity data'!$E:$E,"TPO")/SUMIFS('capacity data'!$G:$G,'capacity data'!$E:$E,"TPO",'capacity data'!$B:$B,P4),"")</f>
        <v/>
      </c>
    </row>
    <row r="5" spans="1:21" ht="16" x14ac:dyDescent="0.2">
      <c r="O5" s="26" t="s">
        <v>1355</v>
      </c>
      <c r="P5" t="s">
        <v>102</v>
      </c>
      <c r="Q5" s="247" t="str">
        <f>IFERROR(SUM((SUMIFS('capacity data'!$G:$G,'capacity data'!$E:$E,"PO",'capacity data'!$B:$B,P5))-SUMIFS('capacity data'!$H:$H,'capacity data'!$E:$E,"PO",'capacity data'!$B:$B,P5))/SUMIFS('capacity data'!$G:$G,'capacity data'!$E:$E,"PO",'capacity data'!$B:$B,P5),"")</f>
        <v/>
      </c>
      <c r="R5" s="247" t="str">
        <f>IFERROR(SUM((SUMIFS('capacity data'!$G:$G,'capacity data'!$E:$E,"PSO",'capacity data'!$B:$B,P5))-SUMIFS('capacity data'!$H:$H,'capacity data'!$E:$E,"PSO",'capacity data'!$B:$B,P5))/SUMIFS('capacity data'!$G:$G,'capacity data'!$E:$E,"PSO",'capacity data'!$B:$B,P5),"")</f>
        <v/>
      </c>
      <c r="S5" s="24" t="str">
        <f t="shared" ref="S5:S68" si="0">IFERROR((Q5-R5),"")</f>
        <v/>
      </c>
      <c r="T5" s="248" t="str">
        <f>IFERROR(SUMIFS('capacity data'!$L:$L,'capacity data'!$B:$B,P5,'capacity data'!$E:$E,"PSO")/SUMIFS('capacity data'!$G:$G,'capacity data'!$E:$E,"PSO",'capacity data'!$B:$B,P5),"")</f>
        <v/>
      </c>
      <c r="U5" s="248" t="str">
        <f>IFERROR(SUMIFS('capacity data'!$L:$L,'capacity data'!$B:$B,P5,'capacity data'!$E:$E,"TPO")/SUMIFS('capacity data'!$G:$G,'capacity data'!$E:$E,"TPO",'capacity data'!$B:$B,P5),"")</f>
        <v/>
      </c>
    </row>
    <row r="6" spans="1:21" ht="16" x14ac:dyDescent="0.2">
      <c r="O6" s="26" t="s">
        <v>1355</v>
      </c>
      <c r="P6" t="s">
        <v>133</v>
      </c>
      <c r="Q6" s="247" t="str">
        <f>IFERROR(SUM((SUMIFS('capacity data'!$G:$G,'capacity data'!$E:$E,"PO",'capacity data'!$B:$B,P6))-SUMIFS('capacity data'!$H:$H,'capacity data'!$E:$E,"PO",'capacity data'!$B:$B,P6))/SUMIFS('capacity data'!$G:$G,'capacity data'!$E:$E,"PO",'capacity data'!$B:$B,P6),"")</f>
        <v/>
      </c>
      <c r="R6" s="247" t="str">
        <f>IFERROR(SUM((SUMIFS('capacity data'!$G:$G,'capacity data'!$E:$E,"PSO",'capacity data'!$B:$B,P6))-SUMIFS('capacity data'!$H:$H,'capacity data'!$E:$E,"PSO",'capacity data'!$B:$B,P6))/SUMIFS('capacity data'!$G:$G,'capacity data'!$E:$E,"PSO",'capacity data'!$B:$B,P6),"")</f>
        <v/>
      </c>
      <c r="S6" s="24" t="str">
        <f t="shared" si="0"/>
        <v/>
      </c>
      <c r="T6" s="248" t="str">
        <f>IFERROR(SUMIFS('capacity data'!$L:$L,'capacity data'!$B:$B,P6,'capacity data'!$E:$E,"PSO")/SUMIFS('capacity data'!$G:$G,'capacity data'!$E:$E,"PSO",'capacity data'!$B:$B,P6),"")</f>
        <v/>
      </c>
      <c r="U6" s="248" t="str">
        <f>IFERROR(SUMIFS('capacity data'!$L:$L,'capacity data'!$B:$B,P6,'capacity data'!$E:$E,"TPO")/SUMIFS('capacity data'!$G:$G,'capacity data'!$E:$E,"TPO",'capacity data'!$B:$B,P6),"")</f>
        <v/>
      </c>
    </row>
    <row r="7" spans="1:21" ht="16" x14ac:dyDescent="0.2">
      <c r="O7" s="26" t="s">
        <v>1355</v>
      </c>
      <c r="P7" t="s">
        <v>162</v>
      </c>
      <c r="Q7" s="247" t="str">
        <f>IFERROR(SUM((SUMIFS('capacity data'!$G:$G,'capacity data'!$E:$E,"PO",'capacity data'!$B:$B,P7))-SUMIFS('capacity data'!$H:$H,'capacity data'!$E:$E,"PO",'capacity data'!$B:$B,P7))/SUMIFS('capacity data'!$G:$G,'capacity data'!$E:$E,"PO",'capacity data'!$B:$B,P7),"")</f>
        <v/>
      </c>
      <c r="R7" s="247" t="str">
        <f>IFERROR(SUM((SUMIFS('capacity data'!$G:$G,'capacity data'!$E:$E,"PSO",'capacity data'!$B:$B,P7))-SUMIFS('capacity data'!$H:$H,'capacity data'!$E:$E,"PSO",'capacity data'!$B:$B,P7))/SUMIFS('capacity data'!$G:$G,'capacity data'!$E:$E,"PSO",'capacity data'!$B:$B,P7),"")</f>
        <v/>
      </c>
      <c r="S7" s="24" t="str">
        <f t="shared" si="0"/>
        <v/>
      </c>
      <c r="T7" s="248" t="str">
        <f>IFERROR(SUMIFS('capacity data'!$L:$L,'capacity data'!$B:$B,P7,'capacity data'!$E:$E,"PSO")/SUMIFS('capacity data'!$G:$G,'capacity data'!$E:$E,"PSO",'capacity data'!$B:$B,P7),"")</f>
        <v/>
      </c>
      <c r="U7" s="248" t="str">
        <f>IFERROR(SUMIFS('capacity data'!$L:$L,'capacity data'!$B:$B,P7,'capacity data'!$E:$E,"TPO")/SUMIFS('capacity data'!$G:$G,'capacity data'!$E:$E,"TPO",'capacity data'!$B:$B,P7),"")</f>
        <v/>
      </c>
    </row>
    <row r="8" spans="1:21" ht="16" x14ac:dyDescent="0.2">
      <c r="O8" s="26" t="s">
        <v>1355</v>
      </c>
      <c r="P8" t="s">
        <v>190</v>
      </c>
      <c r="Q8" s="247" t="str">
        <f>IFERROR(SUM((SUMIFS('capacity data'!$G:$G,'capacity data'!$E:$E,"PO",'capacity data'!$B:$B,P8))-SUMIFS('capacity data'!$H:$H,'capacity data'!$E:$E,"PO",'capacity data'!$B:$B,P8))/SUMIFS('capacity data'!$G:$G,'capacity data'!$E:$E,"PO",'capacity data'!$B:$B,P8),"")</f>
        <v/>
      </c>
      <c r="R8" s="247" t="str">
        <f>IFERROR(SUM((SUMIFS('capacity data'!$G:$G,'capacity data'!$E:$E,"PSO",'capacity data'!$B:$B,P8))-SUMIFS('capacity data'!$H:$H,'capacity data'!$E:$E,"PSO",'capacity data'!$B:$B,P8))/SUMIFS('capacity data'!$G:$G,'capacity data'!$E:$E,"PSO",'capacity data'!$B:$B,P8),"")</f>
        <v/>
      </c>
      <c r="S8" s="24" t="str">
        <f t="shared" si="0"/>
        <v/>
      </c>
      <c r="T8" s="248" t="str">
        <f>IFERROR(SUMIFS('capacity data'!$L:$L,'capacity data'!$B:$B,P8,'capacity data'!$E:$E,"PSO")/SUMIFS('capacity data'!$G:$G,'capacity data'!$E:$E,"PSO",'capacity data'!$B:$B,P8),"")</f>
        <v/>
      </c>
      <c r="U8" s="248" t="str">
        <f>IFERROR(SUMIFS('capacity data'!$L:$L,'capacity data'!$B:$B,P8,'capacity data'!$E:$E,"TPO")/SUMIFS('capacity data'!$G:$G,'capacity data'!$E:$E,"TPO",'capacity data'!$B:$B,P8),"")</f>
        <v/>
      </c>
    </row>
    <row r="9" spans="1:21" ht="16" x14ac:dyDescent="0.2">
      <c r="O9" s="26" t="s">
        <v>20</v>
      </c>
      <c r="P9" t="s">
        <v>38</v>
      </c>
      <c r="Q9" s="247" t="str">
        <f>IFERROR(SUM((SUMIFS('capacity data'!$G:$G,'capacity data'!$E:$E,"PO",'capacity data'!$B:$B,P9))-SUMIFS('capacity data'!$H:$H,'capacity data'!$E:$E,"PO",'capacity data'!$B:$B,P9))/SUMIFS('capacity data'!$G:$G,'capacity data'!$E:$E,"PO",'capacity data'!$B:$B,P9),"")</f>
        <v/>
      </c>
      <c r="R9" s="247" t="str">
        <f>IFERROR(SUM((SUMIFS('capacity data'!$G:$G,'capacity data'!$E:$E,"PSO",'capacity data'!$B:$B,P9))-SUMIFS('capacity data'!$H:$H,'capacity data'!$E:$E,"PSO",'capacity data'!$B:$B,P9))/SUMIFS('capacity data'!$G:$G,'capacity data'!$E:$E,"PSO",'capacity data'!$B:$B,P9),"")</f>
        <v/>
      </c>
      <c r="S9" s="24" t="str">
        <f t="shared" si="0"/>
        <v/>
      </c>
      <c r="T9" s="248" t="str">
        <f>IFERROR(SUMIFS('capacity data'!$L:$L,'capacity data'!$B:$B,P9,'capacity data'!$E:$E,"PSO")/SUMIFS('capacity data'!$G:$G,'capacity data'!$E:$E,"PSO",'capacity data'!$B:$B,P9),"")</f>
        <v/>
      </c>
      <c r="U9" s="248" t="str">
        <f>IFERROR(SUMIFS('capacity data'!$L:$L,'capacity data'!$B:$B,P9,'capacity data'!$E:$E,"TPO")/SUMIFS('capacity data'!$G:$G,'capacity data'!$E:$E,"TPO",'capacity data'!$B:$B,P9),"")</f>
        <v/>
      </c>
    </row>
    <row r="10" spans="1:21" ht="16" x14ac:dyDescent="0.2">
      <c r="O10" s="26" t="s">
        <v>20</v>
      </c>
      <c r="P10" t="s">
        <v>72</v>
      </c>
      <c r="Q10" s="247" t="str">
        <f>IFERROR(SUM((SUMIFS('capacity data'!$G:$G,'capacity data'!$E:$E,"PO",'capacity data'!$B:$B,P10))-SUMIFS('capacity data'!$H:$H,'capacity data'!$E:$E,"PO",'capacity data'!$B:$B,P10))/SUMIFS('capacity data'!$G:$G,'capacity data'!$E:$E,"PO",'capacity data'!$B:$B,P10),"")</f>
        <v/>
      </c>
      <c r="R10" s="247" t="str">
        <f>IFERROR(SUM((SUMIFS('capacity data'!$G:$G,'capacity data'!$E:$E,"PSO",'capacity data'!$B:$B,P10))-SUMIFS('capacity data'!$H:$H,'capacity data'!$E:$E,"PSO",'capacity data'!$B:$B,P10))/SUMIFS('capacity data'!$G:$G,'capacity data'!$E:$E,"PSO",'capacity data'!$B:$B,P10),"")</f>
        <v/>
      </c>
      <c r="S10" s="24" t="str">
        <f t="shared" si="0"/>
        <v/>
      </c>
      <c r="T10" s="248" t="str">
        <f>IFERROR(SUMIFS('capacity data'!$L:$L,'capacity data'!$B:$B,P10,'capacity data'!$E:$E,"PSO")/SUMIFS('capacity data'!$G:$G,'capacity data'!$E:$E,"PSO",'capacity data'!$B:$B,P10),"")</f>
        <v/>
      </c>
      <c r="U10" s="248" t="str">
        <f>IFERROR(SUMIFS('capacity data'!$L:$L,'capacity data'!$B:$B,P10,'capacity data'!$E:$E,"TPO")/SUMIFS('capacity data'!$G:$G,'capacity data'!$E:$E,"TPO",'capacity data'!$B:$B,P10),"")</f>
        <v/>
      </c>
    </row>
    <row r="11" spans="1:21" ht="16" x14ac:dyDescent="0.2">
      <c r="O11" s="26" t="s">
        <v>20</v>
      </c>
      <c r="P11" t="s">
        <v>103</v>
      </c>
      <c r="Q11" s="247" t="str">
        <f>IFERROR(SUM((SUMIFS('capacity data'!$G:$G,'capacity data'!$E:$E,"PO",'capacity data'!$B:$B,P11))-SUMIFS('capacity data'!$H:$H,'capacity data'!$E:$E,"PO",'capacity data'!$B:$B,P11))/SUMIFS('capacity data'!$G:$G,'capacity data'!$E:$E,"PO",'capacity data'!$B:$B,P11),"")</f>
        <v/>
      </c>
      <c r="R11" s="247" t="str">
        <f>IFERROR(SUM((SUMIFS('capacity data'!$G:$G,'capacity data'!$E:$E,"PSO",'capacity data'!$B:$B,P11))-SUMIFS('capacity data'!$H:$H,'capacity data'!$E:$E,"PSO",'capacity data'!$B:$B,P11))/SUMIFS('capacity data'!$G:$G,'capacity data'!$E:$E,"PSO",'capacity data'!$B:$B,P11),"")</f>
        <v/>
      </c>
      <c r="S11" s="24" t="str">
        <f t="shared" si="0"/>
        <v/>
      </c>
      <c r="T11" s="248" t="str">
        <f>IFERROR(SUMIFS('capacity data'!$L:$L,'capacity data'!$B:$B,P11,'capacity data'!$E:$E,"PSO")/SUMIFS('capacity data'!$G:$G,'capacity data'!$E:$E,"PSO",'capacity data'!$B:$B,P11),"")</f>
        <v/>
      </c>
      <c r="U11" s="248" t="str">
        <f>IFERROR(SUMIFS('capacity data'!$L:$L,'capacity data'!$B:$B,P11,'capacity data'!$E:$E,"TPO")/SUMIFS('capacity data'!$G:$G,'capacity data'!$E:$E,"TPO",'capacity data'!$B:$B,P11),"")</f>
        <v/>
      </c>
    </row>
    <row r="12" spans="1:21" ht="16" x14ac:dyDescent="0.2">
      <c r="O12" s="26" t="s">
        <v>20</v>
      </c>
      <c r="P12" t="s">
        <v>134</v>
      </c>
      <c r="Q12" s="247" t="str">
        <f>IFERROR(SUM((SUMIFS('capacity data'!$G:$G,'capacity data'!$E:$E,"PO",'capacity data'!$B:$B,P12))-SUMIFS('capacity data'!$H:$H,'capacity data'!$E:$E,"PO",'capacity data'!$B:$B,P12))/SUMIFS('capacity data'!$G:$G,'capacity data'!$E:$E,"PO",'capacity data'!$B:$B,P12),"")</f>
        <v/>
      </c>
      <c r="R12" s="247" t="str">
        <f>IFERROR(SUM((SUMIFS('capacity data'!$G:$G,'capacity data'!$E:$E,"PSO",'capacity data'!$B:$B,P12))-SUMIFS('capacity data'!$H:$H,'capacity data'!$E:$E,"PSO",'capacity data'!$B:$B,P12))/SUMIFS('capacity data'!$G:$G,'capacity data'!$E:$E,"PSO",'capacity data'!$B:$B,P12),"")</f>
        <v/>
      </c>
      <c r="S12" s="24" t="str">
        <f t="shared" si="0"/>
        <v/>
      </c>
      <c r="T12" s="248" t="str">
        <f>IFERROR(SUMIFS('capacity data'!$L:$L,'capacity data'!$B:$B,P12,'capacity data'!$E:$E,"PSO")/SUMIFS('capacity data'!$G:$G,'capacity data'!$E:$E,"PSO",'capacity data'!$B:$B,P12),"")</f>
        <v/>
      </c>
      <c r="U12" s="248" t="str">
        <f>IFERROR(SUMIFS('capacity data'!$L:$L,'capacity data'!$B:$B,P12,'capacity data'!$E:$E,"TPO")/SUMIFS('capacity data'!$G:$G,'capacity data'!$E:$E,"TPO",'capacity data'!$B:$B,P12),"")</f>
        <v/>
      </c>
    </row>
    <row r="13" spans="1:21" ht="16" x14ac:dyDescent="0.2">
      <c r="O13" s="26" t="s">
        <v>20</v>
      </c>
      <c r="P13" t="s">
        <v>163</v>
      </c>
      <c r="Q13" s="247" t="str">
        <f>IFERROR(SUM((SUMIFS('capacity data'!$G:$G,'capacity data'!$E:$E,"PO",'capacity data'!$B:$B,P13))-SUMIFS('capacity data'!$H:$H,'capacity data'!$E:$E,"PO",'capacity data'!$B:$B,P13))/SUMIFS('capacity data'!$G:$G,'capacity data'!$E:$E,"PO",'capacity data'!$B:$B,P13),"")</f>
        <v/>
      </c>
      <c r="R13" s="247" t="str">
        <f>IFERROR(SUM((SUMIFS('capacity data'!$G:$G,'capacity data'!$E:$E,"PSO",'capacity data'!$B:$B,P13))-SUMIFS('capacity data'!$H:$H,'capacity data'!$E:$E,"PSO",'capacity data'!$B:$B,P13))/SUMIFS('capacity data'!$G:$G,'capacity data'!$E:$E,"PSO",'capacity data'!$B:$B,P13),"")</f>
        <v/>
      </c>
      <c r="S13" s="24" t="str">
        <f t="shared" si="0"/>
        <v/>
      </c>
      <c r="T13" s="248" t="str">
        <f>IFERROR(SUMIFS('capacity data'!$L:$L,'capacity data'!$B:$B,P13,'capacity data'!$E:$E,"PSO")/SUMIFS('capacity data'!$G:$G,'capacity data'!$E:$E,"PSO",'capacity data'!$B:$B,P13),"")</f>
        <v/>
      </c>
      <c r="U13" s="248" t="str">
        <f>IFERROR(SUMIFS('capacity data'!$L:$L,'capacity data'!$B:$B,P13,'capacity data'!$E:$E,"TPO")/SUMIFS('capacity data'!$G:$G,'capacity data'!$E:$E,"TPO",'capacity data'!$B:$B,P13),"")</f>
        <v/>
      </c>
    </row>
    <row r="14" spans="1:21" ht="16" x14ac:dyDescent="0.2">
      <c r="O14" s="26" t="s">
        <v>20</v>
      </c>
      <c r="P14" t="s">
        <v>191</v>
      </c>
      <c r="Q14" s="247" t="str">
        <f>IFERROR(SUM((SUMIFS('capacity data'!$G:$G,'capacity data'!$E:$E,"PO",'capacity data'!$B:$B,P14))-SUMIFS('capacity data'!$H:$H,'capacity data'!$E:$E,"PO",'capacity data'!$B:$B,P14))/SUMIFS('capacity data'!$G:$G,'capacity data'!$E:$E,"PO",'capacity data'!$B:$B,P14),"")</f>
        <v/>
      </c>
      <c r="R14" s="247" t="str">
        <f>IFERROR(SUM((SUMIFS('capacity data'!$G:$G,'capacity data'!$E:$E,"PSO",'capacity data'!$B:$B,P14))-SUMIFS('capacity data'!$H:$H,'capacity data'!$E:$E,"PSO",'capacity data'!$B:$B,P14))/SUMIFS('capacity data'!$G:$G,'capacity data'!$E:$E,"PSO",'capacity data'!$B:$B,P14),"")</f>
        <v/>
      </c>
      <c r="S14" s="24" t="str">
        <f t="shared" si="0"/>
        <v/>
      </c>
      <c r="T14" s="248" t="str">
        <f>IFERROR(SUMIFS('capacity data'!$L:$L,'capacity data'!$B:$B,P14,'capacity data'!$E:$E,"PSO")/SUMIFS('capacity data'!$G:$G,'capacity data'!$E:$E,"PSO",'capacity data'!$B:$B,P14),"")</f>
        <v/>
      </c>
      <c r="U14" s="248" t="str">
        <f>IFERROR(SUMIFS('capacity data'!$L:$L,'capacity data'!$B:$B,P14,'capacity data'!$E:$E,"TPO")/SUMIFS('capacity data'!$G:$G,'capacity data'!$E:$E,"TPO",'capacity data'!$B:$B,P14),"")</f>
        <v/>
      </c>
    </row>
    <row r="15" spans="1:21" ht="16" x14ac:dyDescent="0.2">
      <c r="O15" s="26" t="s">
        <v>20</v>
      </c>
      <c r="P15" t="s">
        <v>217</v>
      </c>
      <c r="Q15" s="247" t="str">
        <f>IFERROR(SUM((SUMIFS('capacity data'!$G:$G,'capacity data'!$E:$E,"PO",'capacity data'!$B:$B,P15))-SUMIFS('capacity data'!$H:$H,'capacity data'!$E:$E,"PO",'capacity data'!$B:$B,P15))/SUMIFS('capacity data'!$G:$G,'capacity data'!$E:$E,"PO",'capacity data'!$B:$B,P15),"")</f>
        <v/>
      </c>
      <c r="R15" s="247" t="str">
        <f>IFERROR(SUM((SUMIFS('capacity data'!$G:$G,'capacity data'!$E:$E,"PSO",'capacity data'!$B:$B,P15))-SUMIFS('capacity data'!$H:$H,'capacity data'!$E:$E,"PSO",'capacity data'!$B:$B,P15))/SUMIFS('capacity data'!$G:$G,'capacity data'!$E:$E,"PSO",'capacity data'!$B:$B,P15),"")</f>
        <v/>
      </c>
      <c r="S15" s="24" t="str">
        <f t="shared" si="0"/>
        <v/>
      </c>
      <c r="T15" s="248" t="str">
        <f>IFERROR(SUMIFS('capacity data'!$L:$L,'capacity data'!$B:$B,P15,'capacity data'!$E:$E,"PSO")/SUMIFS('capacity data'!$G:$G,'capacity data'!$E:$E,"PSO",'capacity data'!$B:$B,P15),"")</f>
        <v/>
      </c>
      <c r="U15" s="248" t="str">
        <f>IFERROR(SUMIFS('capacity data'!$L:$L,'capacity data'!$B:$B,P15,'capacity data'!$E:$E,"TPO")/SUMIFS('capacity data'!$G:$G,'capacity data'!$E:$E,"TPO",'capacity data'!$B:$B,P15),"")</f>
        <v/>
      </c>
    </row>
    <row r="16" spans="1:21" ht="16" x14ac:dyDescent="0.2">
      <c r="O16" s="26" t="s">
        <v>20</v>
      </c>
      <c r="P16" t="s">
        <v>242</v>
      </c>
      <c r="Q16" s="247" t="str">
        <f>IFERROR(SUM((SUMIFS('capacity data'!$G:$G,'capacity data'!$E:$E,"PO",'capacity data'!$B:$B,P16))-SUMIFS('capacity data'!$H:$H,'capacity data'!$E:$E,"PO",'capacity data'!$B:$B,P16))/SUMIFS('capacity data'!$G:$G,'capacity data'!$E:$E,"PO",'capacity data'!$B:$B,P16),"")</f>
        <v/>
      </c>
      <c r="R16" s="247" t="str">
        <f>IFERROR(SUM((SUMIFS('capacity data'!$G:$G,'capacity data'!$E:$E,"PSO",'capacity data'!$B:$B,P16))-SUMIFS('capacity data'!$H:$H,'capacity data'!$E:$E,"PSO",'capacity data'!$B:$B,P16))/SUMIFS('capacity data'!$G:$G,'capacity data'!$E:$E,"PSO",'capacity data'!$B:$B,P16),"")</f>
        <v/>
      </c>
      <c r="S16" s="24" t="str">
        <f t="shared" si="0"/>
        <v/>
      </c>
      <c r="T16" s="248" t="str">
        <f>IFERROR(SUMIFS('capacity data'!$L:$L,'capacity data'!$B:$B,P16,'capacity data'!$E:$E,"PSO")/SUMIFS('capacity data'!$G:$G,'capacity data'!$E:$E,"PSO",'capacity data'!$B:$B,P16),"")</f>
        <v/>
      </c>
      <c r="U16" s="248" t="str">
        <f>IFERROR(SUMIFS('capacity data'!$L:$L,'capacity data'!$B:$B,P16,'capacity data'!$E:$E,"TPO")/SUMIFS('capacity data'!$G:$G,'capacity data'!$E:$E,"TPO",'capacity data'!$B:$B,P16),"")</f>
        <v/>
      </c>
    </row>
    <row r="17" spans="15:21" ht="16" x14ac:dyDescent="0.2">
      <c r="O17" s="26" t="s">
        <v>20</v>
      </c>
      <c r="P17" t="s">
        <v>266</v>
      </c>
      <c r="Q17" s="247" t="str">
        <f>IFERROR(SUM((SUMIFS('capacity data'!$G:$G,'capacity data'!$E:$E,"PO",'capacity data'!$B:$B,P17))-SUMIFS('capacity data'!$H:$H,'capacity data'!$E:$E,"PO",'capacity data'!$B:$B,P17))/SUMIFS('capacity data'!$G:$G,'capacity data'!$E:$E,"PO",'capacity data'!$B:$B,P17),"")</f>
        <v/>
      </c>
      <c r="R17" s="247" t="str">
        <f>IFERROR(SUM((SUMIFS('capacity data'!$G:$G,'capacity data'!$E:$E,"PSO",'capacity data'!$B:$B,P17))-SUMIFS('capacity data'!$H:$H,'capacity data'!$E:$E,"PSO",'capacity data'!$B:$B,P17))/SUMIFS('capacity data'!$G:$G,'capacity data'!$E:$E,"PSO",'capacity data'!$B:$B,P17),"")</f>
        <v/>
      </c>
      <c r="S17" s="24" t="str">
        <f t="shared" si="0"/>
        <v/>
      </c>
      <c r="T17" s="248" t="str">
        <f>IFERROR(SUMIFS('capacity data'!$L:$L,'capacity data'!$B:$B,P17,'capacity data'!$E:$E,"PSO")/SUMIFS('capacity data'!$G:$G,'capacity data'!$E:$E,"PSO",'capacity data'!$B:$B,P17),"")</f>
        <v/>
      </c>
      <c r="U17" s="248" t="str">
        <f>IFERROR(SUMIFS('capacity data'!$L:$L,'capacity data'!$B:$B,P17,'capacity data'!$E:$E,"TPO")/SUMIFS('capacity data'!$G:$G,'capacity data'!$E:$E,"TPO",'capacity data'!$B:$B,P17),"")</f>
        <v/>
      </c>
    </row>
    <row r="18" spans="15:21" ht="16" x14ac:dyDescent="0.2">
      <c r="O18" s="26" t="s">
        <v>20</v>
      </c>
      <c r="P18" t="s">
        <v>289</v>
      </c>
      <c r="Q18" s="247" t="str">
        <f>IFERROR(SUM((SUMIFS('capacity data'!$G:$G,'capacity data'!$E:$E,"PO",'capacity data'!$B:$B,P18))-SUMIFS('capacity data'!$H:$H,'capacity data'!$E:$E,"PO",'capacity data'!$B:$B,P18))/SUMIFS('capacity data'!$G:$G,'capacity data'!$E:$E,"PO",'capacity data'!$B:$B,P18),"")</f>
        <v/>
      </c>
      <c r="R18" s="247" t="str">
        <f>IFERROR(SUM((SUMIFS('capacity data'!$G:$G,'capacity data'!$E:$E,"PSO",'capacity data'!$B:$B,P18))-SUMIFS('capacity data'!$H:$H,'capacity data'!$E:$E,"PSO",'capacity data'!$B:$B,P18))/SUMIFS('capacity data'!$G:$G,'capacity data'!$E:$E,"PSO",'capacity data'!$B:$B,P18),"")</f>
        <v/>
      </c>
      <c r="S18" s="24" t="str">
        <f t="shared" si="0"/>
        <v/>
      </c>
      <c r="T18" s="248" t="str">
        <f>IFERROR(SUMIFS('capacity data'!$L:$L,'capacity data'!$B:$B,P18,'capacity data'!$E:$E,"PSO")/SUMIFS('capacity data'!$G:$G,'capacity data'!$E:$E,"PSO",'capacity data'!$B:$B,P18),"")</f>
        <v/>
      </c>
      <c r="U18" s="248" t="str">
        <f>IFERROR(SUMIFS('capacity data'!$L:$L,'capacity data'!$B:$B,P18,'capacity data'!$E:$E,"TPO")/SUMIFS('capacity data'!$G:$G,'capacity data'!$E:$E,"TPO",'capacity data'!$B:$B,P18),"")</f>
        <v/>
      </c>
    </row>
    <row r="19" spans="15:21" ht="16" x14ac:dyDescent="0.2">
      <c r="O19" s="26" t="s">
        <v>20</v>
      </c>
      <c r="P19" t="s">
        <v>311</v>
      </c>
      <c r="Q19" s="247" t="str">
        <f>IFERROR(SUM((SUMIFS('capacity data'!$G:$G,'capacity data'!$E:$E,"PO",'capacity data'!$B:$B,P19))-SUMIFS('capacity data'!$H:$H,'capacity data'!$E:$E,"PO",'capacity data'!$B:$B,P19))/SUMIFS('capacity data'!$G:$G,'capacity data'!$E:$E,"PO",'capacity data'!$B:$B,P19),"")</f>
        <v/>
      </c>
      <c r="R19" s="247" t="str">
        <f>IFERROR(SUM((SUMIFS('capacity data'!$G:$G,'capacity data'!$E:$E,"PSO",'capacity data'!$B:$B,P19))-SUMIFS('capacity data'!$H:$H,'capacity data'!$E:$E,"PSO",'capacity data'!$B:$B,P19))/SUMIFS('capacity data'!$G:$G,'capacity data'!$E:$E,"PSO",'capacity data'!$B:$B,P19),"")</f>
        <v/>
      </c>
      <c r="S19" s="24" t="str">
        <f t="shared" si="0"/>
        <v/>
      </c>
      <c r="T19" s="248" t="str">
        <f>IFERROR(SUMIFS('capacity data'!$L:$L,'capacity data'!$B:$B,P19,'capacity data'!$E:$E,"PSO")/SUMIFS('capacity data'!$G:$G,'capacity data'!$E:$E,"PSO",'capacity data'!$B:$B,P19),"")</f>
        <v/>
      </c>
      <c r="U19" s="248" t="str">
        <f>IFERROR(SUMIFS('capacity data'!$L:$L,'capacity data'!$B:$B,P19,'capacity data'!$E:$E,"TPO")/SUMIFS('capacity data'!$G:$G,'capacity data'!$E:$E,"TPO",'capacity data'!$B:$B,P19),"")</f>
        <v/>
      </c>
    </row>
    <row r="20" spans="15:21" ht="16" x14ac:dyDescent="0.2">
      <c r="O20" s="26" t="s">
        <v>20</v>
      </c>
      <c r="P20" t="s">
        <v>333</v>
      </c>
      <c r="Q20" s="247" t="str">
        <f>IFERROR(SUM((SUMIFS('capacity data'!$G:$G,'capacity data'!$E:$E,"PO",'capacity data'!$B:$B,P20))-SUMIFS('capacity data'!$H:$H,'capacity data'!$E:$E,"PO",'capacity data'!$B:$B,P20))/SUMIFS('capacity data'!$G:$G,'capacity data'!$E:$E,"PO",'capacity data'!$B:$B,P20),"")</f>
        <v/>
      </c>
      <c r="R20" s="247" t="str">
        <f>IFERROR(SUM((SUMIFS('capacity data'!$G:$G,'capacity data'!$E:$E,"PSO",'capacity data'!$B:$B,P20))-SUMIFS('capacity data'!$H:$H,'capacity data'!$E:$E,"PSO",'capacity data'!$B:$B,P20))/SUMIFS('capacity data'!$G:$G,'capacity data'!$E:$E,"PSO",'capacity data'!$B:$B,P20),"")</f>
        <v/>
      </c>
      <c r="S20" s="24" t="str">
        <f t="shared" si="0"/>
        <v/>
      </c>
      <c r="T20" s="248" t="str">
        <f>IFERROR(SUMIFS('capacity data'!$L:$L,'capacity data'!$B:$B,P20,'capacity data'!$E:$E,"PSO")/SUMIFS('capacity data'!$G:$G,'capacity data'!$E:$E,"PSO",'capacity data'!$B:$B,P20),"")</f>
        <v/>
      </c>
      <c r="U20" s="248" t="str">
        <f>IFERROR(SUMIFS('capacity data'!$L:$L,'capacity data'!$B:$B,P20,'capacity data'!$E:$E,"TPO")/SUMIFS('capacity data'!$G:$G,'capacity data'!$E:$E,"TPO",'capacity data'!$B:$B,P20),"")</f>
        <v/>
      </c>
    </row>
    <row r="21" spans="15:21" ht="16" x14ac:dyDescent="0.2">
      <c r="O21" s="26" t="s">
        <v>20</v>
      </c>
      <c r="P21" t="s">
        <v>353</v>
      </c>
      <c r="Q21" s="247" t="str">
        <f>IFERROR(SUM((SUMIFS('capacity data'!$G:$G,'capacity data'!$E:$E,"PO",'capacity data'!$B:$B,P21))-SUMIFS('capacity data'!$H:$H,'capacity data'!$E:$E,"PO",'capacity data'!$B:$B,P21))/SUMIFS('capacity data'!$G:$G,'capacity data'!$E:$E,"PO",'capacity data'!$B:$B,P21),"")</f>
        <v/>
      </c>
      <c r="R21" s="247" t="str">
        <f>IFERROR(SUM((SUMIFS('capacity data'!$G:$G,'capacity data'!$E:$E,"PSO",'capacity data'!$B:$B,P21))-SUMIFS('capacity data'!$H:$H,'capacity data'!$E:$E,"PSO",'capacity data'!$B:$B,P21))/SUMIFS('capacity data'!$G:$G,'capacity data'!$E:$E,"PSO",'capacity data'!$B:$B,P21),"")</f>
        <v/>
      </c>
      <c r="S21" s="24" t="str">
        <f t="shared" si="0"/>
        <v/>
      </c>
      <c r="T21" s="248" t="str">
        <f>IFERROR(SUMIFS('capacity data'!$L:$L,'capacity data'!$B:$B,P21,'capacity data'!$E:$E,"PSO")/SUMIFS('capacity data'!$G:$G,'capacity data'!$E:$E,"PSO",'capacity data'!$B:$B,P21),"")</f>
        <v/>
      </c>
      <c r="U21" s="248" t="str">
        <f>IFERROR(SUMIFS('capacity data'!$L:$L,'capacity data'!$B:$B,P21,'capacity data'!$E:$E,"TPO")/SUMIFS('capacity data'!$G:$G,'capacity data'!$E:$E,"TPO",'capacity data'!$B:$B,P21),"")</f>
        <v/>
      </c>
    </row>
    <row r="22" spans="15:21" ht="16" x14ac:dyDescent="0.2">
      <c r="O22" s="26" t="s">
        <v>20</v>
      </c>
      <c r="P22" t="s">
        <v>372</v>
      </c>
      <c r="Q22" s="247" t="str">
        <f>IFERROR(SUM((SUMIFS('capacity data'!$G:$G,'capacity data'!$E:$E,"PO",'capacity data'!$B:$B,P22))-SUMIFS('capacity data'!$H:$H,'capacity data'!$E:$E,"PO",'capacity data'!$B:$B,P22))/SUMIFS('capacity data'!$G:$G,'capacity data'!$E:$E,"PO",'capacity data'!$B:$B,P22),"")</f>
        <v/>
      </c>
      <c r="R22" s="247" t="str">
        <f>IFERROR(SUM((SUMIFS('capacity data'!$G:$G,'capacity data'!$E:$E,"PSO",'capacity data'!$B:$B,P22))-SUMIFS('capacity data'!$H:$H,'capacity data'!$E:$E,"PSO",'capacity data'!$B:$B,P22))/SUMIFS('capacity data'!$G:$G,'capacity data'!$E:$E,"PSO",'capacity data'!$B:$B,P22),"")</f>
        <v/>
      </c>
      <c r="S22" s="24" t="str">
        <f t="shared" si="0"/>
        <v/>
      </c>
      <c r="T22" s="248" t="str">
        <f>IFERROR(SUMIFS('capacity data'!$L:$L,'capacity data'!$B:$B,P22,'capacity data'!$E:$E,"PSO")/SUMIFS('capacity data'!$G:$G,'capacity data'!$E:$E,"PSO",'capacity data'!$B:$B,P22),"")</f>
        <v/>
      </c>
      <c r="U22" s="248" t="str">
        <f>IFERROR(SUMIFS('capacity data'!$L:$L,'capacity data'!$B:$B,P22,'capacity data'!$E:$E,"TPO")/SUMIFS('capacity data'!$G:$G,'capacity data'!$E:$E,"TPO",'capacity data'!$B:$B,P22),"")</f>
        <v/>
      </c>
    </row>
    <row r="23" spans="15:21" ht="16" x14ac:dyDescent="0.2">
      <c r="O23" s="26" t="s">
        <v>20</v>
      </c>
      <c r="P23" t="s">
        <v>389</v>
      </c>
      <c r="Q23" s="247" t="str">
        <f>IFERROR(SUM((SUMIFS('capacity data'!$G:$G,'capacity data'!$E:$E,"PO",'capacity data'!$B:$B,P23))-SUMIFS('capacity data'!$H:$H,'capacity data'!$E:$E,"PO",'capacity data'!$B:$B,P23))/SUMIFS('capacity data'!$G:$G,'capacity data'!$E:$E,"PO",'capacity data'!$B:$B,P23),"")</f>
        <v/>
      </c>
      <c r="R23" s="247" t="str">
        <f>IFERROR(SUM((SUMIFS('capacity data'!$G:$G,'capacity data'!$E:$E,"PSO",'capacity data'!$B:$B,P23))-SUMIFS('capacity data'!$H:$H,'capacity data'!$E:$E,"PSO",'capacity data'!$B:$B,P23))/SUMIFS('capacity data'!$G:$G,'capacity data'!$E:$E,"PSO",'capacity data'!$B:$B,P23),"")</f>
        <v/>
      </c>
      <c r="S23" s="24" t="str">
        <f t="shared" si="0"/>
        <v/>
      </c>
      <c r="T23" s="248" t="str">
        <f>IFERROR(SUMIFS('capacity data'!$L:$L,'capacity data'!$B:$B,P23,'capacity data'!$E:$E,"PSO")/SUMIFS('capacity data'!$G:$G,'capacity data'!$E:$E,"PSO",'capacity data'!$B:$B,P23),"")</f>
        <v/>
      </c>
      <c r="U23" s="248" t="str">
        <f>IFERROR(SUMIFS('capacity data'!$L:$L,'capacity data'!$B:$B,P23,'capacity data'!$E:$E,"TPO")/SUMIFS('capacity data'!$G:$G,'capacity data'!$E:$E,"TPO",'capacity data'!$B:$B,P23),"")</f>
        <v/>
      </c>
    </row>
    <row r="24" spans="15:21" ht="16" x14ac:dyDescent="0.2">
      <c r="O24" s="26" t="s">
        <v>21</v>
      </c>
      <c r="P24" t="s">
        <v>39</v>
      </c>
      <c r="Q24" s="247" t="str">
        <f>IFERROR(SUM((SUMIFS('capacity data'!$G:$G,'capacity data'!$E:$E,"PO",'capacity data'!$B:$B,P24))-SUMIFS('capacity data'!$H:$H,'capacity data'!$E:$E,"PO",'capacity data'!$B:$B,P24))/SUMIFS('capacity data'!$G:$G,'capacity data'!$E:$E,"PO",'capacity data'!$B:$B,P24),"")</f>
        <v/>
      </c>
      <c r="R24" s="247" t="str">
        <f>IFERROR(SUM((SUMIFS('capacity data'!$G:$G,'capacity data'!$E:$E,"PSO",'capacity data'!$B:$B,P24))-SUMIFS('capacity data'!$H:$H,'capacity data'!$E:$E,"PSO",'capacity data'!$B:$B,P24))/SUMIFS('capacity data'!$G:$G,'capacity data'!$E:$E,"PSO",'capacity data'!$B:$B,P24),"")</f>
        <v/>
      </c>
      <c r="S24" s="24" t="str">
        <f t="shared" si="0"/>
        <v/>
      </c>
      <c r="T24" s="248" t="str">
        <f>IFERROR(SUMIFS('capacity data'!$L:$L,'capacity data'!$B:$B,P24,'capacity data'!$E:$E,"PSO")/SUMIFS('capacity data'!$G:$G,'capacity data'!$E:$E,"PSO",'capacity data'!$B:$B,P24),"")</f>
        <v/>
      </c>
      <c r="U24" s="248" t="str">
        <f>IFERROR(SUMIFS('capacity data'!$L:$L,'capacity data'!$B:$B,P24,'capacity data'!$E:$E,"TPO")/SUMIFS('capacity data'!$G:$G,'capacity data'!$E:$E,"TPO",'capacity data'!$B:$B,P24),"")</f>
        <v/>
      </c>
    </row>
    <row r="25" spans="15:21" ht="16" x14ac:dyDescent="0.2">
      <c r="O25" s="26" t="s">
        <v>21</v>
      </c>
      <c r="P25" t="s">
        <v>73</v>
      </c>
      <c r="Q25" s="247" t="str">
        <f>IFERROR(SUM((SUMIFS('capacity data'!$G:$G,'capacity data'!$E:$E,"PO",'capacity data'!$B:$B,P25))-SUMIFS('capacity data'!$H:$H,'capacity data'!$E:$E,"PO",'capacity data'!$B:$B,P25))/SUMIFS('capacity data'!$G:$G,'capacity data'!$E:$E,"PO",'capacity data'!$B:$B,P25),"")</f>
        <v/>
      </c>
      <c r="R25" s="247" t="str">
        <f>IFERROR(SUM((SUMIFS('capacity data'!$G:$G,'capacity data'!$E:$E,"PSO",'capacity data'!$B:$B,P25))-SUMIFS('capacity data'!$H:$H,'capacity data'!$E:$E,"PSO",'capacity data'!$B:$B,P25))/SUMIFS('capacity data'!$G:$G,'capacity data'!$E:$E,"PSO",'capacity data'!$B:$B,P25),"")</f>
        <v/>
      </c>
      <c r="S25" s="24" t="str">
        <f t="shared" si="0"/>
        <v/>
      </c>
      <c r="T25" s="248" t="str">
        <f>IFERROR(SUMIFS('capacity data'!$L:$L,'capacity data'!$B:$B,P25,'capacity data'!$E:$E,"PSO")/SUMIFS('capacity data'!$G:$G,'capacity data'!$E:$E,"PSO",'capacity data'!$B:$B,P25),"")</f>
        <v/>
      </c>
      <c r="U25" s="248" t="str">
        <f>IFERROR(SUMIFS('capacity data'!$L:$L,'capacity data'!$B:$B,P25,'capacity data'!$E:$E,"TPO")/SUMIFS('capacity data'!$G:$G,'capacity data'!$E:$E,"TPO",'capacity data'!$B:$B,P25),"")</f>
        <v/>
      </c>
    </row>
    <row r="26" spans="15:21" ht="16" x14ac:dyDescent="0.2">
      <c r="O26" s="26" t="s">
        <v>21</v>
      </c>
      <c r="P26" t="s">
        <v>104</v>
      </c>
      <c r="Q26" s="247" t="str">
        <f>IFERROR(SUM((SUMIFS('capacity data'!$G:$G,'capacity data'!$E:$E,"PO",'capacity data'!$B:$B,P26))-SUMIFS('capacity data'!$H:$H,'capacity data'!$E:$E,"PO",'capacity data'!$B:$B,P26))/SUMIFS('capacity data'!$G:$G,'capacity data'!$E:$E,"PO",'capacity data'!$B:$B,P26),"")</f>
        <v/>
      </c>
      <c r="R26" s="247" t="str">
        <f>IFERROR(SUM((SUMIFS('capacity data'!$G:$G,'capacity data'!$E:$E,"PSO",'capacity data'!$B:$B,P26))-SUMIFS('capacity data'!$H:$H,'capacity data'!$E:$E,"PSO",'capacity data'!$B:$B,P26))/SUMIFS('capacity data'!$G:$G,'capacity data'!$E:$E,"PSO",'capacity data'!$B:$B,P26),"")</f>
        <v/>
      </c>
      <c r="S26" s="24" t="str">
        <f t="shared" si="0"/>
        <v/>
      </c>
      <c r="T26" s="248" t="str">
        <f>IFERROR(SUMIFS('capacity data'!$L:$L,'capacity data'!$B:$B,P26,'capacity data'!$E:$E,"PSO")/SUMIFS('capacity data'!$G:$G,'capacity data'!$E:$E,"PSO",'capacity data'!$B:$B,P26),"")</f>
        <v/>
      </c>
      <c r="U26" s="248" t="str">
        <f>IFERROR(SUMIFS('capacity data'!$L:$L,'capacity data'!$B:$B,P26,'capacity data'!$E:$E,"TPO")/SUMIFS('capacity data'!$G:$G,'capacity data'!$E:$E,"TPO",'capacity data'!$B:$B,P26),"")</f>
        <v/>
      </c>
    </row>
    <row r="27" spans="15:21" ht="16" x14ac:dyDescent="0.2">
      <c r="O27" s="26" t="s">
        <v>21</v>
      </c>
      <c r="P27" t="s">
        <v>135</v>
      </c>
      <c r="Q27" s="247" t="str">
        <f>IFERROR(SUM((SUMIFS('capacity data'!$G:$G,'capacity data'!$E:$E,"PO",'capacity data'!$B:$B,P27))-SUMIFS('capacity data'!$H:$H,'capacity data'!$E:$E,"PO",'capacity data'!$B:$B,P27))/SUMIFS('capacity data'!$G:$G,'capacity data'!$E:$E,"PO",'capacity data'!$B:$B,P27),"")</f>
        <v/>
      </c>
      <c r="R27" s="247" t="str">
        <f>IFERROR(SUM((SUMIFS('capacity data'!$G:$G,'capacity data'!$E:$E,"PSO",'capacity data'!$B:$B,P27))-SUMIFS('capacity data'!$H:$H,'capacity data'!$E:$E,"PSO",'capacity data'!$B:$B,P27))/SUMIFS('capacity data'!$G:$G,'capacity data'!$E:$E,"PSO",'capacity data'!$B:$B,P27),"")</f>
        <v/>
      </c>
      <c r="S27" s="24" t="str">
        <f t="shared" si="0"/>
        <v/>
      </c>
      <c r="T27" s="248" t="str">
        <f>IFERROR(SUMIFS('capacity data'!$L:$L,'capacity data'!$B:$B,P27,'capacity data'!$E:$E,"PSO")/SUMIFS('capacity data'!$G:$G,'capacity data'!$E:$E,"PSO",'capacity data'!$B:$B,P27),"")</f>
        <v/>
      </c>
      <c r="U27" s="248" t="str">
        <f>IFERROR(SUMIFS('capacity data'!$L:$L,'capacity data'!$B:$B,P27,'capacity data'!$E:$E,"TPO")/SUMIFS('capacity data'!$G:$G,'capacity data'!$E:$E,"TPO",'capacity data'!$B:$B,P27),"")</f>
        <v/>
      </c>
    </row>
    <row r="28" spans="15:21" ht="16" x14ac:dyDescent="0.2">
      <c r="O28" s="26" t="s">
        <v>21</v>
      </c>
      <c r="P28" t="s">
        <v>164</v>
      </c>
      <c r="Q28" s="247" t="str">
        <f>IFERROR(SUM((SUMIFS('capacity data'!$G:$G,'capacity data'!$E:$E,"PO",'capacity data'!$B:$B,P28))-SUMIFS('capacity data'!$H:$H,'capacity data'!$E:$E,"PO",'capacity data'!$B:$B,P28))/SUMIFS('capacity data'!$G:$G,'capacity data'!$E:$E,"PO",'capacity data'!$B:$B,P28),"")</f>
        <v/>
      </c>
      <c r="R28" s="247" t="str">
        <f>IFERROR(SUM((SUMIFS('capacity data'!$G:$G,'capacity data'!$E:$E,"PSO",'capacity data'!$B:$B,P28))-SUMIFS('capacity data'!$H:$H,'capacity data'!$E:$E,"PSO",'capacity data'!$B:$B,P28))/SUMIFS('capacity data'!$G:$G,'capacity data'!$E:$E,"PSO",'capacity data'!$B:$B,P28),"")</f>
        <v/>
      </c>
      <c r="S28" s="24" t="str">
        <f t="shared" si="0"/>
        <v/>
      </c>
      <c r="T28" s="248" t="str">
        <f>IFERROR(SUMIFS('capacity data'!$L:$L,'capacity data'!$B:$B,P28,'capacity data'!$E:$E,"PSO")/SUMIFS('capacity data'!$G:$G,'capacity data'!$E:$E,"PSO",'capacity data'!$B:$B,P28),"")</f>
        <v/>
      </c>
      <c r="U28" s="248" t="str">
        <f>IFERROR(SUMIFS('capacity data'!$L:$L,'capacity data'!$B:$B,P28,'capacity data'!$E:$E,"TPO")/SUMIFS('capacity data'!$G:$G,'capacity data'!$E:$E,"TPO",'capacity data'!$B:$B,P28),"")</f>
        <v/>
      </c>
    </row>
    <row r="29" spans="15:21" ht="16" x14ac:dyDescent="0.2">
      <c r="O29" s="26" t="s">
        <v>21</v>
      </c>
      <c r="P29" t="s">
        <v>192</v>
      </c>
      <c r="Q29" s="247" t="str">
        <f>IFERROR(SUM((SUMIFS('capacity data'!$G:$G,'capacity data'!$E:$E,"PO",'capacity data'!$B:$B,P29))-SUMIFS('capacity data'!$H:$H,'capacity data'!$E:$E,"PO",'capacity data'!$B:$B,P29))/SUMIFS('capacity data'!$G:$G,'capacity data'!$E:$E,"PO",'capacity data'!$B:$B,P29),"")</f>
        <v/>
      </c>
      <c r="R29" s="247" t="str">
        <f>IFERROR(SUM((SUMIFS('capacity data'!$G:$G,'capacity data'!$E:$E,"PSO",'capacity data'!$B:$B,P29))-SUMIFS('capacity data'!$H:$H,'capacity data'!$E:$E,"PSO",'capacity data'!$B:$B,P29))/SUMIFS('capacity data'!$G:$G,'capacity data'!$E:$E,"PSO",'capacity data'!$B:$B,P29),"")</f>
        <v/>
      </c>
      <c r="S29" s="24" t="str">
        <f t="shared" si="0"/>
        <v/>
      </c>
      <c r="T29" s="248" t="str">
        <f>IFERROR(SUMIFS('capacity data'!$L:$L,'capacity data'!$B:$B,P29,'capacity data'!$E:$E,"PSO")/SUMIFS('capacity data'!$G:$G,'capacity data'!$E:$E,"PSO",'capacity data'!$B:$B,P29),"")</f>
        <v/>
      </c>
      <c r="U29" s="248" t="str">
        <f>IFERROR(SUMIFS('capacity data'!$L:$L,'capacity data'!$B:$B,P29,'capacity data'!$E:$E,"TPO")/SUMIFS('capacity data'!$G:$G,'capacity data'!$E:$E,"TPO",'capacity data'!$B:$B,P29),"")</f>
        <v/>
      </c>
    </row>
    <row r="30" spans="15:21" ht="16" x14ac:dyDescent="0.2">
      <c r="O30" s="26" t="s">
        <v>21</v>
      </c>
      <c r="P30" t="s">
        <v>218</v>
      </c>
      <c r="Q30" s="247" t="str">
        <f>IFERROR(SUM((SUMIFS('capacity data'!$G:$G,'capacity data'!$E:$E,"PO",'capacity data'!$B:$B,P30))-SUMIFS('capacity data'!$H:$H,'capacity data'!$E:$E,"PO",'capacity data'!$B:$B,P30))/SUMIFS('capacity data'!$G:$G,'capacity data'!$E:$E,"PO",'capacity data'!$B:$B,P30),"")</f>
        <v/>
      </c>
      <c r="R30" s="247" t="str">
        <f>IFERROR(SUM((SUMIFS('capacity data'!$G:$G,'capacity data'!$E:$E,"PSO",'capacity data'!$B:$B,P30))-SUMIFS('capacity data'!$H:$H,'capacity data'!$E:$E,"PSO",'capacity data'!$B:$B,P30))/SUMIFS('capacity data'!$G:$G,'capacity data'!$E:$E,"PSO",'capacity data'!$B:$B,P30),"")</f>
        <v/>
      </c>
      <c r="S30" s="24" t="str">
        <f t="shared" si="0"/>
        <v/>
      </c>
      <c r="T30" s="248" t="str">
        <f>IFERROR(SUMIFS('capacity data'!$L:$L,'capacity data'!$B:$B,P30,'capacity data'!$E:$E,"PSO")/SUMIFS('capacity data'!$G:$G,'capacity data'!$E:$E,"PSO",'capacity data'!$B:$B,P30),"")</f>
        <v/>
      </c>
      <c r="U30" s="248" t="str">
        <f>IFERROR(SUMIFS('capacity data'!$L:$L,'capacity data'!$B:$B,P30,'capacity data'!$E:$E,"TPO")/SUMIFS('capacity data'!$G:$G,'capacity data'!$E:$E,"TPO",'capacity data'!$B:$B,P30),"")</f>
        <v/>
      </c>
    </row>
    <row r="31" spans="15:21" ht="16" x14ac:dyDescent="0.2">
      <c r="O31" s="26" t="s">
        <v>21</v>
      </c>
      <c r="P31" t="s">
        <v>243</v>
      </c>
      <c r="Q31" s="247" t="str">
        <f>IFERROR(SUM((SUMIFS('capacity data'!$G:$G,'capacity data'!$E:$E,"PO",'capacity data'!$B:$B,P31))-SUMIFS('capacity data'!$H:$H,'capacity data'!$E:$E,"PO",'capacity data'!$B:$B,P31))/SUMIFS('capacity data'!$G:$G,'capacity data'!$E:$E,"PO",'capacity data'!$B:$B,P31),"")</f>
        <v/>
      </c>
      <c r="R31" s="247" t="str">
        <f>IFERROR(SUM((SUMIFS('capacity data'!$G:$G,'capacity data'!$E:$E,"PSO",'capacity data'!$B:$B,P31))-SUMIFS('capacity data'!$H:$H,'capacity data'!$E:$E,"PSO",'capacity data'!$B:$B,P31))/SUMIFS('capacity data'!$G:$G,'capacity data'!$E:$E,"PSO",'capacity data'!$B:$B,P31),"")</f>
        <v/>
      </c>
      <c r="S31" s="24" t="str">
        <f t="shared" si="0"/>
        <v/>
      </c>
      <c r="T31" s="248" t="str">
        <f>IFERROR(SUMIFS('capacity data'!$L:$L,'capacity data'!$B:$B,P31,'capacity data'!$E:$E,"PSO")/SUMIFS('capacity data'!$G:$G,'capacity data'!$E:$E,"PSO",'capacity data'!$B:$B,P31),"")</f>
        <v/>
      </c>
      <c r="U31" s="248" t="str">
        <f>IFERROR(SUMIFS('capacity data'!$L:$L,'capacity data'!$B:$B,P31,'capacity data'!$E:$E,"TPO")/SUMIFS('capacity data'!$G:$G,'capacity data'!$E:$E,"TPO",'capacity data'!$B:$B,P31),"")</f>
        <v/>
      </c>
    </row>
    <row r="32" spans="15:21" ht="16" x14ac:dyDescent="0.2">
      <c r="O32" s="26" t="s">
        <v>21</v>
      </c>
      <c r="P32" t="s">
        <v>267</v>
      </c>
      <c r="Q32" s="247" t="str">
        <f>IFERROR(SUM((SUMIFS('capacity data'!$G:$G,'capacity data'!$E:$E,"PO",'capacity data'!$B:$B,P32))-SUMIFS('capacity data'!$H:$H,'capacity data'!$E:$E,"PO",'capacity data'!$B:$B,P32))/SUMIFS('capacity data'!$G:$G,'capacity data'!$E:$E,"PO",'capacity data'!$B:$B,P32),"")</f>
        <v/>
      </c>
      <c r="R32" s="247" t="str">
        <f>IFERROR(SUM((SUMIFS('capacity data'!$G:$G,'capacity data'!$E:$E,"PSO",'capacity data'!$B:$B,P32))-SUMIFS('capacity data'!$H:$H,'capacity data'!$E:$E,"PSO",'capacity data'!$B:$B,P32))/SUMIFS('capacity data'!$G:$G,'capacity data'!$E:$E,"PSO",'capacity data'!$B:$B,P32),"")</f>
        <v/>
      </c>
      <c r="S32" s="24" t="str">
        <f t="shared" si="0"/>
        <v/>
      </c>
      <c r="T32" s="248" t="str">
        <f>IFERROR(SUMIFS('capacity data'!$L:$L,'capacity data'!$B:$B,P32,'capacity data'!$E:$E,"PSO")/SUMIFS('capacity data'!$G:$G,'capacity data'!$E:$E,"PSO",'capacity data'!$B:$B,P32),"")</f>
        <v/>
      </c>
      <c r="U32" s="248" t="str">
        <f>IFERROR(SUMIFS('capacity data'!$L:$L,'capacity data'!$B:$B,P32,'capacity data'!$E:$E,"TPO")/SUMIFS('capacity data'!$G:$G,'capacity data'!$E:$E,"TPO",'capacity data'!$B:$B,P32),"")</f>
        <v/>
      </c>
    </row>
    <row r="33" spans="15:21" ht="16" x14ac:dyDescent="0.2">
      <c r="O33" s="26" t="s">
        <v>1357</v>
      </c>
      <c r="P33" t="s">
        <v>40</v>
      </c>
      <c r="Q33" s="247" t="str">
        <f>IFERROR(SUM((SUMIFS('capacity data'!$G:$G,'capacity data'!$E:$E,"PO",'capacity data'!$B:$B,P33))-SUMIFS('capacity data'!$H:$H,'capacity data'!$E:$E,"PO",'capacity data'!$B:$B,P33))/SUMIFS('capacity data'!$G:$G,'capacity data'!$E:$E,"PO",'capacity data'!$B:$B,P33),"")</f>
        <v/>
      </c>
      <c r="R33" s="247" t="str">
        <f>IFERROR(SUM((SUMIFS('capacity data'!$G:$G,'capacity data'!$E:$E,"PSO",'capacity data'!$B:$B,P33))-SUMIFS('capacity data'!$H:$H,'capacity data'!$E:$E,"PSO",'capacity data'!$B:$B,P33))/SUMIFS('capacity data'!$G:$G,'capacity data'!$E:$E,"PSO",'capacity data'!$B:$B,P33),"")</f>
        <v/>
      </c>
      <c r="S33" s="24" t="str">
        <f t="shared" si="0"/>
        <v/>
      </c>
      <c r="T33" s="248" t="str">
        <f>IFERROR(SUMIFS('capacity data'!$L:$L,'capacity data'!$B:$B,P33,'capacity data'!$E:$E,"PSO")/SUMIFS('capacity data'!$G:$G,'capacity data'!$E:$E,"PSO",'capacity data'!$B:$B,P33),"")</f>
        <v/>
      </c>
      <c r="U33" s="248" t="str">
        <f>IFERROR(SUMIFS('capacity data'!$L:$L,'capacity data'!$B:$B,P33,'capacity data'!$E:$E,"TPO")/SUMIFS('capacity data'!$G:$G,'capacity data'!$E:$E,"TPO",'capacity data'!$B:$B,P33),"")</f>
        <v/>
      </c>
    </row>
    <row r="34" spans="15:21" ht="16" x14ac:dyDescent="0.2">
      <c r="O34" s="26" t="s">
        <v>1357</v>
      </c>
      <c r="P34" t="s">
        <v>74</v>
      </c>
      <c r="Q34" s="247" t="str">
        <f>IFERROR(SUM((SUMIFS('capacity data'!$G:$G,'capacity data'!$E:$E,"PO",'capacity data'!$B:$B,P34))-SUMIFS('capacity data'!$H:$H,'capacity data'!$E:$E,"PO",'capacity data'!$B:$B,P34))/SUMIFS('capacity data'!$G:$G,'capacity data'!$E:$E,"PO",'capacity data'!$B:$B,P34),"")</f>
        <v/>
      </c>
      <c r="R34" s="247" t="str">
        <f>IFERROR(SUM((SUMIFS('capacity data'!$G:$G,'capacity data'!$E:$E,"PSO",'capacity data'!$B:$B,P34))-SUMIFS('capacity data'!$H:$H,'capacity data'!$E:$E,"PSO",'capacity data'!$B:$B,P34))/SUMIFS('capacity data'!$G:$G,'capacity data'!$E:$E,"PSO",'capacity data'!$B:$B,P34),"")</f>
        <v/>
      </c>
      <c r="S34" s="24" t="str">
        <f t="shared" si="0"/>
        <v/>
      </c>
      <c r="T34" s="248" t="str">
        <f>IFERROR(SUMIFS('capacity data'!$L:$L,'capacity data'!$B:$B,P34,'capacity data'!$E:$E,"PSO")/SUMIFS('capacity data'!$G:$G,'capacity data'!$E:$E,"PSO",'capacity data'!$B:$B,P34),"")</f>
        <v/>
      </c>
      <c r="U34" s="248" t="str">
        <f>IFERROR(SUMIFS('capacity data'!$L:$L,'capacity data'!$B:$B,P34,'capacity data'!$E:$E,"TPO")/SUMIFS('capacity data'!$G:$G,'capacity data'!$E:$E,"TPO",'capacity data'!$B:$B,P34),"")</f>
        <v/>
      </c>
    </row>
    <row r="35" spans="15:21" ht="16" x14ac:dyDescent="0.2">
      <c r="O35" s="26" t="s">
        <v>1357</v>
      </c>
      <c r="P35" t="s">
        <v>105</v>
      </c>
      <c r="Q35" s="247" t="str">
        <f>IFERROR(SUM((SUMIFS('capacity data'!$G:$G,'capacity data'!$E:$E,"PO",'capacity data'!$B:$B,P35))-SUMIFS('capacity data'!$H:$H,'capacity data'!$E:$E,"PO",'capacity data'!$B:$B,P35))/SUMIFS('capacity data'!$G:$G,'capacity data'!$E:$E,"PO",'capacity data'!$B:$B,P35),"")</f>
        <v/>
      </c>
      <c r="R35" s="247" t="str">
        <f>IFERROR(SUM((SUMIFS('capacity data'!$G:$G,'capacity data'!$E:$E,"PSO",'capacity data'!$B:$B,P35))-SUMIFS('capacity data'!$H:$H,'capacity data'!$E:$E,"PSO",'capacity data'!$B:$B,P35))/SUMIFS('capacity data'!$G:$G,'capacity data'!$E:$E,"PSO",'capacity data'!$B:$B,P35),"")</f>
        <v/>
      </c>
      <c r="S35" s="24" t="str">
        <f t="shared" si="0"/>
        <v/>
      </c>
      <c r="T35" s="248" t="str">
        <f>IFERROR(SUMIFS('capacity data'!$L:$L,'capacity data'!$B:$B,P35,'capacity data'!$E:$E,"PSO")/SUMIFS('capacity data'!$G:$G,'capacity data'!$E:$E,"PSO",'capacity data'!$B:$B,P35),"")</f>
        <v/>
      </c>
      <c r="U35" s="248" t="str">
        <f>IFERROR(SUMIFS('capacity data'!$L:$L,'capacity data'!$B:$B,P35,'capacity data'!$E:$E,"TPO")/SUMIFS('capacity data'!$G:$G,'capacity data'!$E:$E,"TPO",'capacity data'!$B:$B,P35),"")</f>
        <v/>
      </c>
    </row>
    <row r="36" spans="15:21" ht="16" x14ac:dyDescent="0.2">
      <c r="O36" s="26" t="s">
        <v>1357</v>
      </c>
      <c r="P36" t="s">
        <v>136</v>
      </c>
      <c r="Q36" s="247" t="str">
        <f>IFERROR(SUM((SUMIFS('capacity data'!$G:$G,'capacity data'!$E:$E,"PO",'capacity data'!$B:$B,P36))-SUMIFS('capacity data'!$H:$H,'capacity data'!$E:$E,"PO",'capacity data'!$B:$B,P36))/SUMIFS('capacity data'!$G:$G,'capacity data'!$E:$E,"PO",'capacity data'!$B:$B,P36),"")</f>
        <v/>
      </c>
      <c r="R36" s="247" t="str">
        <f>IFERROR(SUM((SUMIFS('capacity data'!$G:$G,'capacity data'!$E:$E,"PSO",'capacity data'!$B:$B,P36))-SUMIFS('capacity data'!$H:$H,'capacity data'!$E:$E,"PSO",'capacity data'!$B:$B,P36))/SUMIFS('capacity data'!$G:$G,'capacity data'!$E:$E,"PSO",'capacity data'!$B:$B,P36),"")</f>
        <v/>
      </c>
      <c r="S36" s="24" t="str">
        <f t="shared" si="0"/>
        <v/>
      </c>
      <c r="T36" s="248" t="str">
        <f>IFERROR(SUMIFS('capacity data'!$L:$L,'capacity data'!$B:$B,P36,'capacity data'!$E:$E,"PSO")/SUMIFS('capacity data'!$G:$G,'capacity data'!$E:$E,"PSO",'capacity data'!$B:$B,P36),"")</f>
        <v/>
      </c>
      <c r="U36" s="248" t="str">
        <f>IFERROR(SUMIFS('capacity data'!$L:$L,'capacity data'!$B:$B,P36,'capacity data'!$E:$E,"TPO")/SUMIFS('capacity data'!$G:$G,'capacity data'!$E:$E,"TPO",'capacity data'!$B:$B,P36),"")</f>
        <v/>
      </c>
    </row>
    <row r="37" spans="15:21" ht="16" x14ac:dyDescent="0.2">
      <c r="O37" s="26" t="s">
        <v>1357</v>
      </c>
      <c r="P37" t="s">
        <v>165</v>
      </c>
      <c r="Q37" s="247" t="str">
        <f>IFERROR(SUM((SUMIFS('capacity data'!$G:$G,'capacity data'!$E:$E,"PO",'capacity data'!$B:$B,P37))-SUMIFS('capacity data'!$H:$H,'capacity data'!$E:$E,"PO",'capacity data'!$B:$B,P37))/SUMIFS('capacity data'!$G:$G,'capacity data'!$E:$E,"PO",'capacity data'!$B:$B,P37),"")</f>
        <v/>
      </c>
      <c r="R37" s="247" t="str">
        <f>IFERROR(SUM((SUMIFS('capacity data'!$G:$G,'capacity data'!$E:$E,"PSO",'capacity data'!$B:$B,P37))-SUMIFS('capacity data'!$H:$H,'capacity data'!$E:$E,"PSO",'capacity data'!$B:$B,P37))/SUMIFS('capacity data'!$G:$G,'capacity data'!$E:$E,"PSO",'capacity data'!$B:$B,P37),"")</f>
        <v/>
      </c>
      <c r="S37" s="24" t="str">
        <f t="shared" si="0"/>
        <v/>
      </c>
      <c r="T37" s="248" t="str">
        <f>IFERROR(SUMIFS('capacity data'!$L:$L,'capacity data'!$B:$B,P37,'capacity data'!$E:$E,"PSO")/SUMIFS('capacity data'!$G:$G,'capacity data'!$E:$E,"PSO",'capacity data'!$B:$B,P37),"")</f>
        <v/>
      </c>
      <c r="U37" s="248" t="str">
        <f>IFERROR(SUMIFS('capacity data'!$L:$L,'capacity data'!$B:$B,P37,'capacity data'!$E:$E,"TPO")/SUMIFS('capacity data'!$G:$G,'capacity data'!$E:$E,"TPO",'capacity data'!$B:$B,P37),"")</f>
        <v/>
      </c>
    </row>
    <row r="38" spans="15:21" ht="16" x14ac:dyDescent="0.2">
      <c r="O38" s="26" t="s">
        <v>1357</v>
      </c>
      <c r="P38" t="s">
        <v>193</v>
      </c>
      <c r="Q38" s="247" t="str">
        <f>IFERROR(SUM((SUMIFS('capacity data'!$G:$G,'capacity data'!$E:$E,"PO",'capacity data'!$B:$B,P38))-SUMIFS('capacity data'!$H:$H,'capacity data'!$E:$E,"PO",'capacity data'!$B:$B,P38))/SUMIFS('capacity data'!$G:$G,'capacity data'!$E:$E,"PO",'capacity data'!$B:$B,P38),"")</f>
        <v/>
      </c>
      <c r="R38" s="247" t="str">
        <f>IFERROR(SUM((SUMIFS('capacity data'!$G:$G,'capacity data'!$E:$E,"PSO",'capacity data'!$B:$B,P38))-SUMIFS('capacity data'!$H:$H,'capacity data'!$E:$E,"PSO",'capacity data'!$B:$B,P38))/SUMIFS('capacity data'!$G:$G,'capacity data'!$E:$E,"PSO",'capacity data'!$B:$B,P38),"")</f>
        <v/>
      </c>
      <c r="S38" s="24" t="str">
        <f t="shared" si="0"/>
        <v/>
      </c>
      <c r="T38" s="248" t="str">
        <f>IFERROR(SUMIFS('capacity data'!$L:$L,'capacity data'!$B:$B,P38,'capacity data'!$E:$E,"PSO")/SUMIFS('capacity data'!$G:$G,'capacity data'!$E:$E,"PSO",'capacity data'!$B:$B,P38),"")</f>
        <v/>
      </c>
      <c r="U38" s="248" t="str">
        <f>IFERROR(SUMIFS('capacity data'!$L:$L,'capacity data'!$B:$B,P38,'capacity data'!$E:$E,"TPO")/SUMIFS('capacity data'!$G:$G,'capacity data'!$E:$E,"TPO",'capacity data'!$B:$B,P38),"")</f>
        <v/>
      </c>
    </row>
    <row r="39" spans="15:21" ht="16" x14ac:dyDescent="0.2">
      <c r="O39" s="26" t="s">
        <v>22</v>
      </c>
      <c r="P39" t="s">
        <v>41</v>
      </c>
      <c r="Q39" s="247" t="str">
        <f>IFERROR(SUM((SUMIFS('capacity data'!$G:$G,'capacity data'!$E:$E,"PO",'capacity data'!$B:$B,P39))-SUMIFS('capacity data'!$H:$H,'capacity data'!$E:$E,"PO",'capacity data'!$B:$B,P39))/SUMIFS('capacity data'!$G:$G,'capacity data'!$E:$E,"PO",'capacity data'!$B:$B,P39),"")</f>
        <v/>
      </c>
      <c r="R39" s="247" t="str">
        <f>IFERROR(SUM((SUMIFS('capacity data'!$G:$G,'capacity data'!$E:$E,"PSO",'capacity data'!$B:$B,P39))-SUMIFS('capacity data'!$H:$H,'capacity data'!$E:$E,"PSO",'capacity data'!$B:$B,P39))/SUMIFS('capacity data'!$G:$G,'capacity data'!$E:$E,"PSO",'capacity data'!$B:$B,P39),"")</f>
        <v/>
      </c>
      <c r="S39" s="24" t="str">
        <f t="shared" si="0"/>
        <v/>
      </c>
      <c r="T39" s="248" t="str">
        <f>IFERROR(SUMIFS('capacity data'!$L:$L,'capacity data'!$B:$B,P39,'capacity data'!$E:$E,"PSO")/SUMIFS('capacity data'!$G:$G,'capacity data'!$E:$E,"PSO",'capacity data'!$B:$B,P39),"")</f>
        <v/>
      </c>
      <c r="U39" s="248" t="str">
        <f>IFERROR(SUMIFS('capacity data'!$L:$L,'capacity data'!$B:$B,P39,'capacity data'!$E:$E,"TPO")/SUMIFS('capacity data'!$G:$G,'capacity data'!$E:$E,"TPO",'capacity data'!$B:$B,P39),"")</f>
        <v/>
      </c>
    </row>
    <row r="40" spans="15:21" ht="16" x14ac:dyDescent="0.2">
      <c r="O40" s="26" t="s">
        <v>22</v>
      </c>
      <c r="P40" t="s">
        <v>75</v>
      </c>
      <c r="Q40" s="247" t="str">
        <f>IFERROR(SUM((SUMIFS('capacity data'!$G:$G,'capacity data'!$E:$E,"PO",'capacity data'!$B:$B,P40))-SUMIFS('capacity data'!$H:$H,'capacity data'!$E:$E,"PO",'capacity data'!$B:$B,P40))/SUMIFS('capacity data'!$G:$G,'capacity data'!$E:$E,"PO",'capacity data'!$B:$B,P40),"")</f>
        <v/>
      </c>
      <c r="R40" s="247" t="str">
        <f>IFERROR(SUM((SUMIFS('capacity data'!$G:$G,'capacity data'!$E:$E,"PSO",'capacity data'!$B:$B,P40))-SUMIFS('capacity data'!$H:$H,'capacity data'!$E:$E,"PSO",'capacity data'!$B:$B,P40))/SUMIFS('capacity data'!$G:$G,'capacity data'!$E:$E,"PSO",'capacity data'!$B:$B,P40),"")</f>
        <v/>
      </c>
      <c r="S40" s="24" t="str">
        <f t="shared" si="0"/>
        <v/>
      </c>
      <c r="T40" s="248" t="str">
        <f>IFERROR(SUMIFS('capacity data'!$L:$L,'capacity data'!$B:$B,P40,'capacity data'!$E:$E,"PSO")/SUMIFS('capacity data'!$G:$G,'capacity data'!$E:$E,"PSO",'capacity data'!$B:$B,P40),"")</f>
        <v/>
      </c>
      <c r="U40" s="248" t="str">
        <f>IFERROR(SUMIFS('capacity data'!$L:$L,'capacity data'!$B:$B,P40,'capacity data'!$E:$E,"TPO")/SUMIFS('capacity data'!$G:$G,'capacity data'!$E:$E,"TPO",'capacity data'!$B:$B,P40),"")</f>
        <v/>
      </c>
    </row>
    <row r="41" spans="15:21" ht="16" x14ac:dyDescent="0.2">
      <c r="O41" s="26" t="s">
        <v>22</v>
      </c>
      <c r="P41" t="s">
        <v>106</v>
      </c>
      <c r="Q41" s="247" t="str">
        <f>IFERROR(SUM((SUMIFS('capacity data'!$G:$G,'capacity data'!$E:$E,"PO",'capacity data'!$B:$B,P41))-SUMIFS('capacity data'!$H:$H,'capacity data'!$E:$E,"PO",'capacity data'!$B:$B,P41))/SUMIFS('capacity data'!$G:$G,'capacity data'!$E:$E,"PO",'capacity data'!$B:$B,P41),"")</f>
        <v/>
      </c>
      <c r="R41" s="247" t="str">
        <f>IFERROR(SUM((SUMIFS('capacity data'!$G:$G,'capacity data'!$E:$E,"PSO",'capacity data'!$B:$B,P41))-SUMIFS('capacity data'!$H:$H,'capacity data'!$E:$E,"PSO",'capacity data'!$B:$B,P41))/SUMIFS('capacity data'!$G:$G,'capacity data'!$E:$E,"PSO",'capacity data'!$B:$B,P41),"")</f>
        <v/>
      </c>
      <c r="S41" s="24" t="str">
        <f t="shared" si="0"/>
        <v/>
      </c>
      <c r="T41" s="248" t="str">
        <f>IFERROR(SUMIFS('capacity data'!$L:$L,'capacity data'!$B:$B,P41,'capacity data'!$E:$E,"PSO")/SUMIFS('capacity data'!$G:$G,'capacity data'!$E:$E,"PSO",'capacity data'!$B:$B,P41),"")</f>
        <v/>
      </c>
      <c r="U41" s="248" t="str">
        <f>IFERROR(SUMIFS('capacity data'!$L:$L,'capacity data'!$B:$B,P41,'capacity data'!$E:$E,"TPO")/SUMIFS('capacity data'!$G:$G,'capacity data'!$E:$E,"TPO",'capacity data'!$B:$B,P41),"")</f>
        <v/>
      </c>
    </row>
    <row r="42" spans="15:21" ht="16" x14ac:dyDescent="0.2">
      <c r="O42" s="26" t="s">
        <v>22</v>
      </c>
      <c r="P42" t="s">
        <v>137</v>
      </c>
      <c r="Q42" s="247" t="str">
        <f>IFERROR(SUM((SUMIFS('capacity data'!$G:$G,'capacity data'!$E:$E,"PO",'capacity data'!$B:$B,P42))-SUMIFS('capacity data'!$H:$H,'capacity data'!$E:$E,"PO",'capacity data'!$B:$B,P42))/SUMIFS('capacity data'!$G:$G,'capacity data'!$E:$E,"PO",'capacity data'!$B:$B,P42),"")</f>
        <v/>
      </c>
      <c r="R42" s="247" t="str">
        <f>IFERROR(SUM((SUMIFS('capacity data'!$G:$G,'capacity data'!$E:$E,"PSO",'capacity data'!$B:$B,P42))-SUMIFS('capacity data'!$H:$H,'capacity data'!$E:$E,"PSO",'capacity data'!$B:$B,P42))/SUMIFS('capacity data'!$G:$G,'capacity data'!$E:$E,"PSO",'capacity data'!$B:$B,P42),"")</f>
        <v/>
      </c>
      <c r="S42" s="24" t="str">
        <f t="shared" si="0"/>
        <v/>
      </c>
      <c r="T42" s="248" t="str">
        <f>IFERROR(SUMIFS('capacity data'!$L:$L,'capacity data'!$B:$B,P42,'capacity data'!$E:$E,"PSO")/SUMIFS('capacity data'!$G:$G,'capacity data'!$E:$E,"PSO",'capacity data'!$B:$B,P42),"")</f>
        <v/>
      </c>
      <c r="U42" s="248" t="str">
        <f>IFERROR(SUMIFS('capacity data'!$L:$L,'capacity data'!$B:$B,P42,'capacity data'!$E:$E,"TPO")/SUMIFS('capacity data'!$G:$G,'capacity data'!$E:$E,"TPO",'capacity data'!$B:$B,P42),"")</f>
        <v/>
      </c>
    </row>
    <row r="43" spans="15:21" ht="16" x14ac:dyDescent="0.2">
      <c r="O43" s="26" t="s">
        <v>22</v>
      </c>
      <c r="P43" t="s">
        <v>166</v>
      </c>
      <c r="Q43" s="247" t="str">
        <f>IFERROR(SUM((SUMIFS('capacity data'!$G:$G,'capacity data'!$E:$E,"PO",'capacity data'!$B:$B,P43))-SUMIFS('capacity data'!$H:$H,'capacity data'!$E:$E,"PO",'capacity data'!$B:$B,P43))/SUMIFS('capacity data'!$G:$G,'capacity data'!$E:$E,"PO",'capacity data'!$B:$B,P43),"")</f>
        <v/>
      </c>
      <c r="R43" s="247" t="str">
        <f>IFERROR(SUM((SUMIFS('capacity data'!$G:$G,'capacity data'!$E:$E,"PSO",'capacity data'!$B:$B,P43))-SUMIFS('capacity data'!$H:$H,'capacity data'!$E:$E,"PSO",'capacity data'!$B:$B,P43))/SUMIFS('capacity data'!$G:$G,'capacity data'!$E:$E,"PSO",'capacity data'!$B:$B,P43),"")</f>
        <v/>
      </c>
      <c r="S43" s="24" t="str">
        <f t="shared" si="0"/>
        <v/>
      </c>
      <c r="T43" s="248" t="str">
        <f>IFERROR(SUMIFS('capacity data'!$L:$L,'capacity data'!$B:$B,P43,'capacity data'!$E:$E,"PSO")/SUMIFS('capacity data'!$G:$G,'capacity data'!$E:$E,"PSO",'capacity data'!$B:$B,P43),"")</f>
        <v/>
      </c>
      <c r="U43" s="248" t="str">
        <f>IFERROR(SUMIFS('capacity data'!$L:$L,'capacity data'!$B:$B,P43,'capacity data'!$E:$E,"TPO")/SUMIFS('capacity data'!$G:$G,'capacity data'!$E:$E,"TPO",'capacity data'!$B:$B,P43),"")</f>
        <v/>
      </c>
    </row>
    <row r="44" spans="15:21" ht="16" x14ac:dyDescent="0.2">
      <c r="O44" s="26" t="s">
        <v>22</v>
      </c>
      <c r="P44" t="s">
        <v>1060</v>
      </c>
      <c r="Q44" s="247" t="str">
        <f>IFERROR(SUM((SUMIFS('capacity data'!$G:$G,'capacity data'!$E:$E,"PO",'capacity data'!$B:$B,P44))-SUMIFS('capacity data'!$H:$H,'capacity data'!$E:$E,"PO",'capacity data'!$B:$B,P44))/SUMIFS('capacity data'!$G:$G,'capacity data'!$E:$E,"PO",'capacity data'!$B:$B,P44),"")</f>
        <v/>
      </c>
      <c r="R44" s="247" t="str">
        <f>IFERROR(SUM((SUMIFS('capacity data'!$G:$G,'capacity data'!$E:$E,"PSO",'capacity data'!$B:$B,P44))-SUMIFS('capacity data'!$H:$H,'capacity data'!$E:$E,"PSO",'capacity data'!$B:$B,P44))/SUMIFS('capacity data'!$G:$G,'capacity data'!$E:$E,"PSO",'capacity data'!$B:$B,P44),"")</f>
        <v/>
      </c>
      <c r="S44" s="24" t="str">
        <f t="shared" si="0"/>
        <v/>
      </c>
      <c r="T44" s="248" t="str">
        <f>IFERROR(SUMIFS('capacity data'!$L:$L,'capacity data'!$B:$B,P44,'capacity data'!$E:$E,"PSO")/SUMIFS('capacity data'!$G:$G,'capacity data'!$E:$E,"PSO",'capacity data'!$B:$B,P44),"")</f>
        <v/>
      </c>
      <c r="U44" s="248" t="str">
        <f>IFERROR(SUMIFS('capacity data'!$L:$L,'capacity data'!$B:$B,P44,'capacity data'!$E:$E,"TPO")/SUMIFS('capacity data'!$G:$G,'capacity data'!$E:$E,"TPO",'capacity data'!$B:$B,P44),"")</f>
        <v/>
      </c>
    </row>
    <row r="45" spans="15:21" ht="16" x14ac:dyDescent="0.2">
      <c r="O45" s="26" t="s">
        <v>22</v>
      </c>
      <c r="P45" t="s">
        <v>219</v>
      </c>
      <c r="Q45" s="247" t="str">
        <f>IFERROR(SUM((SUMIFS('capacity data'!$G:$G,'capacity data'!$E:$E,"PO",'capacity data'!$B:$B,P45))-SUMIFS('capacity data'!$H:$H,'capacity data'!$E:$E,"PO",'capacity data'!$B:$B,P45))/SUMIFS('capacity data'!$G:$G,'capacity data'!$E:$E,"PO",'capacity data'!$B:$B,P45),"")</f>
        <v/>
      </c>
      <c r="R45" s="247" t="str">
        <f>IFERROR(SUM((SUMIFS('capacity data'!$G:$G,'capacity data'!$E:$E,"PSO",'capacity data'!$B:$B,P45))-SUMIFS('capacity data'!$H:$H,'capacity data'!$E:$E,"PSO",'capacity data'!$B:$B,P45))/SUMIFS('capacity data'!$G:$G,'capacity data'!$E:$E,"PSO",'capacity data'!$B:$B,P45),"")</f>
        <v/>
      </c>
      <c r="S45" s="24" t="str">
        <f t="shared" si="0"/>
        <v/>
      </c>
      <c r="T45" s="248" t="str">
        <f>IFERROR(SUMIFS('capacity data'!$L:$L,'capacity data'!$B:$B,P45,'capacity data'!$E:$E,"PSO")/SUMIFS('capacity data'!$G:$G,'capacity data'!$E:$E,"PSO",'capacity data'!$B:$B,P45),"")</f>
        <v/>
      </c>
      <c r="U45" s="248" t="str">
        <f>IFERROR(SUMIFS('capacity data'!$L:$L,'capacity data'!$B:$B,P45,'capacity data'!$E:$E,"TPO")/SUMIFS('capacity data'!$G:$G,'capacity data'!$E:$E,"TPO",'capacity data'!$B:$B,P45),"")</f>
        <v/>
      </c>
    </row>
    <row r="46" spans="15:21" ht="16" x14ac:dyDescent="0.2">
      <c r="O46" s="26" t="s">
        <v>22</v>
      </c>
      <c r="P46" t="s">
        <v>244</v>
      </c>
      <c r="Q46" s="247" t="str">
        <f>IFERROR(SUM((SUMIFS('capacity data'!$G:$G,'capacity data'!$E:$E,"PO",'capacity data'!$B:$B,P46))-SUMIFS('capacity data'!$H:$H,'capacity data'!$E:$E,"PO",'capacity data'!$B:$B,P46))/SUMIFS('capacity data'!$G:$G,'capacity data'!$E:$E,"PO",'capacity data'!$B:$B,P46),"")</f>
        <v/>
      </c>
      <c r="R46" s="247" t="str">
        <f>IFERROR(SUM((SUMIFS('capacity data'!$G:$G,'capacity data'!$E:$E,"PSO",'capacity data'!$B:$B,P46))-SUMIFS('capacity data'!$H:$H,'capacity data'!$E:$E,"PSO",'capacity data'!$B:$B,P46))/SUMIFS('capacity data'!$G:$G,'capacity data'!$E:$E,"PSO",'capacity data'!$B:$B,P46),"")</f>
        <v/>
      </c>
      <c r="S46" s="24" t="str">
        <f t="shared" si="0"/>
        <v/>
      </c>
      <c r="T46" s="248" t="str">
        <f>IFERROR(SUMIFS('capacity data'!$L:$L,'capacity data'!$B:$B,P46,'capacity data'!$E:$E,"PSO")/SUMIFS('capacity data'!$G:$G,'capacity data'!$E:$E,"PSO",'capacity data'!$B:$B,P46),"")</f>
        <v/>
      </c>
      <c r="U46" s="248" t="str">
        <f>IFERROR(SUMIFS('capacity data'!$L:$L,'capacity data'!$B:$B,P46,'capacity data'!$E:$E,"TPO")/SUMIFS('capacity data'!$G:$G,'capacity data'!$E:$E,"TPO",'capacity data'!$B:$B,P46),"")</f>
        <v/>
      </c>
    </row>
    <row r="47" spans="15:21" ht="16" x14ac:dyDescent="0.2">
      <c r="O47" s="26" t="s">
        <v>22</v>
      </c>
      <c r="P47" t="s">
        <v>268</v>
      </c>
      <c r="Q47" s="247" t="str">
        <f>IFERROR(SUM((SUMIFS('capacity data'!$G:$G,'capacity data'!$E:$E,"PO",'capacity data'!$B:$B,P47))-SUMIFS('capacity data'!$H:$H,'capacity data'!$E:$E,"PO",'capacity data'!$B:$B,P47))/SUMIFS('capacity data'!$G:$G,'capacity data'!$E:$E,"PO",'capacity data'!$B:$B,P47),"")</f>
        <v/>
      </c>
      <c r="R47" s="247" t="str">
        <f>IFERROR(SUM((SUMIFS('capacity data'!$G:$G,'capacity data'!$E:$E,"PSO",'capacity data'!$B:$B,P47))-SUMIFS('capacity data'!$H:$H,'capacity data'!$E:$E,"PSO",'capacity data'!$B:$B,P47))/SUMIFS('capacity data'!$G:$G,'capacity data'!$E:$E,"PSO",'capacity data'!$B:$B,P47),"")</f>
        <v/>
      </c>
      <c r="S47" s="24" t="str">
        <f t="shared" si="0"/>
        <v/>
      </c>
      <c r="T47" s="248" t="str">
        <f>IFERROR(SUMIFS('capacity data'!$L:$L,'capacity data'!$B:$B,P47,'capacity data'!$E:$E,"PSO")/SUMIFS('capacity data'!$G:$G,'capacity data'!$E:$E,"PSO",'capacity data'!$B:$B,P47),"")</f>
        <v/>
      </c>
      <c r="U47" s="248" t="str">
        <f>IFERROR(SUMIFS('capacity data'!$L:$L,'capacity data'!$B:$B,P47,'capacity data'!$E:$E,"TPO")/SUMIFS('capacity data'!$G:$G,'capacity data'!$E:$E,"TPO",'capacity data'!$B:$B,P47),"")</f>
        <v/>
      </c>
    </row>
    <row r="48" spans="15:21" ht="16" x14ac:dyDescent="0.2">
      <c r="O48" s="26" t="s">
        <v>22</v>
      </c>
      <c r="P48" t="s">
        <v>290</v>
      </c>
      <c r="Q48" s="247" t="str">
        <f>IFERROR(SUM((SUMIFS('capacity data'!$G:$G,'capacity data'!$E:$E,"PO",'capacity data'!$B:$B,P48))-SUMIFS('capacity data'!$H:$H,'capacity data'!$E:$E,"PO",'capacity data'!$B:$B,P48))/SUMIFS('capacity data'!$G:$G,'capacity data'!$E:$E,"PO",'capacity data'!$B:$B,P48),"")</f>
        <v/>
      </c>
      <c r="R48" s="247" t="str">
        <f>IFERROR(SUM((SUMIFS('capacity data'!$G:$G,'capacity data'!$E:$E,"PSO",'capacity data'!$B:$B,P48))-SUMIFS('capacity data'!$H:$H,'capacity data'!$E:$E,"PSO",'capacity data'!$B:$B,P48))/SUMIFS('capacity data'!$G:$G,'capacity data'!$E:$E,"PSO",'capacity data'!$B:$B,P48),"")</f>
        <v/>
      </c>
      <c r="S48" s="24" t="str">
        <f t="shared" si="0"/>
        <v/>
      </c>
      <c r="T48" s="248" t="str">
        <f>IFERROR(SUMIFS('capacity data'!$L:$L,'capacity data'!$B:$B,P48,'capacity data'!$E:$E,"PSO")/SUMIFS('capacity data'!$G:$G,'capacity data'!$E:$E,"PSO",'capacity data'!$B:$B,P48),"")</f>
        <v/>
      </c>
      <c r="U48" s="248" t="str">
        <f>IFERROR(SUMIFS('capacity data'!$L:$L,'capacity data'!$B:$B,P48,'capacity data'!$E:$E,"TPO")/SUMIFS('capacity data'!$G:$G,'capacity data'!$E:$E,"TPO",'capacity data'!$B:$B,P48),"")</f>
        <v/>
      </c>
    </row>
    <row r="49" spans="15:21" ht="16" x14ac:dyDescent="0.2">
      <c r="O49" s="26" t="s">
        <v>22</v>
      </c>
      <c r="P49" t="s">
        <v>312</v>
      </c>
      <c r="Q49" s="247" t="str">
        <f>IFERROR(SUM((SUMIFS('capacity data'!$G:$G,'capacity data'!$E:$E,"PO",'capacity data'!$B:$B,P49))-SUMIFS('capacity data'!$H:$H,'capacity data'!$E:$E,"PO",'capacity data'!$B:$B,P49))/SUMIFS('capacity data'!$G:$G,'capacity data'!$E:$E,"PO",'capacity data'!$B:$B,P49),"")</f>
        <v/>
      </c>
      <c r="R49" s="247" t="str">
        <f>IFERROR(SUM((SUMIFS('capacity data'!$G:$G,'capacity data'!$E:$E,"PSO",'capacity data'!$B:$B,P49))-SUMIFS('capacity data'!$H:$H,'capacity data'!$E:$E,"PSO",'capacity data'!$B:$B,P49))/SUMIFS('capacity data'!$G:$G,'capacity data'!$E:$E,"PSO",'capacity data'!$B:$B,P49),"")</f>
        <v/>
      </c>
      <c r="S49" s="24" t="str">
        <f t="shared" si="0"/>
        <v/>
      </c>
      <c r="T49" s="248" t="str">
        <f>IFERROR(SUMIFS('capacity data'!$L:$L,'capacity data'!$B:$B,P49,'capacity data'!$E:$E,"PSO")/SUMIFS('capacity data'!$G:$G,'capacity data'!$E:$E,"PSO",'capacity data'!$B:$B,P49),"")</f>
        <v/>
      </c>
      <c r="U49" s="248" t="str">
        <f>IFERROR(SUMIFS('capacity data'!$L:$L,'capacity data'!$B:$B,P49,'capacity data'!$E:$E,"TPO")/SUMIFS('capacity data'!$G:$G,'capacity data'!$E:$E,"TPO",'capacity data'!$B:$B,P49),"")</f>
        <v/>
      </c>
    </row>
    <row r="50" spans="15:21" ht="16" x14ac:dyDescent="0.2">
      <c r="O50" s="26" t="s">
        <v>22</v>
      </c>
      <c r="P50" t="s">
        <v>334</v>
      </c>
      <c r="Q50" s="247" t="str">
        <f>IFERROR(SUM((SUMIFS('capacity data'!$G:$G,'capacity data'!$E:$E,"PO",'capacity data'!$B:$B,P50))-SUMIFS('capacity data'!$H:$H,'capacity data'!$E:$E,"PO",'capacity data'!$B:$B,P50))/SUMIFS('capacity data'!$G:$G,'capacity data'!$E:$E,"PO",'capacity data'!$B:$B,P50),"")</f>
        <v/>
      </c>
      <c r="R50" s="247" t="str">
        <f>IFERROR(SUM((SUMIFS('capacity data'!$G:$G,'capacity data'!$E:$E,"PSO",'capacity data'!$B:$B,P50))-SUMIFS('capacity data'!$H:$H,'capacity data'!$E:$E,"PSO",'capacity data'!$B:$B,P50))/SUMIFS('capacity data'!$G:$G,'capacity data'!$E:$E,"PSO",'capacity data'!$B:$B,P50),"")</f>
        <v/>
      </c>
      <c r="S50" s="24" t="str">
        <f t="shared" si="0"/>
        <v/>
      </c>
      <c r="T50" s="248" t="str">
        <f>IFERROR(SUMIFS('capacity data'!$L:$L,'capacity data'!$B:$B,P50,'capacity data'!$E:$E,"PSO")/SUMIFS('capacity data'!$G:$G,'capacity data'!$E:$E,"PSO",'capacity data'!$B:$B,P50),"")</f>
        <v/>
      </c>
      <c r="U50" s="248" t="str">
        <f>IFERROR(SUMIFS('capacity data'!$L:$L,'capacity data'!$B:$B,P50,'capacity data'!$E:$E,"TPO")/SUMIFS('capacity data'!$G:$G,'capacity data'!$E:$E,"TPO",'capacity data'!$B:$B,P50),"")</f>
        <v/>
      </c>
    </row>
    <row r="51" spans="15:21" ht="16" x14ac:dyDescent="0.2">
      <c r="O51" s="26" t="s">
        <v>22</v>
      </c>
      <c r="P51" t="s">
        <v>354</v>
      </c>
      <c r="Q51" s="247" t="str">
        <f>IFERROR(SUM((SUMIFS('capacity data'!$G:$G,'capacity data'!$E:$E,"PO",'capacity data'!$B:$B,P51))-SUMIFS('capacity data'!$H:$H,'capacity data'!$E:$E,"PO",'capacity data'!$B:$B,P51))/SUMIFS('capacity data'!$G:$G,'capacity data'!$E:$E,"PO",'capacity data'!$B:$B,P51),"")</f>
        <v/>
      </c>
      <c r="R51" s="247" t="str">
        <f>IFERROR(SUM((SUMIFS('capacity data'!$G:$G,'capacity data'!$E:$E,"PSO",'capacity data'!$B:$B,P51))-SUMIFS('capacity data'!$H:$H,'capacity data'!$E:$E,"PSO",'capacity data'!$B:$B,P51))/SUMIFS('capacity data'!$G:$G,'capacity data'!$E:$E,"PSO",'capacity data'!$B:$B,P51),"")</f>
        <v/>
      </c>
      <c r="S51" s="24" t="str">
        <f t="shared" si="0"/>
        <v/>
      </c>
      <c r="T51" s="248" t="str">
        <f>IFERROR(SUMIFS('capacity data'!$L:$L,'capacity data'!$B:$B,P51,'capacity data'!$E:$E,"PSO")/SUMIFS('capacity data'!$G:$G,'capacity data'!$E:$E,"PSO",'capacity data'!$B:$B,P51),"")</f>
        <v/>
      </c>
      <c r="U51" s="248" t="str">
        <f>IFERROR(SUMIFS('capacity data'!$L:$L,'capacity data'!$B:$B,P51,'capacity data'!$E:$E,"TPO")/SUMIFS('capacity data'!$G:$G,'capacity data'!$E:$E,"TPO",'capacity data'!$B:$B,P51),"")</f>
        <v/>
      </c>
    </row>
    <row r="52" spans="15:21" ht="16" x14ac:dyDescent="0.2">
      <c r="O52" s="26" t="s">
        <v>22</v>
      </c>
      <c r="P52" t="s">
        <v>373</v>
      </c>
      <c r="Q52" s="247" t="str">
        <f>IFERROR(SUM((SUMIFS('capacity data'!$G:$G,'capacity data'!$E:$E,"PO",'capacity data'!$B:$B,P52))-SUMIFS('capacity data'!$H:$H,'capacity data'!$E:$E,"PO",'capacity data'!$B:$B,P52))/SUMIFS('capacity data'!$G:$G,'capacity data'!$E:$E,"PO",'capacity data'!$B:$B,P52),"")</f>
        <v/>
      </c>
      <c r="R52" s="247" t="str">
        <f>IFERROR(SUM((SUMIFS('capacity data'!$G:$G,'capacity data'!$E:$E,"PSO",'capacity data'!$B:$B,P52))-SUMIFS('capacity data'!$H:$H,'capacity data'!$E:$E,"PSO",'capacity data'!$B:$B,P52))/SUMIFS('capacity data'!$G:$G,'capacity data'!$E:$E,"PSO",'capacity data'!$B:$B,P52),"")</f>
        <v/>
      </c>
      <c r="S52" s="24" t="str">
        <f t="shared" si="0"/>
        <v/>
      </c>
      <c r="T52" s="248" t="str">
        <f>IFERROR(SUMIFS('capacity data'!$L:$L,'capacity data'!$B:$B,P52,'capacity data'!$E:$E,"PSO")/SUMIFS('capacity data'!$G:$G,'capacity data'!$E:$E,"PSO",'capacity data'!$B:$B,P52),"")</f>
        <v/>
      </c>
      <c r="U52" s="248" t="str">
        <f>IFERROR(SUMIFS('capacity data'!$L:$L,'capacity data'!$B:$B,P52,'capacity data'!$E:$E,"TPO")/SUMIFS('capacity data'!$G:$G,'capacity data'!$E:$E,"TPO",'capacity data'!$B:$B,P52),"")</f>
        <v/>
      </c>
    </row>
    <row r="53" spans="15:21" ht="16" x14ac:dyDescent="0.2">
      <c r="O53" s="26" t="s">
        <v>22</v>
      </c>
      <c r="P53" t="s">
        <v>390</v>
      </c>
      <c r="Q53" s="247" t="str">
        <f>IFERROR(SUM((SUMIFS('capacity data'!$G:$G,'capacity data'!$E:$E,"PO",'capacity data'!$B:$B,P53))-SUMIFS('capacity data'!$H:$H,'capacity data'!$E:$E,"PO",'capacity data'!$B:$B,P53))/SUMIFS('capacity data'!$G:$G,'capacity data'!$E:$E,"PO",'capacity data'!$B:$B,P53),"")</f>
        <v/>
      </c>
      <c r="R53" s="247" t="str">
        <f>IFERROR(SUM((SUMIFS('capacity data'!$G:$G,'capacity data'!$E:$E,"PSO",'capacity data'!$B:$B,P53))-SUMIFS('capacity data'!$H:$H,'capacity data'!$E:$E,"PSO",'capacity data'!$B:$B,P53))/SUMIFS('capacity data'!$G:$G,'capacity data'!$E:$E,"PSO",'capacity data'!$B:$B,P53),"")</f>
        <v/>
      </c>
      <c r="S53" s="24" t="str">
        <f t="shared" si="0"/>
        <v/>
      </c>
      <c r="T53" s="248" t="str">
        <f>IFERROR(SUMIFS('capacity data'!$L:$L,'capacity data'!$B:$B,P53,'capacity data'!$E:$E,"PSO")/SUMIFS('capacity data'!$G:$G,'capacity data'!$E:$E,"PSO",'capacity data'!$B:$B,P53),"")</f>
        <v/>
      </c>
      <c r="U53" s="248" t="str">
        <f>IFERROR(SUMIFS('capacity data'!$L:$L,'capacity data'!$B:$B,P53,'capacity data'!$E:$E,"TPO")/SUMIFS('capacity data'!$G:$G,'capacity data'!$E:$E,"TPO",'capacity data'!$B:$B,P53),"")</f>
        <v/>
      </c>
    </row>
    <row r="54" spans="15:21" ht="16" x14ac:dyDescent="0.2">
      <c r="O54" s="26" t="s">
        <v>22</v>
      </c>
      <c r="P54" t="s">
        <v>405</v>
      </c>
      <c r="Q54" s="247" t="str">
        <f>IFERROR(SUM((SUMIFS('capacity data'!$G:$G,'capacity data'!$E:$E,"PO",'capacity data'!$B:$B,P54))-SUMIFS('capacity data'!$H:$H,'capacity data'!$E:$E,"PO",'capacity data'!$B:$B,P54))/SUMIFS('capacity data'!$G:$G,'capacity data'!$E:$E,"PO",'capacity data'!$B:$B,P54),"")</f>
        <v/>
      </c>
      <c r="R54" s="247" t="str">
        <f>IFERROR(SUM((SUMIFS('capacity data'!$G:$G,'capacity data'!$E:$E,"PSO",'capacity data'!$B:$B,P54))-SUMIFS('capacity data'!$H:$H,'capacity data'!$E:$E,"PSO",'capacity data'!$B:$B,P54))/SUMIFS('capacity data'!$G:$G,'capacity data'!$E:$E,"PSO",'capacity data'!$B:$B,P54),"")</f>
        <v/>
      </c>
      <c r="S54" s="24" t="str">
        <f t="shared" si="0"/>
        <v/>
      </c>
      <c r="T54" s="248" t="str">
        <f>IFERROR(SUMIFS('capacity data'!$L:$L,'capacity data'!$B:$B,P54,'capacity data'!$E:$E,"PSO")/SUMIFS('capacity data'!$G:$G,'capacity data'!$E:$E,"PSO",'capacity data'!$B:$B,P54),"")</f>
        <v/>
      </c>
      <c r="U54" s="248" t="str">
        <f>IFERROR(SUMIFS('capacity data'!$L:$L,'capacity data'!$B:$B,P54,'capacity data'!$E:$E,"TPO")/SUMIFS('capacity data'!$G:$G,'capacity data'!$E:$E,"TPO",'capacity data'!$B:$B,P54),"")</f>
        <v/>
      </c>
    </row>
    <row r="55" spans="15:21" ht="16" x14ac:dyDescent="0.2">
      <c r="O55" s="26" t="s">
        <v>22</v>
      </c>
      <c r="P55" t="s">
        <v>420</v>
      </c>
      <c r="Q55" s="247" t="str">
        <f>IFERROR(SUM((SUMIFS('capacity data'!$G:$G,'capacity data'!$E:$E,"PO",'capacity data'!$B:$B,P55))-SUMIFS('capacity data'!$H:$H,'capacity data'!$E:$E,"PO",'capacity data'!$B:$B,P55))/SUMIFS('capacity data'!$G:$G,'capacity data'!$E:$E,"PO",'capacity data'!$B:$B,P55),"")</f>
        <v/>
      </c>
      <c r="R55" s="247" t="str">
        <f>IFERROR(SUM((SUMIFS('capacity data'!$G:$G,'capacity data'!$E:$E,"PSO",'capacity data'!$B:$B,P55))-SUMIFS('capacity data'!$H:$H,'capacity data'!$E:$E,"PSO",'capacity data'!$B:$B,P55))/SUMIFS('capacity data'!$G:$G,'capacity data'!$E:$E,"PSO",'capacity data'!$B:$B,P55),"")</f>
        <v/>
      </c>
      <c r="S55" s="24" t="str">
        <f t="shared" si="0"/>
        <v/>
      </c>
      <c r="T55" s="248" t="str">
        <f>IFERROR(SUMIFS('capacity data'!$L:$L,'capacity data'!$B:$B,P55,'capacity data'!$E:$E,"PSO")/SUMIFS('capacity data'!$G:$G,'capacity data'!$E:$E,"PSO",'capacity data'!$B:$B,P55),"")</f>
        <v/>
      </c>
      <c r="U55" s="248" t="str">
        <f>IFERROR(SUMIFS('capacity data'!$L:$L,'capacity data'!$B:$B,P55,'capacity data'!$E:$E,"TPO")/SUMIFS('capacity data'!$G:$G,'capacity data'!$E:$E,"TPO",'capacity data'!$B:$B,P55),"")</f>
        <v/>
      </c>
    </row>
    <row r="56" spans="15:21" ht="16" x14ac:dyDescent="0.2">
      <c r="O56" s="26" t="s">
        <v>22</v>
      </c>
      <c r="P56" t="s">
        <v>435</v>
      </c>
      <c r="Q56" s="247" t="str">
        <f>IFERROR(SUM((SUMIFS('capacity data'!$G:$G,'capacity data'!$E:$E,"PO",'capacity data'!$B:$B,P56))-SUMIFS('capacity data'!$H:$H,'capacity data'!$E:$E,"PO",'capacity data'!$B:$B,P56))/SUMIFS('capacity data'!$G:$G,'capacity data'!$E:$E,"PO",'capacity data'!$B:$B,P56),"")</f>
        <v/>
      </c>
      <c r="R56" s="247" t="str">
        <f>IFERROR(SUM((SUMIFS('capacity data'!$G:$G,'capacity data'!$E:$E,"PSO",'capacity data'!$B:$B,P56))-SUMIFS('capacity data'!$H:$H,'capacity data'!$E:$E,"PSO",'capacity data'!$B:$B,P56))/SUMIFS('capacity data'!$G:$G,'capacity data'!$E:$E,"PSO",'capacity data'!$B:$B,P56),"")</f>
        <v/>
      </c>
      <c r="S56" s="24" t="str">
        <f t="shared" si="0"/>
        <v/>
      </c>
      <c r="T56" s="248" t="str">
        <f>IFERROR(SUMIFS('capacity data'!$L:$L,'capacity data'!$B:$B,P56,'capacity data'!$E:$E,"PSO")/SUMIFS('capacity data'!$G:$G,'capacity data'!$E:$E,"PSO",'capacity data'!$B:$B,P56),"")</f>
        <v/>
      </c>
      <c r="U56" s="248" t="str">
        <f>IFERROR(SUMIFS('capacity data'!$L:$L,'capacity data'!$B:$B,P56,'capacity data'!$E:$E,"TPO")/SUMIFS('capacity data'!$G:$G,'capacity data'!$E:$E,"TPO",'capacity data'!$B:$B,P56),"")</f>
        <v/>
      </c>
    </row>
    <row r="57" spans="15:21" ht="16" x14ac:dyDescent="0.2">
      <c r="O57" s="26" t="s">
        <v>22</v>
      </c>
      <c r="P57" t="s">
        <v>448</v>
      </c>
      <c r="Q57" s="247" t="str">
        <f>IFERROR(SUM((SUMIFS('capacity data'!$G:$G,'capacity data'!$E:$E,"PO",'capacity data'!$B:$B,P57))-SUMIFS('capacity data'!$H:$H,'capacity data'!$E:$E,"PO",'capacity data'!$B:$B,P57))/SUMIFS('capacity data'!$G:$G,'capacity data'!$E:$E,"PO",'capacity data'!$B:$B,P57),"")</f>
        <v/>
      </c>
      <c r="R57" s="247" t="str">
        <f>IFERROR(SUM((SUMIFS('capacity data'!$G:$G,'capacity data'!$E:$E,"PSO",'capacity data'!$B:$B,P57))-SUMIFS('capacity data'!$H:$H,'capacity data'!$E:$E,"PSO",'capacity data'!$B:$B,P57))/SUMIFS('capacity data'!$G:$G,'capacity data'!$E:$E,"PSO",'capacity data'!$B:$B,P57),"")</f>
        <v/>
      </c>
      <c r="S57" s="24" t="str">
        <f t="shared" si="0"/>
        <v/>
      </c>
      <c r="T57" s="248" t="str">
        <f>IFERROR(SUMIFS('capacity data'!$L:$L,'capacity data'!$B:$B,P57,'capacity data'!$E:$E,"PSO")/SUMIFS('capacity data'!$G:$G,'capacity data'!$E:$E,"PSO",'capacity data'!$B:$B,P57),"")</f>
        <v/>
      </c>
      <c r="U57" s="248" t="str">
        <f>IFERROR(SUMIFS('capacity data'!$L:$L,'capacity data'!$B:$B,P57,'capacity data'!$E:$E,"TPO")/SUMIFS('capacity data'!$G:$G,'capacity data'!$E:$E,"TPO",'capacity data'!$B:$B,P57),"")</f>
        <v/>
      </c>
    </row>
    <row r="58" spans="15:21" ht="16" x14ac:dyDescent="0.2">
      <c r="O58" s="26" t="s">
        <v>22</v>
      </c>
      <c r="P58" t="s">
        <v>460</v>
      </c>
      <c r="Q58" s="247" t="str">
        <f>IFERROR(SUM((SUMIFS('capacity data'!$G:$G,'capacity data'!$E:$E,"PO",'capacity data'!$B:$B,P58))-SUMIFS('capacity data'!$H:$H,'capacity data'!$E:$E,"PO",'capacity data'!$B:$B,P58))/SUMIFS('capacity data'!$G:$G,'capacity data'!$E:$E,"PO",'capacity data'!$B:$B,P58),"")</f>
        <v/>
      </c>
      <c r="R58" s="247" t="str">
        <f>IFERROR(SUM((SUMIFS('capacity data'!$G:$G,'capacity data'!$E:$E,"PSO",'capacity data'!$B:$B,P58))-SUMIFS('capacity data'!$H:$H,'capacity data'!$E:$E,"PSO",'capacity data'!$B:$B,P58))/SUMIFS('capacity data'!$G:$G,'capacity data'!$E:$E,"PSO",'capacity data'!$B:$B,P58),"")</f>
        <v/>
      </c>
      <c r="S58" s="24" t="str">
        <f t="shared" si="0"/>
        <v/>
      </c>
      <c r="T58" s="248" t="str">
        <f>IFERROR(SUMIFS('capacity data'!$L:$L,'capacity data'!$B:$B,P58,'capacity data'!$E:$E,"PSO")/SUMIFS('capacity data'!$G:$G,'capacity data'!$E:$E,"PSO",'capacity data'!$B:$B,P58),"")</f>
        <v/>
      </c>
      <c r="U58" s="248" t="str">
        <f>IFERROR(SUMIFS('capacity data'!$L:$L,'capacity data'!$B:$B,P58,'capacity data'!$E:$E,"TPO")/SUMIFS('capacity data'!$G:$G,'capacity data'!$E:$E,"TPO",'capacity data'!$B:$B,P58),"")</f>
        <v/>
      </c>
    </row>
    <row r="59" spans="15:21" ht="16" x14ac:dyDescent="0.2">
      <c r="O59" s="26" t="s">
        <v>22</v>
      </c>
      <c r="P59" t="s">
        <v>472</v>
      </c>
      <c r="Q59" s="247" t="str">
        <f>IFERROR(SUM((SUMIFS('capacity data'!$G:$G,'capacity data'!$E:$E,"PO",'capacity data'!$B:$B,P59))-SUMIFS('capacity data'!$H:$H,'capacity data'!$E:$E,"PO",'capacity data'!$B:$B,P59))/SUMIFS('capacity data'!$G:$G,'capacity data'!$E:$E,"PO",'capacity data'!$B:$B,P59),"")</f>
        <v/>
      </c>
      <c r="R59" s="247" t="str">
        <f>IFERROR(SUM((SUMIFS('capacity data'!$G:$G,'capacity data'!$E:$E,"PSO",'capacity data'!$B:$B,P59))-SUMIFS('capacity data'!$H:$H,'capacity data'!$E:$E,"PSO",'capacity data'!$B:$B,P59))/SUMIFS('capacity data'!$G:$G,'capacity data'!$E:$E,"PSO",'capacity data'!$B:$B,P59),"")</f>
        <v/>
      </c>
      <c r="S59" s="24" t="str">
        <f t="shared" si="0"/>
        <v/>
      </c>
      <c r="T59" s="248" t="str">
        <f>IFERROR(SUMIFS('capacity data'!$L:$L,'capacity data'!$B:$B,P59,'capacity data'!$E:$E,"PSO")/SUMIFS('capacity data'!$G:$G,'capacity data'!$E:$E,"PSO",'capacity data'!$B:$B,P59),"")</f>
        <v/>
      </c>
      <c r="U59" s="248" t="str">
        <f>IFERROR(SUMIFS('capacity data'!$L:$L,'capacity data'!$B:$B,P59,'capacity data'!$E:$E,"TPO")/SUMIFS('capacity data'!$G:$G,'capacity data'!$E:$E,"TPO",'capacity data'!$B:$B,P59),"")</f>
        <v/>
      </c>
    </row>
    <row r="60" spans="15:21" ht="16" x14ac:dyDescent="0.2">
      <c r="O60" s="26" t="s">
        <v>22</v>
      </c>
      <c r="P60" t="s">
        <v>483</v>
      </c>
      <c r="Q60" s="247" t="str">
        <f>IFERROR(SUM((SUMIFS('capacity data'!$G:$G,'capacity data'!$E:$E,"PO",'capacity data'!$B:$B,P60))-SUMIFS('capacity data'!$H:$H,'capacity data'!$E:$E,"PO",'capacity data'!$B:$B,P60))/SUMIFS('capacity data'!$G:$G,'capacity data'!$E:$E,"PO",'capacity data'!$B:$B,P60),"")</f>
        <v/>
      </c>
      <c r="R60" s="247" t="str">
        <f>IFERROR(SUM((SUMIFS('capacity data'!$G:$G,'capacity data'!$E:$E,"PSO",'capacity data'!$B:$B,P60))-SUMIFS('capacity data'!$H:$H,'capacity data'!$E:$E,"PSO",'capacity data'!$B:$B,P60))/SUMIFS('capacity data'!$G:$G,'capacity data'!$E:$E,"PSO",'capacity data'!$B:$B,P60),"")</f>
        <v/>
      </c>
      <c r="S60" s="24" t="str">
        <f t="shared" si="0"/>
        <v/>
      </c>
      <c r="T60" s="248" t="str">
        <f>IFERROR(SUMIFS('capacity data'!$L:$L,'capacity data'!$B:$B,P60,'capacity data'!$E:$E,"PSO")/SUMIFS('capacity data'!$G:$G,'capacity data'!$E:$E,"PSO",'capacity data'!$B:$B,P60),"")</f>
        <v/>
      </c>
      <c r="U60" s="248" t="str">
        <f>IFERROR(SUMIFS('capacity data'!$L:$L,'capacity data'!$B:$B,P60,'capacity data'!$E:$E,"TPO")/SUMIFS('capacity data'!$G:$G,'capacity data'!$E:$E,"TPO",'capacity data'!$B:$B,P60),"")</f>
        <v/>
      </c>
    </row>
    <row r="61" spans="15:21" ht="16" x14ac:dyDescent="0.2">
      <c r="O61" s="26" t="s">
        <v>22</v>
      </c>
      <c r="P61" t="s">
        <v>495</v>
      </c>
      <c r="Q61" s="247" t="str">
        <f>IFERROR(SUM((SUMIFS('capacity data'!$G:$G,'capacity data'!$E:$E,"PO",'capacity data'!$B:$B,P61))-SUMIFS('capacity data'!$H:$H,'capacity data'!$E:$E,"PO",'capacity data'!$B:$B,P61))/SUMIFS('capacity data'!$G:$G,'capacity data'!$E:$E,"PO",'capacity data'!$B:$B,P61),"")</f>
        <v/>
      </c>
      <c r="R61" s="247" t="str">
        <f>IFERROR(SUM((SUMIFS('capacity data'!$G:$G,'capacity data'!$E:$E,"PSO",'capacity data'!$B:$B,P61))-SUMIFS('capacity data'!$H:$H,'capacity data'!$E:$E,"PSO",'capacity data'!$B:$B,P61))/SUMIFS('capacity data'!$G:$G,'capacity data'!$E:$E,"PSO",'capacity data'!$B:$B,P61),"")</f>
        <v/>
      </c>
      <c r="S61" s="24" t="str">
        <f t="shared" si="0"/>
        <v/>
      </c>
      <c r="T61" s="248" t="str">
        <f>IFERROR(SUMIFS('capacity data'!$L:$L,'capacity data'!$B:$B,P61,'capacity data'!$E:$E,"PSO")/SUMIFS('capacity data'!$G:$G,'capacity data'!$E:$E,"PSO",'capacity data'!$B:$B,P61),"")</f>
        <v/>
      </c>
      <c r="U61" s="248" t="str">
        <f>IFERROR(SUMIFS('capacity data'!$L:$L,'capacity data'!$B:$B,P61,'capacity data'!$E:$E,"TPO")/SUMIFS('capacity data'!$G:$G,'capacity data'!$E:$E,"TPO",'capacity data'!$B:$B,P61),"")</f>
        <v/>
      </c>
    </row>
    <row r="62" spans="15:21" ht="16" x14ac:dyDescent="0.2">
      <c r="O62" s="26" t="s">
        <v>22</v>
      </c>
      <c r="P62" t="s">
        <v>505</v>
      </c>
      <c r="Q62" s="247" t="str">
        <f>IFERROR(SUM((SUMIFS('capacity data'!$G:$G,'capacity data'!$E:$E,"PO",'capacity data'!$B:$B,P62))-SUMIFS('capacity data'!$H:$H,'capacity data'!$E:$E,"PO",'capacity data'!$B:$B,P62))/SUMIFS('capacity data'!$G:$G,'capacity data'!$E:$E,"PO",'capacity data'!$B:$B,P62),"")</f>
        <v/>
      </c>
      <c r="R62" s="247" t="str">
        <f>IFERROR(SUM((SUMIFS('capacity data'!$G:$G,'capacity data'!$E:$E,"PSO",'capacity data'!$B:$B,P62))-SUMIFS('capacity data'!$H:$H,'capacity data'!$E:$E,"PSO",'capacity data'!$B:$B,P62))/SUMIFS('capacity data'!$G:$G,'capacity data'!$E:$E,"PSO",'capacity data'!$B:$B,P62),"")</f>
        <v/>
      </c>
      <c r="S62" s="24" t="str">
        <f t="shared" si="0"/>
        <v/>
      </c>
      <c r="T62" s="248" t="str">
        <f>IFERROR(SUMIFS('capacity data'!$L:$L,'capacity data'!$B:$B,P62,'capacity data'!$E:$E,"PSO")/SUMIFS('capacity data'!$G:$G,'capacity data'!$E:$E,"PSO",'capacity data'!$B:$B,P62),"")</f>
        <v/>
      </c>
      <c r="U62" s="248" t="str">
        <f>IFERROR(SUMIFS('capacity data'!$L:$L,'capacity data'!$B:$B,P62,'capacity data'!$E:$E,"TPO")/SUMIFS('capacity data'!$G:$G,'capacity data'!$E:$E,"TPO",'capacity data'!$B:$B,P62),"")</f>
        <v/>
      </c>
    </row>
    <row r="63" spans="15:21" ht="16" x14ac:dyDescent="0.2">
      <c r="O63" s="26" t="s">
        <v>22</v>
      </c>
      <c r="P63" t="s">
        <v>515</v>
      </c>
      <c r="Q63" s="247" t="str">
        <f>IFERROR(SUM((SUMIFS('capacity data'!$G:$G,'capacity data'!$E:$E,"PO",'capacity data'!$B:$B,P63))-SUMIFS('capacity data'!$H:$H,'capacity data'!$E:$E,"PO",'capacity data'!$B:$B,P63))/SUMIFS('capacity data'!$G:$G,'capacity data'!$E:$E,"PO",'capacity data'!$B:$B,P63),"")</f>
        <v/>
      </c>
      <c r="R63" s="247" t="str">
        <f>IFERROR(SUM((SUMIFS('capacity data'!$G:$G,'capacity data'!$E:$E,"PSO",'capacity data'!$B:$B,P63))-SUMIFS('capacity data'!$H:$H,'capacity data'!$E:$E,"PSO",'capacity data'!$B:$B,P63))/SUMIFS('capacity data'!$G:$G,'capacity data'!$E:$E,"PSO",'capacity data'!$B:$B,P63),"")</f>
        <v/>
      </c>
      <c r="S63" s="24" t="str">
        <f t="shared" si="0"/>
        <v/>
      </c>
      <c r="T63" s="248" t="str">
        <f>IFERROR(SUMIFS('capacity data'!$L:$L,'capacity data'!$B:$B,P63,'capacity data'!$E:$E,"PSO")/SUMIFS('capacity data'!$G:$G,'capacity data'!$E:$E,"PSO",'capacity data'!$B:$B,P63),"")</f>
        <v/>
      </c>
      <c r="U63" s="248" t="str">
        <f>IFERROR(SUMIFS('capacity data'!$L:$L,'capacity data'!$B:$B,P63,'capacity data'!$E:$E,"TPO")/SUMIFS('capacity data'!$G:$G,'capacity data'!$E:$E,"TPO",'capacity data'!$B:$B,P63),"")</f>
        <v/>
      </c>
    </row>
    <row r="64" spans="15:21" ht="16" x14ac:dyDescent="0.2">
      <c r="O64" s="26" t="s">
        <v>22</v>
      </c>
      <c r="P64" t="s">
        <v>525</v>
      </c>
      <c r="Q64" s="247" t="str">
        <f>IFERROR(SUM((SUMIFS('capacity data'!$G:$G,'capacity data'!$E:$E,"PO",'capacity data'!$B:$B,P64))-SUMIFS('capacity data'!$H:$H,'capacity data'!$E:$E,"PO",'capacity data'!$B:$B,P64))/SUMIFS('capacity data'!$G:$G,'capacity data'!$E:$E,"PO",'capacity data'!$B:$B,P64),"")</f>
        <v/>
      </c>
      <c r="R64" s="247" t="str">
        <f>IFERROR(SUM((SUMIFS('capacity data'!$G:$G,'capacity data'!$E:$E,"PSO",'capacity data'!$B:$B,P64))-SUMIFS('capacity data'!$H:$H,'capacity data'!$E:$E,"PSO",'capacity data'!$B:$B,P64))/SUMIFS('capacity data'!$G:$G,'capacity data'!$E:$E,"PSO",'capacity data'!$B:$B,P64),"")</f>
        <v/>
      </c>
      <c r="S64" s="24" t="str">
        <f t="shared" si="0"/>
        <v/>
      </c>
      <c r="T64" s="248" t="str">
        <f>IFERROR(SUMIFS('capacity data'!$L:$L,'capacity data'!$B:$B,P64,'capacity data'!$E:$E,"PSO")/SUMIFS('capacity data'!$G:$G,'capacity data'!$E:$E,"PSO",'capacity data'!$B:$B,P64),"")</f>
        <v/>
      </c>
      <c r="U64" s="248" t="str">
        <f>IFERROR(SUMIFS('capacity data'!$L:$L,'capacity data'!$B:$B,P64,'capacity data'!$E:$E,"TPO")/SUMIFS('capacity data'!$G:$G,'capacity data'!$E:$E,"TPO",'capacity data'!$B:$B,P64),"")</f>
        <v/>
      </c>
    </row>
    <row r="65" spans="15:21" ht="16" x14ac:dyDescent="0.2">
      <c r="O65" s="26" t="s">
        <v>22</v>
      </c>
      <c r="P65" t="s">
        <v>535</v>
      </c>
      <c r="Q65" s="247" t="str">
        <f>IFERROR(SUM((SUMIFS('capacity data'!$G:$G,'capacity data'!$E:$E,"PO",'capacity data'!$B:$B,P65))-SUMIFS('capacity data'!$H:$H,'capacity data'!$E:$E,"PO",'capacity data'!$B:$B,P65))/SUMIFS('capacity data'!$G:$G,'capacity data'!$E:$E,"PO",'capacity data'!$B:$B,P65),"")</f>
        <v/>
      </c>
      <c r="R65" s="247" t="str">
        <f>IFERROR(SUM((SUMIFS('capacity data'!$G:$G,'capacity data'!$E:$E,"PSO",'capacity data'!$B:$B,P65))-SUMIFS('capacity data'!$H:$H,'capacity data'!$E:$E,"PSO",'capacity data'!$B:$B,P65))/SUMIFS('capacity data'!$G:$G,'capacity data'!$E:$E,"PSO",'capacity data'!$B:$B,P65),"")</f>
        <v/>
      </c>
      <c r="S65" s="24" t="str">
        <f t="shared" si="0"/>
        <v/>
      </c>
      <c r="T65" s="248" t="str">
        <f>IFERROR(SUMIFS('capacity data'!$L:$L,'capacity data'!$B:$B,P65,'capacity data'!$E:$E,"PSO")/SUMIFS('capacity data'!$G:$G,'capacity data'!$E:$E,"PSO",'capacity data'!$B:$B,P65),"")</f>
        <v/>
      </c>
      <c r="U65" s="248" t="str">
        <f>IFERROR(SUMIFS('capacity data'!$L:$L,'capacity data'!$B:$B,P65,'capacity data'!$E:$E,"TPO")/SUMIFS('capacity data'!$G:$G,'capacity data'!$E:$E,"TPO",'capacity data'!$B:$B,P65),"")</f>
        <v/>
      </c>
    </row>
    <row r="66" spans="15:21" ht="16" x14ac:dyDescent="0.2">
      <c r="O66" s="26" t="s">
        <v>23</v>
      </c>
      <c r="P66" t="s">
        <v>42</v>
      </c>
      <c r="Q66" s="247" t="str">
        <f>IFERROR(SUM((SUMIFS('capacity data'!$G:$G,'capacity data'!$E:$E,"PO",'capacity data'!$B:$B,P66))-SUMIFS('capacity data'!$H:$H,'capacity data'!$E:$E,"PO",'capacity data'!$B:$B,P66))/SUMIFS('capacity data'!$G:$G,'capacity data'!$E:$E,"PO",'capacity data'!$B:$B,P66),"")</f>
        <v/>
      </c>
      <c r="R66" s="247" t="str">
        <f>IFERROR(SUM((SUMIFS('capacity data'!$G:$G,'capacity data'!$E:$E,"PSO",'capacity data'!$B:$B,P66))-SUMIFS('capacity data'!$H:$H,'capacity data'!$E:$E,"PSO",'capacity data'!$B:$B,P66))/SUMIFS('capacity data'!$G:$G,'capacity data'!$E:$E,"PSO",'capacity data'!$B:$B,P66),"")</f>
        <v/>
      </c>
      <c r="S66" s="24" t="str">
        <f t="shared" si="0"/>
        <v/>
      </c>
      <c r="T66" s="248" t="str">
        <f>IFERROR(SUMIFS('capacity data'!$L:$L,'capacity data'!$B:$B,P66,'capacity data'!$E:$E,"PSO")/SUMIFS('capacity data'!$G:$G,'capacity data'!$E:$E,"PSO",'capacity data'!$B:$B,P66),"")</f>
        <v/>
      </c>
      <c r="U66" s="248" t="str">
        <f>IFERROR(SUMIFS('capacity data'!$L:$L,'capacity data'!$B:$B,P66,'capacity data'!$E:$E,"TPO")/SUMIFS('capacity data'!$G:$G,'capacity data'!$E:$E,"TPO",'capacity data'!$B:$B,P66),"")</f>
        <v/>
      </c>
    </row>
    <row r="67" spans="15:21" ht="16" x14ac:dyDescent="0.2">
      <c r="O67" s="26" t="s">
        <v>23</v>
      </c>
      <c r="P67" t="s">
        <v>76</v>
      </c>
      <c r="Q67" s="247" t="str">
        <f>IFERROR(SUM((SUMIFS('capacity data'!$G:$G,'capacity data'!$E:$E,"PO",'capacity data'!$B:$B,P67))-SUMIFS('capacity data'!$H:$H,'capacity data'!$E:$E,"PO",'capacity data'!$B:$B,P67))/SUMIFS('capacity data'!$G:$G,'capacity data'!$E:$E,"PO",'capacity data'!$B:$B,P67),"")</f>
        <v/>
      </c>
      <c r="R67" s="247" t="str">
        <f>IFERROR(SUM((SUMIFS('capacity data'!$G:$G,'capacity data'!$E:$E,"PSO",'capacity data'!$B:$B,P67))-SUMIFS('capacity data'!$H:$H,'capacity data'!$E:$E,"PSO",'capacity data'!$B:$B,P67))/SUMIFS('capacity data'!$G:$G,'capacity data'!$E:$E,"PSO",'capacity data'!$B:$B,P67),"")</f>
        <v/>
      </c>
      <c r="S67" s="24" t="str">
        <f t="shared" si="0"/>
        <v/>
      </c>
      <c r="T67" s="248" t="str">
        <f>IFERROR(SUMIFS('capacity data'!$L:$L,'capacity data'!$B:$B,P67,'capacity data'!$E:$E,"PSO")/SUMIFS('capacity data'!$G:$G,'capacity data'!$E:$E,"PSO",'capacity data'!$B:$B,P67),"")</f>
        <v/>
      </c>
      <c r="U67" s="248" t="str">
        <f>IFERROR(SUMIFS('capacity data'!$L:$L,'capacity data'!$B:$B,P67,'capacity data'!$E:$E,"TPO")/SUMIFS('capacity data'!$G:$G,'capacity data'!$E:$E,"TPO",'capacity data'!$B:$B,P67),"")</f>
        <v/>
      </c>
    </row>
    <row r="68" spans="15:21" ht="16" x14ac:dyDescent="0.2">
      <c r="O68" s="26" t="s">
        <v>23</v>
      </c>
      <c r="P68" t="s">
        <v>107</v>
      </c>
      <c r="Q68" s="247" t="str">
        <f>IFERROR(SUM((SUMIFS('capacity data'!$G:$G,'capacity data'!$E:$E,"PO",'capacity data'!$B:$B,P68))-SUMIFS('capacity data'!$H:$H,'capacity data'!$E:$E,"PO",'capacity data'!$B:$B,P68))/SUMIFS('capacity data'!$G:$G,'capacity data'!$E:$E,"PO",'capacity data'!$B:$B,P68),"")</f>
        <v/>
      </c>
      <c r="R68" s="247" t="str">
        <f>IFERROR(SUM((SUMIFS('capacity data'!$G:$G,'capacity data'!$E:$E,"PSO",'capacity data'!$B:$B,P68))-SUMIFS('capacity data'!$H:$H,'capacity data'!$E:$E,"PSO",'capacity data'!$B:$B,P68))/SUMIFS('capacity data'!$G:$G,'capacity data'!$E:$E,"PSO",'capacity data'!$B:$B,P68),"")</f>
        <v/>
      </c>
      <c r="S68" s="24" t="str">
        <f t="shared" si="0"/>
        <v/>
      </c>
      <c r="T68" s="248" t="str">
        <f>IFERROR(SUMIFS('capacity data'!$L:$L,'capacity data'!$B:$B,P68,'capacity data'!$E:$E,"PSO")/SUMIFS('capacity data'!$G:$G,'capacity data'!$E:$E,"PSO",'capacity data'!$B:$B,P68),"")</f>
        <v/>
      </c>
      <c r="U68" s="248" t="str">
        <f>IFERROR(SUMIFS('capacity data'!$L:$L,'capacity data'!$B:$B,P68,'capacity data'!$E:$E,"TPO")/SUMIFS('capacity data'!$G:$G,'capacity data'!$E:$E,"TPO",'capacity data'!$B:$B,P68),"")</f>
        <v/>
      </c>
    </row>
    <row r="69" spans="15:21" ht="16" x14ac:dyDescent="0.2">
      <c r="O69" s="26" t="s">
        <v>23</v>
      </c>
      <c r="P69" t="s">
        <v>138</v>
      </c>
      <c r="Q69" s="247" t="str">
        <f>IFERROR(SUM((SUMIFS('capacity data'!$G:$G,'capacity data'!$E:$E,"PO",'capacity data'!$B:$B,P69))-SUMIFS('capacity data'!$H:$H,'capacity data'!$E:$E,"PO",'capacity data'!$B:$B,P69))/SUMIFS('capacity data'!$G:$G,'capacity data'!$E:$E,"PO",'capacity data'!$B:$B,P69),"")</f>
        <v/>
      </c>
      <c r="R69" s="247" t="str">
        <f>IFERROR(SUM((SUMIFS('capacity data'!$G:$G,'capacity data'!$E:$E,"PSO",'capacity data'!$B:$B,P69))-SUMIFS('capacity data'!$H:$H,'capacity data'!$E:$E,"PSO",'capacity data'!$B:$B,P69))/SUMIFS('capacity data'!$G:$G,'capacity data'!$E:$E,"PSO",'capacity data'!$B:$B,P69),"")</f>
        <v/>
      </c>
      <c r="S69" s="24" t="str">
        <f t="shared" ref="S69:S124" si="1">IFERROR((Q69-R69),"")</f>
        <v/>
      </c>
      <c r="T69" s="248" t="str">
        <f>IFERROR(SUMIFS('capacity data'!$L:$L,'capacity data'!$B:$B,P69,'capacity data'!$E:$E,"PSO")/SUMIFS('capacity data'!$G:$G,'capacity data'!$E:$E,"PSO",'capacity data'!$B:$B,P69),"")</f>
        <v/>
      </c>
      <c r="U69" s="248" t="str">
        <f>IFERROR(SUMIFS('capacity data'!$L:$L,'capacity data'!$B:$B,P69,'capacity data'!$E:$E,"TPO")/SUMIFS('capacity data'!$G:$G,'capacity data'!$E:$E,"TPO",'capacity data'!$B:$B,P69),"")</f>
        <v/>
      </c>
    </row>
    <row r="70" spans="15:21" ht="16" x14ac:dyDescent="0.2">
      <c r="O70" s="26" t="s">
        <v>23</v>
      </c>
      <c r="P70" t="s">
        <v>167</v>
      </c>
      <c r="Q70" s="247" t="str">
        <f>IFERROR(SUM((SUMIFS('capacity data'!$G:$G,'capacity data'!$E:$E,"PO",'capacity data'!$B:$B,P70))-SUMIFS('capacity data'!$H:$H,'capacity data'!$E:$E,"PO",'capacity data'!$B:$B,P70))/SUMIFS('capacity data'!$G:$G,'capacity data'!$E:$E,"PO",'capacity data'!$B:$B,P70),"")</f>
        <v/>
      </c>
      <c r="R70" s="247" t="str">
        <f>IFERROR(SUM((SUMIFS('capacity data'!$G:$G,'capacity data'!$E:$E,"PSO",'capacity data'!$B:$B,P70))-SUMIFS('capacity data'!$H:$H,'capacity data'!$E:$E,"PSO",'capacity data'!$B:$B,P70))/SUMIFS('capacity data'!$G:$G,'capacity data'!$E:$E,"PSO",'capacity data'!$B:$B,P70),"")</f>
        <v/>
      </c>
      <c r="S70" s="24" t="str">
        <f t="shared" si="1"/>
        <v/>
      </c>
      <c r="T70" s="248" t="str">
        <f>IFERROR(SUMIFS('capacity data'!$L:$L,'capacity data'!$B:$B,P70,'capacity data'!$E:$E,"PSO")/SUMIFS('capacity data'!$G:$G,'capacity data'!$E:$E,"PSO",'capacity data'!$B:$B,P70),"")</f>
        <v/>
      </c>
      <c r="U70" s="248" t="str">
        <f>IFERROR(SUMIFS('capacity data'!$L:$L,'capacity data'!$B:$B,P70,'capacity data'!$E:$E,"TPO")/SUMIFS('capacity data'!$G:$G,'capacity data'!$E:$E,"TPO",'capacity data'!$B:$B,P70),"")</f>
        <v/>
      </c>
    </row>
    <row r="71" spans="15:21" ht="16" x14ac:dyDescent="0.2">
      <c r="O71" s="26" t="s">
        <v>23</v>
      </c>
      <c r="P71" t="s">
        <v>195</v>
      </c>
      <c r="Q71" s="247" t="str">
        <f>IFERROR(SUM((SUMIFS('capacity data'!$G:$G,'capacity data'!$E:$E,"PO",'capacity data'!$B:$B,P71))-SUMIFS('capacity data'!$H:$H,'capacity data'!$E:$E,"PO",'capacity data'!$B:$B,P71))/SUMIFS('capacity data'!$G:$G,'capacity data'!$E:$E,"PO",'capacity data'!$B:$B,P71),"")</f>
        <v/>
      </c>
      <c r="R71" s="247" t="str">
        <f>IFERROR(SUM((SUMIFS('capacity data'!$G:$G,'capacity data'!$E:$E,"PSO",'capacity data'!$B:$B,P71))-SUMIFS('capacity data'!$H:$H,'capacity data'!$E:$E,"PSO",'capacity data'!$B:$B,P71))/SUMIFS('capacity data'!$G:$G,'capacity data'!$E:$E,"PSO",'capacity data'!$B:$B,P71),"")</f>
        <v/>
      </c>
      <c r="S71" s="24" t="str">
        <f t="shared" si="1"/>
        <v/>
      </c>
      <c r="T71" s="248" t="str">
        <f>IFERROR(SUMIFS('capacity data'!$L:$L,'capacity data'!$B:$B,P71,'capacity data'!$E:$E,"PSO")/SUMIFS('capacity data'!$G:$G,'capacity data'!$E:$E,"PSO",'capacity data'!$B:$B,P71),"")</f>
        <v/>
      </c>
      <c r="U71" s="248" t="str">
        <f>IFERROR(SUMIFS('capacity data'!$L:$L,'capacity data'!$B:$B,P71,'capacity data'!$E:$E,"TPO")/SUMIFS('capacity data'!$G:$G,'capacity data'!$E:$E,"TPO",'capacity data'!$B:$B,P71),"")</f>
        <v/>
      </c>
    </row>
    <row r="72" spans="15:21" ht="16" x14ac:dyDescent="0.2">
      <c r="O72" s="26" t="s">
        <v>23</v>
      </c>
      <c r="P72" t="s">
        <v>220</v>
      </c>
      <c r="Q72" s="247" t="str">
        <f>IFERROR(SUM((SUMIFS('capacity data'!$G:$G,'capacity data'!$E:$E,"PO",'capacity data'!$B:$B,P72))-SUMIFS('capacity data'!$H:$H,'capacity data'!$E:$E,"PO",'capacity data'!$B:$B,P72))/SUMIFS('capacity data'!$G:$G,'capacity data'!$E:$E,"PO",'capacity data'!$B:$B,P72),"")</f>
        <v/>
      </c>
      <c r="R72" s="247" t="str">
        <f>IFERROR(SUM((SUMIFS('capacity data'!$G:$G,'capacity data'!$E:$E,"PSO",'capacity data'!$B:$B,P72))-SUMIFS('capacity data'!$H:$H,'capacity data'!$E:$E,"PSO",'capacity data'!$B:$B,P72))/SUMIFS('capacity data'!$G:$G,'capacity data'!$E:$E,"PSO",'capacity data'!$B:$B,P72),"")</f>
        <v/>
      </c>
      <c r="S72" s="24" t="str">
        <f t="shared" si="1"/>
        <v/>
      </c>
      <c r="T72" s="248" t="str">
        <f>IFERROR(SUMIFS('capacity data'!$L:$L,'capacity data'!$B:$B,P72,'capacity data'!$E:$E,"PSO")/SUMIFS('capacity data'!$G:$G,'capacity data'!$E:$E,"PSO",'capacity data'!$B:$B,P72),"")</f>
        <v/>
      </c>
      <c r="U72" s="248" t="str">
        <f>IFERROR(SUMIFS('capacity data'!$L:$L,'capacity data'!$B:$B,P72,'capacity data'!$E:$E,"TPO")/SUMIFS('capacity data'!$G:$G,'capacity data'!$E:$E,"TPO",'capacity data'!$B:$B,P72),"")</f>
        <v/>
      </c>
    </row>
    <row r="73" spans="15:21" ht="16" x14ac:dyDescent="0.2">
      <c r="O73" s="26" t="s">
        <v>23</v>
      </c>
      <c r="P73" t="s">
        <v>245</v>
      </c>
      <c r="Q73" s="247" t="str">
        <f>IFERROR(SUM((SUMIFS('capacity data'!$G:$G,'capacity data'!$E:$E,"PO",'capacity data'!$B:$B,P73))-SUMIFS('capacity data'!$H:$H,'capacity data'!$E:$E,"PO",'capacity data'!$B:$B,P73))/SUMIFS('capacity data'!$G:$G,'capacity data'!$E:$E,"PO",'capacity data'!$B:$B,P73),"")</f>
        <v/>
      </c>
      <c r="R73" s="247" t="str">
        <f>IFERROR(SUM((SUMIFS('capacity data'!$G:$G,'capacity data'!$E:$E,"PSO",'capacity data'!$B:$B,P73))-SUMIFS('capacity data'!$H:$H,'capacity data'!$E:$E,"PSO",'capacity data'!$B:$B,P73))/SUMIFS('capacity data'!$G:$G,'capacity data'!$E:$E,"PSO",'capacity data'!$B:$B,P73),"")</f>
        <v/>
      </c>
      <c r="S73" s="24" t="str">
        <f t="shared" si="1"/>
        <v/>
      </c>
      <c r="T73" s="248" t="str">
        <f>IFERROR(SUMIFS('capacity data'!$L:$L,'capacity data'!$B:$B,P73,'capacity data'!$E:$E,"PSO")/SUMIFS('capacity data'!$G:$G,'capacity data'!$E:$E,"PSO",'capacity data'!$B:$B,P73),"")</f>
        <v/>
      </c>
      <c r="U73" s="248" t="str">
        <f>IFERROR(SUMIFS('capacity data'!$L:$L,'capacity data'!$B:$B,P73,'capacity data'!$E:$E,"TPO")/SUMIFS('capacity data'!$G:$G,'capacity data'!$E:$E,"TPO",'capacity data'!$B:$B,P73),"")</f>
        <v/>
      </c>
    </row>
    <row r="74" spans="15:21" ht="16" x14ac:dyDescent="0.2">
      <c r="O74" s="26" t="s">
        <v>23</v>
      </c>
      <c r="P74" t="s">
        <v>269</v>
      </c>
      <c r="Q74" s="247" t="str">
        <f>IFERROR(SUM((SUMIFS('capacity data'!$G:$G,'capacity data'!$E:$E,"PO",'capacity data'!$B:$B,P74))-SUMIFS('capacity data'!$H:$H,'capacity data'!$E:$E,"PO",'capacity data'!$B:$B,P74))/SUMIFS('capacity data'!$G:$G,'capacity data'!$E:$E,"PO",'capacity data'!$B:$B,P74),"")</f>
        <v/>
      </c>
      <c r="R74" s="247" t="str">
        <f>IFERROR(SUM((SUMIFS('capacity data'!$G:$G,'capacity data'!$E:$E,"PSO",'capacity data'!$B:$B,P74))-SUMIFS('capacity data'!$H:$H,'capacity data'!$E:$E,"PSO",'capacity data'!$B:$B,P74))/SUMIFS('capacity data'!$G:$G,'capacity data'!$E:$E,"PSO",'capacity data'!$B:$B,P74),"")</f>
        <v/>
      </c>
      <c r="S74" s="24" t="str">
        <f t="shared" si="1"/>
        <v/>
      </c>
      <c r="T74" s="248" t="str">
        <f>IFERROR(SUMIFS('capacity data'!$L:$L,'capacity data'!$B:$B,P74,'capacity data'!$E:$E,"PSO")/SUMIFS('capacity data'!$G:$G,'capacity data'!$E:$E,"PSO",'capacity data'!$B:$B,P74),"")</f>
        <v/>
      </c>
      <c r="U74" s="248" t="str">
        <f>IFERROR(SUMIFS('capacity data'!$L:$L,'capacity data'!$B:$B,P74,'capacity data'!$E:$E,"TPO")/SUMIFS('capacity data'!$G:$G,'capacity data'!$E:$E,"TPO",'capacity data'!$B:$B,P74),"")</f>
        <v/>
      </c>
    </row>
    <row r="75" spans="15:21" ht="16" x14ac:dyDescent="0.2">
      <c r="O75" s="26" t="s">
        <v>23</v>
      </c>
      <c r="P75" t="s">
        <v>291</v>
      </c>
      <c r="Q75" s="247" t="str">
        <f>IFERROR(SUM((SUMIFS('capacity data'!$G:$G,'capacity data'!$E:$E,"PO",'capacity data'!$B:$B,P75))-SUMIFS('capacity data'!$H:$H,'capacity data'!$E:$E,"PO",'capacity data'!$B:$B,P75))/SUMIFS('capacity data'!$G:$G,'capacity data'!$E:$E,"PO",'capacity data'!$B:$B,P75),"")</f>
        <v/>
      </c>
      <c r="R75" s="247" t="str">
        <f>IFERROR(SUM((SUMIFS('capacity data'!$G:$G,'capacity data'!$E:$E,"PSO",'capacity data'!$B:$B,P75))-SUMIFS('capacity data'!$H:$H,'capacity data'!$E:$E,"PSO",'capacity data'!$B:$B,P75))/SUMIFS('capacity data'!$G:$G,'capacity data'!$E:$E,"PSO",'capacity data'!$B:$B,P75),"")</f>
        <v/>
      </c>
      <c r="S75" s="24" t="str">
        <f t="shared" si="1"/>
        <v/>
      </c>
      <c r="T75" s="248" t="str">
        <f>IFERROR(SUMIFS('capacity data'!$L:$L,'capacity data'!$B:$B,P75,'capacity data'!$E:$E,"PSO")/SUMIFS('capacity data'!$G:$G,'capacity data'!$E:$E,"PSO",'capacity data'!$B:$B,P75),"")</f>
        <v/>
      </c>
      <c r="U75" s="248" t="str">
        <f>IFERROR(SUMIFS('capacity data'!$L:$L,'capacity data'!$B:$B,P75,'capacity data'!$E:$E,"TPO")/SUMIFS('capacity data'!$G:$G,'capacity data'!$E:$E,"TPO",'capacity data'!$B:$B,P75),"")</f>
        <v/>
      </c>
    </row>
    <row r="76" spans="15:21" ht="16" x14ac:dyDescent="0.2">
      <c r="O76" s="26" t="s">
        <v>23</v>
      </c>
      <c r="P76" t="s">
        <v>313</v>
      </c>
      <c r="Q76" s="247" t="str">
        <f>IFERROR(SUM((SUMIFS('capacity data'!$G:$G,'capacity data'!$E:$E,"PO",'capacity data'!$B:$B,P76))-SUMIFS('capacity data'!$H:$H,'capacity data'!$E:$E,"PO",'capacity data'!$B:$B,P76))/SUMIFS('capacity data'!$G:$G,'capacity data'!$E:$E,"PO",'capacity data'!$B:$B,P76),"")</f>
        <v/>
      </c>
      <c r="R76" s="247" t="str">
        <f>IFERROR(SUM((SUMIFS('capacity data'!$G:$G,'capacity data'!$E:$E,"PSO",'capacity data'!$B:$B,P76))-SUMIFS('capacity data'!$H:$H,'capacity data'!$E:$E,"PSO",'capacity data'!$B:$B,P76))/SUMIFS('capacity data'!$G:$G,'capacity data'!$E:$E,"PSO",'capacity data'!$B:$B,P76),"")</f>
        <v/>
      </c>
      <c r="S76" s="24" t="str">
        <f t="shared" si="1"/>
        <v/>
      </c>
      <c r="T76" s="248" t="str">
        <f>IFERROR(SUMIFS('capacity data'!$L:$L,'capacity data'!$B:$B,P76,'capacity data'!$E:$E,"PSO")/SUMIFS('capacity data'!$G:$G,'capacity data'!$E:$E,"PSO",'capacity data'!$B:$B,P76),"")</f>
        <v/>
      </c>
      <c r="U76" s="248" t="str">
        <f>IFERROR(SUMIFS('capacity data'!$L:$L,'capacity data'!$B:$B,P76,'capacity data'!$E:$E,"TPO")/SUMIFS('capacity data'!$G:$G,'capacity data'!$E:$E,"TPO",'capacity data'!$B:$B,P76),"")</f>
        <v/>
      </c>
    </row>
    <row r="77" spans="15:21" ht="16" x14ac:dyDescent="0.2">
      <c r="O77" s="26" t="s">
        <v>24</v>
      </c>
      <c r="P77" t="s">
        <v>43</v>
      </c>
      <c r="Q77" s="247" t="str">
        <f>IFERROR(SUM((SUMIFS('capacity data'!$G:$G,'capacity data'!$E:$E,"PO",'capacity data'!$B:$B,P77))-SUMIFS('capacity data'!$H:$H,'capacity data'!$E:$E,"PO",'capacity data'!$B:$B,P77))/SUMIFS('capacity data'!$G:$G,'capacity data'!$E:$E,"PO",'capacity data'!$B:$B,P77),"")</f>
        <v/>
      </c>
      <c r="R77" s="247" t="str">
        <f>IFERROR(SUM((SUMIFS('capacity data'!$G:$G,'capacity data'!$E:$E,"PSO",'capacity data'!$B:$B,P77))-SUMIFS('capacity data'!$H:$H,'capacity data'!$E:$E,"PSO",'capacity data'!$B:$B,P77))/SUMIFS('capacity data'!$G:$G,'capacity data'!$E:$E,"PSO",'capacity data'!$B:$B,P77),"")</f>
        <v/>
      </c>
      <c r="S77" s="24" t="str">
        <f t="shared" si="1"/>
        <v/>
      </c>
      <c r="T77" s="248" t="str">
        <f>IFERROR(SUMIFS('capacity data'!$L:$L,'capacity data'!$B:$B,P77,'capacity data'!$E:$E,"PSO")/SUMIFS('capacity data'!$G:$G,'capacity data'!$E:$E,"PSO",'capacity data'!$B:$B,P77),"")</f>
        <v/>
      </c>
      <c r="U77" s="248" t="str">
        <f>IFERROR(SUMIFS('capacity data'!$L:$L,'capacity data'!$B:$B,P77,'capacity data'!$E:$E,"TPO")/SUMIFS('capacity data'!$G:$G,'capacity data'!$E:$E,"TPO",'capacity data'!$B:$B,P77),"")</f>
        <v/>
      </c>
    </row>
    <row r="78" spans="15:21" ht="16" x14ac:dyDescent="0.2">
      <c r="O78" s="26" t="s">
        <v>24</v>
      </c>
      <c r="P78" t="s">
        <v>77</v>
      </c>
      <c r="Q78" s="247" t="str">
        <f>IFERROR(SUM((SUMIFS('capacity data'!$G:$G,'capacity data'!$E:$E,"PO",'capacity data'!$B:$B,P78))-SUMIFS('capacity data'!$H:$H,'capacity data'!$E:$E,"PO",'capacity data'!$B:$B,P78))/SUMIFS('capacity data'!$G:$G,'capacity data'!$E:$E,"PO",'capacity data'!$B:$B,P78),"")</f>
        <v/>
      </c>
      <c r="R78" s="247" t="str">
        <f>IFERROR(SUM((SUMIFS('capacity data'!$G:$G,'capacity data'!$E:$E,"PSO",'capacity data'!$B:$B,P78))-SUMIFS('capacity data'!$H:$H,'capacity data'!$E:$E,"PSO",'capacity data'!$B:$B,P78))/SUMIFS('capacity data'!$G:$G,'capacity data'!$E:$E,"PSO",'capacity data'!$B:$B,P78),"")</f>
        <v/>
      </c>
      <c r="S78" s="24" t="str">
        <f t="shared" si="1"/>
        <v/>
      </c>
      <c r="T78" s="248" t="str">
        <f>IFERROR(SUMIFS('capacity data'!$L:$L,'capacity data'!$B:$B,P78,'capacity data'!$E:$E,"PSO")/SUMIFS('capacity data'!$G:$G,'capacity data'!$E:$E,"PSO",'capacity data'!$B:$B,P78),"")</f>
        <v/>
      </c>
      <c r="U78" s="248" t="str">
        <f>IFERROR(SUMIFS('capacity data'!$L:$L,'capacity data'!$B:$B,P78,'capacity data'!$E:$E,"TPO")/SUMIFS('capacity data'!$G:$G,'capacity data'!$E:$E,"TPO",'capacity data'!$B:$B,P78),"")</f>
        <v/>
      </c>
    </row>
    <row r="79" spans="15:21" ht="16" x14ac:dyDescent="0.2">
      <c r="O79" s="26" t="s">
        <v>24</v>
      </c>
      <c r="P79" t="s">
        <v>108</v>
      </c>
      <c r="Q79" s="247" t="str">
        <f>IFERROR(SUM((SUMIFS('capacity data'!$G:$G,'capacity data'!$E:$E,"PO",'capacity data'!$B:$B,P79))-SUMIFS('capacity data'!$H:$H,'capacity data'!$E:$E,"PO",'capacity data'!$B:$B,P79))/SUMIFS('capacity data'!$G:$G,'capacity data'!$E:$E,"PO",'capacity data'!$B:$B,P79),"")</f>
        <v/>
      </c>
      <c r="R79" s="247" t="str">
        <f>IFERROR(SUM((SUMIFS('capacity data'!$G:$G,'capacity data'!$E:$E,"PSO",'capacity data'!$B:$B,P79))-SUMIFS('capacity data'!$H:$H,'capacity data'!$E:$E,"PSO",'capacity data'!$B:$B,P79))/SUMIFS('capacity data'!$G:$G,'capacity data'!$E:$E,"PSO",'capacity data'!$B:$B,P79),"")</f>
        <v/>
      </c>
      <c r="S79" s="24" t="str">
        <f t="shared" si="1"/>
        <v/>
      </c>
      <c r="T79" s="248" t="str">
        <f>IFERROR(SUMIFS('capacity data'!$L:$L,'capacity data'!$B:$B,P79,'capacity data'!$E:$E,"PSO")/SUMIFS('capacity data'!$G:$G,'capacity data'!$E:$E,"PSO",'capacity data'!$B:$B,P79),"")</f>
        <v/>
      </c>
      <c r="U79" s="248" t="str">
        <f>IFERROR(SUMIFS('capacity data'!$L:$L,'capacity data'!$B:$B,P79,'capacity data'!$E:$E,"TPO")/SUMIFS('capacity data'!$G:$G,'capacity data'!$E:$E,"TPO",'capacity data'!$B:$B,P79),"")</f>
        <v/>
      </c>
    </row>
    <row r="80" spans="15:21" ht="16" x14ac:dyDescent="0.2">
      <c r="O80" s="26" t="s">
        <v>24</v>
      </c>
      <c r="P80" t="s">
        <v>139</v>
      </c>
      <c r="Q80" s="247" t="str">
        <f>IFERROR(SUM((SUMIFS('capacity data'!$G:$G,'capacity data'!$E:$E,"PO",'capacity data'!$B:$B,P80))-SUMIFS('capacity data'!$H:$H,'capacity data'!$E:$E,"PO",'capacity data'!$B:$B,P80))/SUMIFS('capacity data'!$G:$G,'capacity data'!$E:$E,"PO",'capacity data'!$B:$B,P80),"")</f>
        <v/>
      </c>
      <c r="R80" s="247" t="str">
        <f>IFERROR(SUM((SUMIFS('capacity data'!$G:$G,'capacity data'!$E:$E,"PSO",'capacity data'!$B:$B,P80))-SUMIFS('capacity data'!$H:$H,'capacity data'!$E:$E,"PSO",'capacity data'!$B:$B,P80))/SUMIFS('capacity data'!$G:$G,'capacity data'!$E:$E,"PSO",'capacity data'!$B:$B,P80),"")</f>
        <v/>
      </c>
      <c r="S80" s="24" t="str">
        <f t="shared" si="1"/>
        <v/>
      </c>
      <c r="T80" s="248" t="str">
        <f>IFERROR(SUMIFS('capacity data'!$L:$L,'capacity data'!$B:$B,P80,'capacity data'!$E:$E,"PSO")/SUMIFS('capacity data'!$G:$G,'capacity data'!$E:$E,"PSO",'capacity data'!$B:$B,P80),"")</f>
        <v/>
      </c>
      <c r="U80" s="248" t="str">
        <f>IFERROR(SUMIFS('capacity data'!$L:$L,'capacity data'!$B:$B,P80,'capacity data'!$E:$E,"TPO")/SUMIFS('capacity data'!$G:$G,'capacity data'!$E:$E,"TPO",'capacity data'!$B:$B,P80),"")</f>
        <v/>
      </c>
    </row>
    <row r="81" spans="15:21" ht="16" x14ac:dyDescent="0.2">
      <c r="O81" s="26" t="s">
        <v>24</v>
      </c>
      <c r="P81" t="s">
        <v>168</v>
      </c>
      <c r="Q81" s="247" t="str">
        <f>IFERROR(SUM((SUMIFS('capacity data'!$G:$G,'capacity data'!$E:$E,"PO",'capacity data'!$B:$B,P81))-SUMIFS('capacity data'!$H:$H,'capacity data'!$E:$E,"PO",'capacity data'!$B:$B,P81))/SUMIFS('capacity data'!$G:$G,'capacity data'!$E:$E,"PO",'capacity data'!$B:$B,P81),"")</f>
        <v/>
      </c>
      <c r="R81" s="247" t="str">
        <f>IFERROR(SUM((SUMIFS('capacity data'!$G:$G,'capacity data'!$E:$E,"PSO",'capacity data'!$B:$B,P81))-SUMIFS('capacity data'!$H:$H,'capacity data'!$E:$E,"PSO",'capacity data'!$B:$B,P81))/SUMIFS('capacity data'!$G:$G,'capacity data'!$E:$E,"PSO",'capacity data'!$B:$B,P81),"")</f>
        <v/>
      </c>
      <c r="S81" s="24" t="str">
        <f t="shared" si="1"/>
        <v/>
      </c>
      <c r="T81" s="248" t="str">
        <f>IFERROR(SUMIFS('capacity data'!$L:$L,'capacity data'!$B:$B,P81,'capacity data'!$E:$E,"PSO")/SUMIFS('capacity data'!$G:$G,'capacity data'!$E:$E,"PSO",'capacity data'!$B:$B,P81),"")</f>
        <v/>
      </c>
      <c r="U81" s="248" t="str">
        <f>IFERROR(SUMIFS('capacity data'!$L:$L,'capacity data'!$B:$B,P81,'capacity data'!$E:$E,"TPO")/SUMIFS('capacity data'!$G:$G,'capacity data'!$E:$E,"TPO",'capacity data'!$B:$B,P81),"")</f>
        <v/>
      </c>
    </row>
    <row r="82" spans="15:21" ht="16" x14ac:dyDescent="0.2">
      <c r="O82" s="26" t="s">
        <v>24</v>
      </c>
      <c r="P82" t="s">
        <v>196</v>
      </c>
      <c r="Q82" s="247" t="str">
        <f>IFERROR(SUM((SUMIFS('capacity data'!$G:$G,'capacity data'!$E:$E,"PO",'capacity data'!$B:$B,P82))-SUMIFS('capacity data'!$H:$H,'capacity data'!$E:$E,"PO",'capacity data'!$B:$B,P82))/SUMIFS('capacity data'!$G:$G,'capacity data'!$E:$E,"PO",'capacity data'!$B:$B,P82),"")</f>
        <v/>
      </c>
      <c r="R82" s="247" t="str">
        <f>IFERROR(SUM((SUMIFS('capacity data'!$G:$G,'capacity data'!$E:$E,"PSO",'capacity data'!$B:$B,P82))-SUMIFS('capacity data'!$H:$H,'capacity data'!$E:$E,"PSO",'capacity data'!$B:$B,P82))/SUMIFS('capacity data'!$G:$G,'capacity data'!$E:$E,"PSO",'capacity data'!$B:$B,P82),"")</f>
        <v/>
      </c>
      <c r="S82" s="24" t="str">
        <f t="shared" si="1"/>
        <v/>
      </c>
      <c r="T82" s="248" t="str">
        <f>IFERROR(SUMIFS('capacity data'!$L:$L,'capacity data'!$B:$B,P82,'capacity data'!$E:$E,"PSO")/SUMIFS('capacity data'!$G:$G,'capacity data'!$E:$E,"PSO",'capacity data'!$B:$B,P82),"")</f>
        <v/>
      </c>
      <c r="U82" s="248" t="str">
        <f>IFERROR(SUMIFS('capacity data'!$L:$L,'capacity data'!$B:$B,P82,'capacity data'!$E:$E,"TPO")/SUMIFS('capacity data'!$G:$G,'capacity data'!$E:$E,"TPO",'capacity data'!$B:$B,P82),"")</f>
        <v/>
      </c>
    </row>
    <row r="83" spans="15:21" ht="16" x14ac:dyDescent="0.2">
      <c r="O83" s="26" t="s">
        <v>24</v>
      </c>
      <c r="P83" t="s">
        <v>221</v>
      </c>
      <c r="Q83" s="247" t="str">
        <f>IFERROR(SUM((SUMIFS('capacity data'!$G:$G,'capacity data'!$E:$E,"PO",'capacity data'!$B:$B,P83))-SUMIFS('capacity data'!$H:$H,'capacity data'!$E:$E,"PO",'capacity data'!$B:$B,P83))/SUMIFS('capacity data'!$G:$G,'capacity data'!$E:$E,"PO",'capacity data'!$B:$B,P83),"")</f>
        <v/>
      </c>
      <c r="R83" s="247" t="str">
        <f>IFERROR(SUM((SUMIFS('capacity data'!$G:$G,'capacity data'!$E:$E,"PSO",'capacity data'!$B:$B,P83))-SUMIFS('capacity data'!$H:$H,'capacity data'!$E:$E,"PSO",'capacity data'!$B:$B,P83))/SUMIFS('capacity data'!$G:$G,'capacity data'!$E:$E,"PSO",'capacity data'!$B:$B,P83),"")</f>
        <v/>
      </c>
      <c r="S83" s="24" t="str">
        <f t="shared" si="1"/>
        <v/>
      </c>
      <c r="T83" s="248" t="str">
        <f>IFERROR(SUMIFS('capacity data'!$L:$L,'capacity data'!$B:$B,P83,'capacity data'!$E:$E,"PSO")/SUMIFS('capacity data'!$G:$G,'capacity data'!$E:$E,"PSO",'capacity data'!$B:$B,P83),"")</f>
        <v/>
      </c>
      <c r="U83" s="248" t="str">
        <f>IFERROR(SUMIFS('capacity data'!$L:$L,'capacity data'!$B:$B,P83,'capacity data'!$E:$E,"TPO")/SUMIFS('capacity data'!$G:$G,'capacity data'!$E:$E,"TPO",'capacity data'!$B:$B,P83),"")</f>
        <v/>
      </c>
    </row>
    <row r="84" spans="15:21" ht="16" x14ac:dyDescent="0.2">
      <c r="O84" s="26" t="s">
        <v>24</v>
      </c>
      <c r="P84" t="s">
        <v>246</v>
      </c>
      <c r="Q84" s="247" t="str">
        <f>IFERROR(SUM((SUMIFS('capacity data'!$G:$G,'capacity data'!$E:$E,"PO",'capacity data'!$B:$B,P84))-SUMIFS('capacity data'!$H:$H,'capacity data'!$E:$E,"PO",'capacity data'!$B:$B,P84))/SUMIFS('capacity data'!$G:$G,'capacity data'!$E:$E,"PO",'capacity data'!$B:$B,P84),"")</f>
        <v/>
      </c>
      <c r="R84" s="247" t="str">
        <f>IFERROR(SUM((SUMIFS('capacity data'!$G:$G,'capacity data'!$E:$E,"PSO",'capacity data'!$B:$B,P84))-SUMIFS('capacity data'!$H:$H,'capacity data'!$E:$E,"PSO",'capacity data'!$B:$B,P84))/SUMIFS('capacity data'!$G:$G,'capacity data'!$E:$E,"PSO",'capacity data'!$B:$B,P84),"")</f>
        <v/>
      </c>
      <c r="S84" s="24" t="str">
        <f t="shared" si="1"/>
        <v/>
      </c>
      <c r="T84" s="248" t="str">
        <f>IFERROR(SUMIFS('capacity data'!$L:$L,'capacity data'!$B:$B,P84,'capacity data'!$E:$E,"PSO")/SUMIFS('capacity data'!$G:$G,'capacity data'!$E:$E,"PSO",'capacity data'!$B:$B,P84),"")</f>
        <v/>
      </c>
      <c r="U84" s="248" t="str">
        <f>IFERROR(SUMIFS('capacity data'!$L:$L,'capacity data'!$B:$B,P84,'capacity data'!$E:$E,"TPO")/SUMIFS('capacity data'!$G:$G,'capacity data'!$E:$E,"TPO",'capacity data'!$B:$B,P84),"")</f>
        <v/>
      </c>
    </row>
    <row r="85" spans="15:21" ht="16" x14ac:dyDescent="0.2">
      <c r="O85" s="26" t="s">
        <v>24</v>
      </c>
      <c r="P85" t="s">
        <v>270</v>
      </c>
      <c r="Q85" s="247" t="str">
        <f>IFERROR(SUM((SUMIFS('capacity data'!$G:$G,'capacity data'!$E:$E,"PO",'capacity data'!$B:$B,P85))-SUMIFS('capacity data'!$H:$H,'capacity data'!$E:$E,"PO",'capacity data'!$B:$B,P85))/SUMIFS('capacity data'!$G:$G,'capacity data'!$E:$E,"PO",'capacity data'!$B:$B,P85),"")</f>
        <v/>
      </c>
      <c r="R85" s="247" t="str">
        <f>IFERROR(SUM((SUMIFS('capacity data'!$G:$G,'capacity data'!$E:$E,"PSO",'capacity data'!$B:$B,P85))-SUMIFS('capacity data'!$H:$H,'capacity data'!$E:$E,"PSO",'capacity data'!$B:$B,P85))/SUMIFS('capacity data'!$G:$G,'capacity data'!$E:$E,"PSO",'capacity data'!$B:$B,P85),"")</f>
        <v/>
      </c>
      <c r="S85" s="24" t="str">
        <f t="shared" si="1"/>
        <v/>
      </c>
      <c r="T85" s="248" t="str">
        <f>IFERROR(SUMIFS('capacity data'!$L:$L,'capacity data'!$B:$B,P85,'capacity data'!$E:$E,"PSO")/SUMIFS('capacity data'!$G:$G,'capacity data'!$E:$E,"PSO",'capacity data'!$B:$B,P85),"")</f>
        <v/>
      </c>
      <c r="U85" s="248" t="str">
        <f>IFERROR(SUMIFS('capacity data'!$L:$L,'capacity data'!$B:$B,P85,'capacity data'!$E:$E,"TPO")/SUMIFS('capacity data'!$G:$G,'capacity data'!$E:$E,"TPO",'capacity data'!$B:$B,P85),"")</f>
        <v/>
      </c>
    </row>
    <row r="86" spans="15:21" ht="16" x14ac:dyDescent="0.2">
      <c r="O86" s="26" t="s">
        <v>24</v>
      </c>
      <c r="P86" t="s">
        <v>292</v>
      </c>
      <c r="Q86" s="247" t="str">
        <f>IFERROR(SUM((SUMIFS('capacity data'!$G:$G,'capacity data'!$E:$E,"PO",'capacity data'!$B:$B,P86))-SUMIFS('capacity data'!$H:$H,'capacity data'!$E:$E,"PO",'capacity data'!$B:$B,P86))/SUMIFS('capacity data'!$G:$G,'capacity data'!$E:$E,"PO",'capacity data'!$B:$B,P86),"")</f>
        <v/>
      </c>
      <c r="R86" s="247" t="str">
        <f>IFERROR(SUM((SUMIFS('capacity data'!$G:$G,'capacity data'!$E:$E,"PSO",'capacity data'!$B:$B,P86))-SUMIFS('capacity data'!$H:$H,'capacity data'!$E:$E,"PSO",'capacity data'!$B:$B,P86))/SUMIFS('capacity data'!$G:$G,'capacity data'!$E:$E,"PSO",'capacity data'!$B:$B,P86),"")</f>
        <v/>
      </c>
      <c r="S86" s="24" t="str">
        <f t="shared" si="1"/>
        <v/>
      </c>
      <c r="T86" s="248" t="str">
        <f>IFERROR(SUMIFS('capacity data'!$L:$L,'capacity data'!$B:$B,P86,'capacity data'!$E:$E,"PSO")/SUMIFS('capacity data'!$G:$G,'capacity data'!$E:$E,"PSO",'capacity data'!$B:$B,P86),"")</f>
        <v/>
      </c>
      <c r="U86" s="248" t="str">
        <f>IFERROR(SUMIFS('capacity data'!$L:$L,'capacity data'!$B:$B,P86,'capacity data'!$E:$E,"TPO")/SUMIFS('capacity data'!$G:$G,'capacity data'!$E:$E,"TPO",'capacity data'!$B:$B,P86),"")</f>
        <v/>
      </c>
    </row>
    <row r="87" spans="15:21" ht="16" x14ac:dyDescent="0.2">
      <c r="O87" s="26" t="s">
        <v>24</v>
      </c>
      <c r="P87" t="s">
        <v>314</v>
      </c>
      <c r="Q87" s="247" t="str">
        <f>IFERROR(SUM((SUMIFS('capacity data'!$G:$G,'capacity data'!$E:$E,"PO",'capacity data'!$B:$B,P87))-SUMIFS('capacity data'!$H:$H,'capacity data'!$E:$E,"PO",'capacity data'!$B:$B,P87))/SUMIFS('capacity data'!$G:$G,'capacity data'!$E:$E,"PO",'capacity data'!$B:$B,P87),"")</f>
        <v/>
      </c>
      <c r="R87" s="247" t="str">
        <f>IFERROR(SUM((SUMIFS('capacity data'!$G:$G,'capacity data'!$E:$E,"PSO",'capacity data'!$B:$B,P87))-SUMIFS('capacity data'!$H:$H,'capacity data'!$E:$E,"PSO",'capacity data'!$B:$B,P87))/SUMIFS('capacity data'!$G:$G,'capacity data'!$E:$E,"PSO",'capacity data'!$B:$B,P87),"")</f>
        <v/>
      </c>
      <c r="S87" s="24" t="str">
        <f t="shared" si="1"/>
        <v/>
      </c>
      <c r="T87" s="248" t="str">
        <f>IFERROR(SUMIFS('capacity data'!$L:$L,'capacity data'!$B:$B,P87,'capacity data'!$E:$E,"PSO")/SUMIFS('capacity data'!$G:$G,'capacity data'!$E:$E,"PSO",'capacity data'!$B:$B,P87),"")</f>
        <v/>
      </c>
      <c r="U87" s="248" t="str">
        <f>IFERROR(SUMIFS('capacity data'!$L:$L,'capacity data'!$B:$B,P87,'capacity data'!$E:$E,"TPO")/SUMIFS('capacity data'!$G:$G,'capacity data'!$E:$E,"TPO",'capacity data'!$B:$B,P87),"")</f>
        <v/>
      </c>
    </row>
    <row r="88" spans="15:21" ht="16" x14ac:dyDescent="0.2">
      <c r="O88" s="26" t="s">
        <v>24</v>
      </c>
      <c r="P88" t="s">
        <v>335</v>
      </c>
      <c r="Q88" s="247" t="str">
        <f>IFERROR(SUM((SUMIFS('capacity data'!$G:$G,'capacity data'!$E:$E,"PO",'capacity data'!$B:$B,P88))-SUMIFS('capacity data'!$H:$H,'capacity data'!$E:$E,"PO",'capacity data'!$B:$B,P88))/SUMIFS('capacity data'!$G:$G,'capacity data'!$E:$E,"PO",'capacity data'!$B:$B,P88),"")</f>
        <v/>
      </c>
      <c r="R88" s="247" t="str">
        <f>IFERROR(SUM((SUMIFS('capacity data'!$G:$G,'capacity data'!$E:$E,"PSO",'capacity data'!$B:$B,P88))-SUMIFS('capacity data'!$H:$H,'capacity data'!$E:$E,"PSO",'capacity data'!$B:$B,P88))/SUMIFS('capacity data'!$G:$G,'capacity data'!$E:$E,"PSO",'capacity data'!$B:$B,P88),"")</f>
        <v/>
      </c>
      <c r="S88" s="24" t="str">
        <f t="shared" si="1"/>
        <v/>
      </c>
      <c r="T88" s="248" t="str">
        <f>IFERROR(SUMIFS('capacity data'!$L:$L,'capacity data'!$B:$B,P88,'capacity data'!$E:$E,"PSO")/SUMIFS('capacity data'!$G:$G,'capacity data'!$E:$E,"PSO",'capacity data'!$B:$B,P88),"")</f>
        <v/>
      </c>
      <c r="U88" s="248" t="str">
        <f>IFERROR(SUMIFS('capacity data'!$L:$L,'capacity data'!$B:$B,P88,'capacity data'!$E:$E,"TPO")/SUMIFS('capacity data'!$G:$G,'capacity data'!$E:$E,"TPO",'capacity data'!$B:$B,P88),"")</f>
        <v/>
      </c>
    </row>
    <row r="89" spans="15:21" ht="16" x14ac:dyDescent="0.2">
      <c r="O89" s="26" t="s">
        <v>24</v>
      </c>
      <c r="P89" t="s">
        <v>355</v>
      </c>
      <c r="Q89" s="247" t="str">
        <f>IFERROR(SUM((SUMIFS('capacity data'!$G:$G,'capacity data'!$E:$E,"PO",'capacity data'!$B:$B,P89))-SUMIFS('capacity data'!$H:$H,'capacity data'!$E:$E,"PO",'capacity data'!$B:$B,P89))/SUMIFS('capacity data'!$G:$G,'capacity data'!$E:$E,"PO",'capacity data'!$B:$B,P89),"")</f>
        <v/>
      </c>
      <c r="R89" s="247" t="str">
        <f>IFERROR(SUM((SUMIFS('capacity data'!$G:$G,'capacity data'!$E:$E,"PSO",'capacity data'!$B:$B,P89))-SUMIFS('capacity data'!$H:$H,'capacity data'!$E:$E,"PSO",'capacity data'!$B:$B,P89))/SUMIFS('capacity data'!$G:$G,'capacity data'!$E:$E,"PSO",'capacity data'!$B:$B,P89),"")</f>
        <v/>
      </c>
      <c r="S89" s="24" t="str">
        <f t="shared" si="1"/>
        <v/>
      </c>
      <c r="T89" s="248" t="str">
        <f>IFERROR(SUMIFS('capacity data'!$L:$L,'capacity data'!$B:$B,P89,'capacity data'!$E:$E,"PSO")/SUMIFS('capacity data'!$G:$G,'capacity data'!$E:$E,"PSO",'capacity data'!$B:$B,P89),"")</f>
        <v/>
      </c>
      <c r="U89" s="248" t="str">
        <f>IFERROR(SUMIFS('capacity data'!$L:$L,'capacity data'!$B:$B,P89,'capacity data'!$E:$E,"TPO")/SUMIFS('capacity data'!$G:$G,'capacity data'!$E:$E,"TPO",'capacity data'!$B:$B,P89),"")</f>
        <v/>
      </c>
    </row>
    <row r="90" spans="15:21" ht="16" x14ac:dyDescent="0.2">
      <c r="O90" s="26" t="s">
        <v>24</v>
      </c>
      <c r="P90" t="s">
        <v>374</v>
      </c>
      <c r="Q90" s="247" t="str">
        <f>IFERROR(SUM((SUMIFS('capacity data'!$G:$G,'capacity data'!$E:$E,"PO",'capacity data'!$B:$B,P90))-SUMIFS('capacity data'!$H:$H,'capacity data'!$E:$E,"PO",'capacity data'!$B:$B,P90))/SUMIFS('capacity data'!$G:$G,'capacity data'!$E:$E,"PO",'capacity data'!$B:$B,P90),"")</f>
        <v/>
      </c>
      <c r="R90" s="247" t="str">
        <f>IFERROR(SUM((SUMIFS('capacity data'!$G:$G,'capacity data'!$E:$E,"PSO",'capacity data'!$B:$B,P90))-SUMIFS('capacity data'!$H:$H,'capacity data'!$E:$E,"PSO",'capacity data'!$B:$B,P90))/SUMIFS('capacity data'!$G:$G,'capacity data'!$E:$E,"PSO",'capacity data'!$B:$B,P90),"")</f>
        <v/>
      </c>
      <c r="S90" s="24" t="str">
        <f t="shared" si="1"/>
        <v/>
      </c>
      <c r="T90" s="248" t="str">
        <f>IFERROR(SUMIFS('capacity data'!$L:$L,'capacity data'!$B:$B,P90,'capacity data'!$E:$E,"PSO")/SUMIFS('capacity data'!$G:$G,'capacity data'!$E:$E,"PSO",'capacity data'!$B:$B,P90),"")</f>
        <v/>
      </c>
      <c r="U90" s="248" t="str">
        <f>IFERROR(SUMIFS('capacity data'!$L:$L,'capacity data'!$B:$B,P90,'capacity data'!$E:$E,"TPO")/SUMIFS('capacity data'!$G:$G,'capacity data'!$E:$E,"TPO",'capacity data'!$B:$B,P90),"")</f>
        <v/>
      </c>
    </row>
    <row r="91" spans="15:21" ht="16" x14ac:dyDescent="0.2">
      <c r="O91" s="26" t="s">
        <v>25</v>
      </c>
      <c r="P91" t="s">
        <v>44</v>
      </c>
      <c r="Q91" s="247" t="str">
        <f>IFERROR(SUM((SUMIFS('capacity data'!$G:$G,'capacity data'!$E:$E,"PO",'capacity data'!$B:$B,P91))-SUMIFS('capacity data'!$H:$H,'capacity data'!$E:$E,"PO",'capacity data'!$B:$B,P91))/SUMIFS('capacity data'!$G:$G,'capacity data'!$E:$E,"PO",'capacity data'!$B:$B,P91),"")</f>
        <v/>
      </c>
      <c r="R91" s="247" t="str">
        <f>IFERROR(SUM((SUMIFS('capacity data'!$G:$G,'capacity data'!$E:$E,"PSO",'capacity data'!$B:$B,P91))-SUMIFS('capacity data'!$H:$H,'capacity data'!$E:$E,"PSO",'capacity data'!$B:$B,P91))/SUMIFS('capacity data'!$G:$G,'capacity data'!$E:$E,"PSO",'capacity data'!$B:$B,P91),"")</f>
        <v/>
      </c>
      <c r="S91" s="24" t="str">
        <f t="shared" si="1"/>
        <v/>
      </c>
      <c r="T91" s="248" t="str">
        <f>IFERROR(SUMIFS('capacity data'!$L:$L,'capacity data'!$B:$B,P91,'capacity data'!$E:$E,"PSO")/SUMIFS('capacity data'!$G:$G,'capacity data'!$E:$E,"PSO",'capacity data'!$B:$B,P91),"")</f>
        <v/>
      </c>
      <c r="U91" s="248" t="str">
        <f>IFERROR(SUMIFS('capacity data'!$L:$L,'capacity data'!$B:$B,P91,'capacity data'!$E:$E,"TPO")/SUMIFS('capacity data'!$G:$G,'capacity data'!$E:$E,"TPO",'capacity data'!$B:$B,P91),"")</f>
        <v/>
      </c>
    </row>
    <row r="92" spans="15:21" ht="16" x14ac:dyDescent="0.2">
      <c r="O92" s="26" t="s">
        <v>25</v>
      </c>
      <c r="P92" t="s">
        <v>78</v>
      </c>
      <c r="Q92" s="247" t="str">
        <f>IFERROR(SUM((SUMIFS('capacity data'!$G:$G,'capacity data'!$E:$E,"PO",'capacity data'!$B:$B,P92))-SUMIFS('capacity data'!$H:$H,'capacity data'!$E:$E,"PO",'capacity data'!$B:$B,P92))/SUMIFS('capacity data'!$G:$G,'capacity data'!$E:$E,"PO",'capacity data'!$B:$B,P92),"")</f>
        <v/>
      </c>
      <c r="R92" s="247" t="str">
        <f>IFERROR(SUM((SUMIFS('capacity data'!$G:$G,'capacity data'!$E:$E,"PSO",'capacity data'!$B:$B,P92))-SUMIFS('capacity data'!$H:$H,'capacity data'!$E:$E,"PSO",'capacity data'!$B:$B,P92))/SUMIFS('capacity data'!$G:$G,'capacity data'!$E:$E,"PSO",'capacity data'!$B:$B,P92),"")</f>
        <v/>
      </c>
      <c r="S92" s="24" t="str">
        <f t="shared" si="1"/>
        <v/>
      </c>
      <c r="T92" s="248" t="str">
        <f>IFERROR(SUMIFS('capacity data'!$L:$L,'capacity data'!$B:$B,P92,'capacity data'!$E:$E,"PSO")/SUMIFS('capacity data'!$G:$G,'capacity data'!$E:$E,"PSO",'capacity data'!$B:$B,P92),"")</f>
        <v/>
      </c>
      <c r="U92" s="248" t="str">
        <f>IFERROR(SUMIFS('capacity data'!$L:$L,'capacity data'!$B:$B,P92,'capacity data'!$E:$E,"TPO")/SUMIFS('capacity data'!$G:$G,'capacity data'!$E:$E,"TPO",'capacity data'!$B:$B,P92),"")</f>
        <v/>
      </c>
    </row>
    <row r="93" spans="15:21" ht="16" x14ac:dyDescent="0.2">
      <c r="O93" s="26" t="s">
        <v>25</v>
      </c>
      <c r="P93" t="s">
        <v>109</v>
      </c>
      <c r="Q93" s="247" t="str">
        <f>IFERROR(SUM((SUMIFS('capacity data'!$G:$G,'capacity data'!$E:$E,"PO",'capacity data'!$B:$B,P93))-SUMIFS('capacity data'!$H:$H,'capacity data'!$E:$E,"PO",'capacity data'!$B:$B,P93))/SUMIFS('capacity data'!$G:$G,'capacity data'!$E:$E,"PO",'capacity data'!$B:$B,P93),"")</f>
        <v/>
      </c>
      <c r="R93" s="247" t="str">
        <f>IFERROR(SUM((SUMIFS('capacity data'!$G:$G,'capacity data'!$E:$E,"PSO",'capacity data'!$B:$B,P93))-SUMIFS('capacity data'!$H:$H,'capacity data'!$E:$E,"PSO",'capacity data'!$B:$B,P93))/SUMIFS('capacity data'!$G:$G,'capacity data'!$E:$E,"PSO",'capacity data'!$B:$B,P93),"")</f>
        <v/>
      </c>
      <c r="S93" s="24" t="str">
        <f t="shared" si="1"/>
        <v/>
      </c>
      <c r="T93" s="248" t="str">
        <f>IFERROR(SUMIFS('capacity data'!$L:$L,'capacity data'!$B:$B,P93,'capacity data'!$E:$E,"PSO")/SUMIFS('capacity data'!$G:$G,'capacity data'!$E:$E,"PSO",'capacity data'!$B:$B,P93),"")</f>
        <v/>
      </c>
      <c r="U93" s="248" t="str">
        <f>IFERROR(SUMIFS('capacity data'!$L:$L,'capacity data'!$B:$B,P93,'capacity data'!$E:$E,"TPO")/SUMIFS('capacity data'!$G:$G,'capacity data'!$E:$E,"TPO",'capacity data'!$B:$B,P93),"")</f>
        <v/>
      </c>
    </row>
    <row r="94" spans="15:21" ht="16" x14ac:dyDescent="0.2">
      <c r="O94" s="26" t="s">
        <v>25</v>
      </c>
      <c r="P94" t="s">
        <v>140</v>
      </c>
      <c r="Q94" s="247" t="str">
        <f>IFERROR(SUM((SUMIFS('capacity data'!$G:$G,'capacity data'!$E:$E,"PO",'capacity data'!$B:$B,P94))-SUMIFS('capacity data'!$H:$H,'capacity data'!$E:$E,"PO",'capacity data'!$B:$B,P94))/SUMIFS('capacity data'!$G:$G,'capacity data'!$E:$E,"PO",'capacity data'!$B:$B,P94),"")</f>
        <v/>
      </c>
      <c r="R94" s="247" t="str">
        <f>IFERROR(SUM((SUMIFS('capacity data'!$G:$G,'capacity data'!$E:$E,"PSO",'capacity data'!$B:$B,P94))-SUMIFS('capacity data'!$H:$H,'capacity data'!$E:$E,"PSO",'capacity data'!$B:$B,P94))/SUMIFS('capacity data'!$G:$G,'capacity data'!$E:$E,"PSO",'capacity data'!$B:$B,P94),"")</f>
        <v/>
      </c>
      <c r="S94" s="24" t="str">
        <f t="shared" si="1"/>
        <v/>
      </c>
      <c r="T94" s="248" t="str">
        <f>IFERROR(SUMIFS('capacity data'!$L:$L,'capacity data'!$B:$B,P94,'capacity data'!$E:$E,"PSO")/SUMIFS('capacity data'!$G:$G,'capacity data'!$E:$E,"PSO",'capacity data'!$B:$B,P94),"")</f>
        <v/>
      </c>
      <c r="U94" s="248" t="str">
        <f>IFERROR(SUMIFS('capacity data'!$L:$L,'capacity data'!$B:$B,P94,'capacity data'!$E:$E,"TPO")/SUMIFS('capacity data'!$G:$G,'capacity data'!$E:$E,"TPO",'capacity data'!$B:$B,P94),"")</f>
        <v/>
      </c>
    </row>
    <row r="95" spans="15:21" ht="16" x14ac:dyDescent="0.2">
      <c r="O95" s="26" t="s">
        <v>25</v>
      </c>
      <c r="P95" t="s">
        <v>169</v>
      </c>
      <c r="Q95" s="247" t="str">
        <f>IFERROR(SUM((SUMIFS('capacity data'!$G:$G,'capacity data'!$E:$E,"PO",'capacity data'!$B:$B,P95))-SUMIFS('capacity data'!$H:$H,'capacity data'!$E:$E,"PO",'capacity data'!$B:$B,P95))/SUMIFS('capacity data'!$G:$G,'capacity data'!$E:$E,"PO",'capacity data'!$B:$B,P95),"")</f>
        <v/>
      </c>
      <c r="R95" s="247" t="str">
        <f>IFERROR(SUM((SUMIFS('capacity data'!$G:$G,'capacity data'!$E:$E,"PSO",'capacity data'!$B:$B,P95))-SUMIFS('capacity data'!$H:$H,'capacity data'!$E:$E,"PSO",'capacity data'!$B:$B,P95))/SUMIFS('capacity data'!$G:$G,'capacity data'!$E:$E,"PSO",'capacity data'!$B:$B,P95),"")</f>
        <v/>
      </c>
      <c r="S95" s="24" t="str">
        <f t="shared" si="1"/>
        <v/>
      </c>
      <c r="T95" s="248" t="str">
        <f>IFERROR(SUMIFS('capacity data'!$L:$L,'capacity data'!$B:$B,P95,'capacity data'!$E:$E,"PSO")/SUMIFS('capacity data'!$G:$G,'capacity data'!$E:$E,"PSO",'capacity data'!$B:$B,P95),"")</f>
        <v/>
      </c>
      <c r="U95" s="248" t="str">
        <f>IFERROR(SUMIFS('capacity data'!$L:$L,'capacity data'!$B:$B,P95,'capacity data'!$E:$E,"TPO")/SUMIFS('capacity data'!$G:$G,'capacity data'!$E:$E,"TPO",'capacity data'!$B:$B,P95),"")</f>
        <v/>
      </c>
    </row>
    <row r="96" spans="15:21" ht="16" x14ac:dyDescent="0.2">
      <c r="O96" s="26" t="s">
        <v>25</v>
      </c>
      <c r="P96" t="s">
        <v>197</v>
      </c>
      <c r="Q96" s="247" t="str">
        <f>IFERROR(SUM((SUMIFS('capacity data'!$G:$G,'capacity data'!$E:$E,"PO",'capacity data'!$B:$B,P96))-SUMIFS('capacity data'!$H:$H,'capacity data'!$E:$E,"PO",'capacity data'!$B:$B,P96))/SUMIFS('capacity data'!$G:$G,'capacity data'!$E:$E,"PO",'capacity data'!$B:$B,P96),"")</f>
        <v/>
      </c>
      <c r="R96" s="247" t="str">
        <f>IFERROR(SUM((SUMIFS('capacity data'!$G:$G,'capacity data'!$E:$E,"PSO",'capacity data'!$B:$B,P96))-SUMIFS('capacity data'!$H:$H,'capacity data'!$E:$E,"PSO",'capacity data'!$B:$B,P96))/SUMIFS('capacity data'!$G:$G,'capacity data'!$E:$E,"PSO",'capacity data'!$B:$B,P96),"")</f>
        <v/>
      </c>
      <c r="S96" s="24" t="str">
        <f t="shared" si="1"/>
        <v/>
      </c>
      <c r="T96" s="248" t="str">
        <f>IFERROR(SUMIFS('capacity data'!$L:$L,'capacity data'!$B:$B,P96,'capacity data'!$E:$E,"PSO")/SUMIFS('capacity data'!$G:$G,'capacity data'!$E:$E,"PSO",'capacity data'!$B:$B,P96),"")</f>
        <v/>
      </c>
      <c r="U96" s="248" t="str">
        <f>IFERROR(SUMIFS('capacity data'!$L:$L,'capacity data'!$B:$B,P96,'capacity data'!$E:$E,"TPO")/SUMIFS('capacity data'!$G:$G,'capacity data'!$E:$E,"TPO",'capacity data'!$B:$B,P96),"")</f>
        <v/>
      </c>
    </row>
    <row r="97" spans="15:21" ht="16" x14ac:dyDescent="0.2">
      <c r="O97" s="26" t="s">
        <v>25</v>
      </c>
      <c r="P97" t="s">
        <v>222</v>
      </c>
      <c r="Q97" s="247" t="str">
        <f>IFERROR(SUM((SUMIFS('capacity data'!$G:$G,'capacity data'!$E:$E,"PO",'capacity data'!$B:$B,P97))-SUMIFS('capacity data'!$H:$H,'capacity data'!$E:$E,"PO",'capacity data'!$B:$B,P97))/SUMIFS('capacity data'!$G:$G,'capacity data'!$E:$E,"PO",'capacity data'!$B:$B,P97),"")</f>
        <v/>
      </c>
      <c r="R97" s="247" t="str">
        <f>IFERROR(SUM((SUMIFS('capacity data'!$G:$G,'capacity data'!$E:$E,"PSO",'capacity data'!$B:$B,P97))-SUMIFS('capacity data'!$H:$H,'capacity data'!$E:$E,"PSO",'capacity data'!$B:$B,P97))/SUMIFS('capacity data'!$G:$G,'capacity data'!$E:$E,"PSO",'capacity data'!$B:$B,P97),"")</f>
        <v/>
      </c>
      <c r="S97" s="24" t="str">
        <f t="shared" si="1"/>
        <v/>
      </c>
      <c r="T97" s="248" t="str">
        <f>IFERROR(SUMIFS('capacity data'!$L:$L,'capacity data'!$B:$B,P97,'capacity data'!$E:$E,"PSO")/SUMIFS('capacity data'!$G:$G,'capacity data'!$E:$E,"PSO",'capacity data'!$B:$B,P97),"")</f>
        <v/>
      </c>
      <c r="U97" s="248" t="str">
        <f>IFERROR(SUMIFS('capacity data'!$L:$L,'capacity data'!$B:$B,P97,'capacity data'!$E:$E,"TPO")/SUMIFS('capacity data'!$G:$G,'capacity data'!$E:$E,"TPO",'capacity data'!$B:$B,P97),"")</f>
        <v/>
      </c>
    </row>
    <row r="98" spans="15:21" ht="16" x14ac:dyDescent="0.2">
      <c r="O98" s="26" t="s">
        <v>25</v>
      </c>
      <c r="P98" t="s">
        <v>247</v>
      </c>
      <c r="Q98" s="247" t="str">
        <f>IFERROR(SUM((SUMIFS('capacity data'!$G:$G,'capacity data'!$E:$E,"PO",'capacity data'!$B:$B,P98))-SUMIFS('capacity data'!$H:$H,'capacity data'!$E:$E,"PO",'capacity data'!$B:$B,P98))/SUMIFS('capacity data'!$G:$G,'capacity data'!$E:$E,"PO",'capacity data'!$B:$B,P98),"")</f>
        <v/>
      </c>
      <c r="R98" s="247" t="str">
        <f>IFERROR(SUM((SUMIFS('capacity data'!$G:$G,'capacity data'!$E:$E,"PSO",'capacity data'!$B:$B,P98))-SUMIFS('capacity data'!$H:$H,'capacity data'!$E:$E,"PSO",'capacity data'!$B:$B,P98))/SUMIFS('capacity data'!$G:$G,'capacity data'!$E:$E,"PSO",'capacity data'!$B:$B,P98),"")</f>
        <v/>
      </c>
      <c r="S98" s="24" t="str">
        <f t="shared" si="1"/>
        <v/>
      </c>
      <c r="T98" s="248" t="str">
        <f>IFERROR(SUMIFS('capacity data'!$L:$L,'capacity data'!$B:$B,P98,'capacity data'!$E:$E,"PSO")/SUMIFS('capacity data'!$G:$G,'capacity data'!$E:$E,"PSO",'capacity data'!$B:$B,P98),"")</f>
        <v/>
      </c>
      <c r="U98" s="248" t="str">
        <f>IFERROR(SUMIFS('capacity data'!$L:$L,'capacity data'!$B:$B,P98,'capacity data'!$E:$E,"TPO")/SUMIFS('capacity data'!$G:$G,'capacity data'!$E:$E,"TPO",'capacity data'!$B:$B,P98),"")</f>
        <v/>
      </c>
    </row>
    <row r="99" spans="15:21" ht="16" x14ac:dyDescent="0.2">
      <c r="O99" s="26" t="s">
        <v>25</v>
      </c>
      <c r="P99" t="s">
        <v>271</v>
      </c>
      <c r="Q99" s="247" t="str">
        <f>IFERROR(SUM((SUMIFS('capacity data'!$G:$G,'capacity data'!$E:$E,"PO",'capacity data'!$B:$B,P99))-SUMIFS('capacity data'!$H:$H,'capacity data'!$E:$E,"PO",'capacity data'!$B:$B,P99))/SUMIFS('capacity data'!$G:$G,'capacity data'!$E:$E,"PO",'capacity data'!$B:$B,P99),"")</f>
        <v/>
      </c>
      <c r="R99" s="247" t="str">
        <f>IFERROR(SUM((SUMIFS('capacity data'!$G:$G,'capacity data'!$E:$E,"PSO",'capacity data'!$B:$B,P99))-SUMIFS('capacity data'!$H:$H,'capacity data'!$E:$E,"PSO",'capacity data'!$B:$B,P99))/SUMIFS('capacity data'!$G:$G,'capacity data'!$E:$E,"PSO",'capacity data'!$B:$B,P99),"")</f>
        <v/>
      </c>
      <c r="S99" s="24" t="str">
        <f t="shared" si="1"/>
        <v/>
      </c>
      <c r="T99" s="248" t="str">
        <f>IFERROR(SUMIFS('capacity data'!$L:$L,'capacity data'!$B:$B,P99,'capacity data'!$E:$E,"PSO")/SUMIFS('capacity data'!$G:$G,'capacity data'!$E:$E,"PSO",'capacity data'!$B:$B,P99),"")</f>
        <v/>
      </c>
      <c r="U99" s="248" t="str">
        <f>IFERROR(SUMIFS('capacity data'!$L:$L,'capacity data'!$B:$B,P99,'capacity data'!$E:$E,"TPO")/SUMIFS('capacity data'!$G:$G,'capacity data'!$E:$E,"TPO",'capacity data'!$B:$B,P99),"")</f>
        <v/>
      </c>
    </row>
    <row r="100" spans="15:21" ht="16" x14ac:dyDescent="0.2">
      <c r="O100" s="26" t="s">
        <v>25</v>
      </c>
      <c r="P100" t="s">
        <v>293</v>
      </c>
      <c r="Q100" s="247" t="str">
        <f>IFERROR(SUM((SUMIFS('capacity data'!$G:$G,'capacity data'!$E:$E,"PO",'capacity data'!$B:$B,P100))-SUMIFS('capacity data'!$H:$H,'capacity data'!$E:$E,"PO",'capacity data'!$B:$B,P100))/SUMIFS('capacity data'!$G:$G,'capacity data'!$E:$E,"PO",'capacity data'!$B:$B,P100),"")</f>
        <v/>
      </c>
      <c r="R100" s="247" t="str">
        <f>IFERROR(SUM((SUMIFS('capacity data'!$G:$G,'capacity data'!$E:$E,"PSO",'capacity data'!$B:$B,P100))-SUMIFS('capacity data'!$H:$H,'capacity data'!$E:$E,"PSO",'capacity data'!$B:$B,P100))/SUMIFS('capacity data'!$G:$G,'capacity data'!$E:$E,"PSO",'capacity data'!$B:$B,P100),"")</f>
        <v/>
      </c>
      <c r="S100" s="24" t="str">
        <f t="shared" si="1"/>
        <v/>
      </c>
      <c r="T100" s="248" t="str">
        <f>IFERROR(SUMIFS('capacity data'!$L:$L,'capacity data'!$B:$B,P100,'capacity data'!$E:$E,"PSO")/SUMIFS('capacity data'!$G:$G,'capacity data'!$E:$E,"PSO",'capacity data'!$B:$B,P100),"")</f>
        <v/>
      </c>
      <c r="U100" s="248" t="str">
        <f>IFERROR(SUMIFS('capacity data'!$L:$L,'capacity data'!$B:$B,P100,'capacity data'!$E:$E,"TPO")/SUMIFS('capacity data'!$G:$G,'capacity data'!$E:$E,"TPO",'capacity data'!$B:$B,P100),"")</f>
        <v/>
      </c>
    </row>
    <row r="101" spans="15:21" ht="16" x14ac:dyDescent="0.2">
      <c r="O101" s="26" t="s">
        <v>25</v>
      </c>
      <c r="P101" t="s">
        <v>315</v>
      </c>
      <c r="Q101" s="247" t="str">
        <f>IFERROR(SUM((SUMIFS('capacity data'!$G:$G,'capacity data'!$E:$E,"PO",'capacity data'!$B:$B,P101))-SUMIFS('capacity data'!$H:$H,'capacity data'!$E:$E,"PO",'capacity data'!$B:$B,P101))/SUMIFS('capacity data'!$G:$G,'capacity data'!$E:$E,"PO",'capacity data'!$B:$B,P101),"")</f>
        <v/>
      </c>
      <c r="R101" s="247" t="str">
        <f>IFERROR(SUM((SUMIFS('capacity data'!$G:$G,'capacity data'!$E:$E,"PSO",'capacity data'!$B:$B,P101))-SUMIFS('capacity data'!$H:$H,'capacity data'!$E:$E,"PSO",'capacity data'!$B:$B,P101))/SUMIFS('capacity data'!$G:$G,'capacity data'!$E:$E,"PSO",'capacity data'!$B:$B,P101),"")</f>
        <v/>
      </c>
      <c r="S101" s="24" t="str">
        <f t="shared" si="1"/>
        <v/>
      </c>
      <c r="T101" s="248" t="str">
        <f>IFERROR(SUMIFS('capacity data'!$L:$L,'capacity data'!$B:$B,P101,'capacity data'!$E:$E,"PSO")/SUMIFS('capacity data'!$G:$G,'capacity data'!$E:$E,"PSO",'capacity data'!$B:$B,P101),"")</f>
        <v/>
      </c>
      <c r="U101" s="248" t="str">
        <f>IFERROR(SUMIFS('capacity data'!$L:$L,'capacity data'!$B:$B,P101,'capacity data'!$E:$E,"TPO")/SUMIFS('capacity data'!$G:$G,'capacity data'!$E:$E,"TPO",'capacity data'!$B:$B,P101),"")</f>
        <v/>
      </c>
    </row>
    <row r="102" spans="15:21" ht="16" x14ac:dyDescent="0.2">
      <c r="O102" s="26" t="s">
        <v>25</v>
      </c>
      <c r="P102" t="s">
        <v>336</v>
      </c>
      <c r="Q102" s="247" t="str">
        <f>IFERROR(SUM((SUMIFS('capacity data'!$G:$G,'capacity data'!$E:$E,"PO",'capacity data'!$B:$B,P102))-SUMIFS('capacity data'!$H:$H,'capacity data'!$E:$E,"PO",'capacity data'!$B:$B,P102))/SUMIFS('capacity data'!$G:$G,'capacity data'!$E:$E,"PO",'capacity data'!$B:$B,P102),"")</f>
        <v/>
      </c>
      <c r="R102" s="247" t="str">
        <f>IFERROR(SUM((SUMIFS('capacity data'!$G:$G,'capacity data'!$E:$E,"PSO",'capacity data'!$B:$B,P102))-SUMIFS('capacity data'!$H:$H,'capacity data'!$E:$E,"PSO",'capacity data'!$B:$B,P102))/SUMIFS('capacity data'!$G:$G,'capacity data'!$E:$E,"PSO",'capacity data'!$B:$B,P102),"")</f>
        <v/>
      </c>
      <c r="S102" s="24" t="str">
        <f t="shared" si="1"/>
        <v/>
      </c>
      <c r="T102" s="248" t="str">
        <f>IFERROR(SUMIFS('capacity data'!$L:$L,'capacity data'!$B:$B,P102,'capacity data'!$E:$E,"PSO")/SUMIFS('capacity data'!$G:$G,'capacity data'!$E:$E,"PSO",'capacity data'!$B:$B,P102),"")</f>
        <v/>
      </c>
      <c r="U102" s="248" t="str">
        <f>IFERROR(SUMIFS('capacity data'!$L:$L,'capacity data'!$B:$B,P102,'capacity data'!$E:$E,"TPO")/SUMIFS('capacity data'!$G:$G,'capacity data'!$E:$E,"TPO",'capacity data'!$B:$B,P102),"")</f>
        <v/>
      </c>
    </row>
    <row r="103" spans="15:21" ht="16" x14ac:dyDescent="0.2">
      <c r="O103" s="26" t="s">
        <v>25</v>
      </c>
      <c r="P103" t="s">
        <v>356</v>
      </c>
      <c r="Q103" s="247" t="str">
        <f>IFERROR(SUM((SUMIFS('capacity data'!$G:$G,'capacity data'!$E:$E,"PO",'capacity data'!$B:$B,P103))-SUMIFS('capacity data'!$H:$H,'capacity data'!$E:$E,"PO",'capacity data'!$B:$B,P103))/SUMIFS('capacity data'!$G:$G,'capacity data'!$E:$E,"PO",'capacity data'!$B:$B,P103),"")</f>
        <v/>
      </c>
      <c r="R103" s="247" t="str">
        <f>IFERROR(SUM((SUMIFS('capacity data'!$G:$G,'capacity data'!$E:$E,"PSO",'capacity data'!$B:$B,P103))-SUMIFS('capacity data'!$H:$H,'capacity data'!$E:$E,"PSO",'capacity data'!$B:$B,P103))/SUMIFS('capacity data'!$G:$G,'capacity data'!$E:$E,"PSO",'capacity data'!$B:$B,P103),"")</f>
        <v/>
      </c>
      <c r="S103" s="24" t="str">
        <f t="shared" si="1"/>
        <v/>
      </c>
      <c r="T103" s="248" t="str">
        <f>IFERROR(SUMIFS('capacity data'!$L:$L,'capacity data'!$B:$B,P103,'capacity data'!$E:$E,"PSO")/SUMIFS('capacity data'!$G:$G,'capacity data'!$E:$E,"PSO",'capacity data'!$B:$B,P103),"")</f>
        <v/>
      </c>
      <c r="U103" s="248" t="str">
        <f>IFERROR(SUMIFS('capacity data'!$L:$L,'capacity data'!$B:$B,P103,'capacity data'!$E:$E,"TPO")/SUMIFS('capacity data'!$G:$G,'capacity data'!$E:$E,"TPO",'capacity data'!$B:$B,P103),"")</f>
        <v/>
      </c>
    </row>
    <row r="104" spans="15:21" ht="16" x14ac:dyDescent="0.2">
      <c r="O104" s="26" t="s">
        <v>26</v>
      </c>
      <c r="P104" t="s">
        <v>45</v>
      </c>
      <c r="Q104" s="247" t="str">
        <f>IFERROR(SUM((SUMIFS('capacity data'!$G:$G,'capacity data'!$E:$E,"PO",'capacity data'!$B:$B,P104))-SUMIFS('capacity data'!$H:$H,'capacity data'!$E:$E,"PO",'capacity data'!$B:$B,P104))/SUMIFS('capacity data'!$G:$G,'capacity data'!$E:$E,"PO",'capacity data'!$B:$B,P104),"")</f>
        <v/>
      </c>
      <c r="R104" s="247" t="str">
        <f>IFERROR(SUM((SUMIFS('capacity data'!$G:$G,'capacity data'!$E:$E,"PSO",'capacity data'!$B:$B,P104))-SUMIFS('capacity data'!$H:$H,'capacity data'!$E:$E,"PSO",'capacity data'!$B:$B,P104))/SUMIFS('capacity data'!$G:$G,'capacity data'!$E:$E,"PSO",'capacity data'!$B:$B,P104),"")</f>
        <v/>
      </c>
      <c r="S104" s="24" t="str">
        <f t="shared" si="1"/>
        <v/>
      </c>
      <c r="T104" s="248" t="str">
        <f>IFERROR(SUMIFS('capacity data'!$L:$L,'capacity data'!$B:$B,P104,'capacity data'!$E:$E,"PSO")/SUMIFS('capacity data'!$G:$G,'capacity data'!$E:$E,"PSO",'capacity data'!$B:$B,P104),"")</f>
        <v/>
      </c>
      <c r="U104" s="248" t="str">
        <f>IFERROR(SUMIFS('capacity data'!$L:$L,'capacity data'!$B:$B,P104,'capacity data'!$E:$E,"TPO")/SUMIFS('capacity data'!$G:$G,'capacity data'!$E:$E,"TPO",'capacity data'!$B:$B,P104),"")</f>
        <v/>
      </c>
    </row>
    <row r="105" spans="15:21" ht="16" x14ac:dyDescent="0.2">
      <c r="O105" s="26" t="s">
        <v>26</v>
      </c>
      <c r="P105" t="s">
        <v>79</v>
      </c>
      <c r="Q105" s="247" t="str">
        <f>IFERROR(SUM((SUMIFS('capacity data'!$G:$G,'capacity data'!$E:$E,"PO",'capacity data'!$B:$B,P105))-SUMIFS('capacity data'!$H:$H,'capacity data'!$E:$E,"PO",'capacity data'!$B:$B,P105))/SUMIFS('capacity data'!$G:$G,'capacity data'!$E:$E,"PO",'capacity data'!$B:$B,P105),"")</f>
        <v/>
      </c>
      <c r="R105" s="247" t="str">
        <f>IFERROR(SUM((SUMIFS('capacity data'!$G:$G,'capacity data'!$E:$E,"PSO",'capacity data'!$B:$B,P105))-SUMIFS('capacity data'!$H:$H,'capacity data'!$E:$E,"PSO",'capacity data'!$B:$B,P105))/SUMIFS('capacity data'!$G:$G,'capacity data'!$E:$E,"PSO",'capacity data'!$B:$B,P105),"")</f>
        <v/>
      </c>
      <c r="S105" s="24" t="str">
        <f t="shared" si="1"/>
        <v/>
      </c>
      <c r="T105" s="248" t="str">
        <f>IFERROR(SUMIFS('capacity data'!$L:$L,'capacity data'!$B:$B,P105,'capacity data'!$E:$E,"PSO")/SUMIFS('capacity data'!$G:$G,'capacity data'!$E:$E,"PSO",'capacity data'!$B:$B,P105),"")</f>
        <v/>
      </c>
      <c r="U105" s="248" t="str">
        <f>IFERROR(SUMIFS('capacity data'!$L:$L,'capacity data'!$B:$B,P105,'capacity data'!$E:$E,"TPO")/SUMIFS('capacity data'!$G:$G,'capacity data'!$E:$E,"TPO",'capacity data'!$B:$B,P105),"")</f>
        <v/>
      </c>
    </row>
    <row r="106" spans="15:21" ht="16" x14ac:dyDescent="0.2">
      <c r="O106" s="26" t="s">
        <v>26</v>
      </c>
      <c r="P106" t="s">
        <v>110</v>
      </c>
      <c r="Q106" s="247" t="str">
        <f>IFERROR(SUM((SUMIFS('capacity data'!$G:$G,'capacity data'!$E:$E,"PO",'capacity data'!$B:$B,P106))-SUMIFS('capacity data'!$H:$H,'capacity data'!$E:$E,"PO",'capacity data'!$B:$B,P106))/SUMIFS('capacity data'!$G:$G,'capacity data'!$E:$E,"PO",'capacity data'!$B:$B,P106),"")</f>
        <v/>
      </c>
      <c r="R106" s="247" t="str">
        <f>IFERROR(SUM((SUMIFS('capacity data'!$G:$G,'capacity data'!$E:$E,"PSO",'capacity data'!$B:$B,P106))-SUMIFS('capacity data'!$H:$H,'capacity data'!$E:$E,"PSO",'capacity data'!$B:$B,P106))/SUMIFS('capacity data'!$G:$G,'capacity data'!$E:$E,"PSO",'capacity data'!$B:$B,P106),"")</f>
        <v/>
      </c>
      <c r="S106" s="24" t="str">
        <f t="shared" si="1"/>
        <v/>
      </c>
      <c r="T106" s="248" t="str">
        <f>IFERROR(SUMIFS('capacity data'!$L:$L,'capacity data'!$B:$B,P106,'capacity data'!$E:$E,"PSO")/SUMIFS('capacity data'!$G:$G,'capacity data'!$E:$E,"PSO",'capacity data'!$B:$B,P106),"")</f>
        <v/>
      </c>
      <c r="U106" s="248" t="str">
        <f>IFERROR(SUMIFS('capacity data'!$L:$L,'capacity data'!$B:$B,P106,'capacity data'!$E:$E,"TPO")/SUMIFS('capacity data'!$G:$G,'capacity data'!$E:$E,"TPO",'capacity data'!$B:$B,P106),"")</f>
        <v/>
      </c>
    </row>
    <row r="107" spans="15:21" ht="16" x14ac:dyDescent="0.2">
      <c r="O107" s="26" t="s">
        <v>26</v>
      </c>
      <c r="P107" t="s">
        <v>141</v>
      </c>
      <c r="Q107" s="247" t="str">
        <f>IFERROR(SUM((SUMIFS('capacity data'!$G:$G,'capacity data'!$E:$E,"PO",'capacity data'!$B:$B,P107))-SUMIFS('capacity data'!$H:$H,'capacity data'!$E:$E,"PO",'capacity data'!$B:$B,P107))/SUMIFS('capacity data'!$G:$G,'capacity data'!$E:$E,"PO",'capacity data'!$B:$B,P107),"")</f>
        <v/>
      </c>
      <c r="R107" s="247" t="str">
        <f>IFERROR(SUM((SUMIFS('capacity data'!$G:$G,'capacity data'!$E:$E,"PSO",'capacity data'!$B:$B,P107))-SUMIFS('capacity data'!$H:$H,'capacity data'!$E:$E,"PSO",'capacity data'!$B:$B,P107))/SUMIFS('capacity data'!$G:$G,'capacity data'!$E:$E,"PSO",'capacity data'!$B:$B,P107),"")</f>
        <v/>
      </c>
      <c r="S107" s="24" t="str">
        <f t="shared" si="1"/>
        <v/>
      </c>
      <c r="T107" s="248" t="str">
        <f>IFERROR(SUMIFS('capacity data'!$L:$L,'capacity data'!$B:$B,P107,'capacity data'!$E:$E,"PSO")/SUMIFS('capacity data'!$G:$G,'capacity data'!$E:$E,"PSO",'capacity data'!$B:$B,P107),"")</f>
        <v/>
      </c>
      <c r="U107" s="248" t="str">
        <f>IFERROR(SUMIFS('capacity data'!$L:$L,'capacity data'!$B:$B,P107,'capacity data'!$E:$E,"TPO")/SUMIFS('capacity data'!$G:$G,'capacity data'!$E:$E,"TPO",'capacity data'!$B:$B,P107),"")</f>
        <v/>
      </c>
    </row>
    <row r="108" spans="15:21" ht="16" x14ac:dyDescent="0.2">
      <c r="O108" s="26" t="s">
        <v>26</v>
      </c>
      <c r="P108" t="s">
        <v>170</v>
      </c>
      <c r="Q108" s="247" t="str">
        <f>IFERROR(SUM((SUMIFS('capacity data'!$G:$G,'capacity data'!$E:$E,"PO",'capacity data'!$B:$B,P108))-SUMIFS('capacity data'!$H:$H,'capacity data'!$E:$E,"PO",'capacity data'!$B:$B,P108))/SUMIFS('capacity data'!$G:$G,'capacity data'!$E:$E,"PO",'capacity data'!$B:$B,P108),"")</f>
        <v/>
      </c>
      <c r="R108" s="247" t="str">
        <f>IFERROR(SUM((SUMIFS('capacity data'!$G:$G,'capacity data'!$E:$E,"PSO",'capacity data'!$B:$B,P108))-SUMIFS('capacity data'!$H:$H,'capacity data'!$E:$E,"PSO",'capacity data'!$B:$B,P108))/SUMIFS('capacity data'!$G:$G,'capacity data'!$E:$E,"PSO",'capacity data'!$B:$B,P108),"")</f>
        <v/>
      </c>
      <c r="S108" s="24" t="str">
        <f t="shared" si="1"/>
        <v/>
      </c>
      <c r="T108" s="248" t="str">
        <f>IFERROR(SUMIFS('capacity data'!$L:$L,'capacity data'!$B:$B,P108,'capacity data'!$E:$E,"PSO")/SUMIFS('capacity data'!$G:$G,'capacity data'!$E:$E,"PSO",'capacity data'!$B:$B,P108),"")</f>
        <v/>
      </c>
      <c r="U108" s="248" t="str">
        <f>IFERROR(SUMIFS('capacity data'!$L:$L,'capacity data'!$B:$B,P108,'capacity data'!$E:$E,"TPO")/SUMIFS('capacity data'!$G:$G,'capacity data'!$E:$E,"TPO",'capacity data'!$B:$B,P108),"")</f>
        <v/>
      </c>
    </row>
    <row r="109" spans="15:21" ht="16" x14ac:dyDescent="0.2">
      <c r="O109" s="26" t="s">
        <v>26</v>
      </c>
      <c r="P109" t="s">
        <v>198</v>
      </c>
      <c r="Q109" s="247" t="str">
        <f>IFERROR(SUM((SUMIFS('capacity data'!$G:$G,'capacity data'!$E:$E,"PO",'capacity data'!$B:$B,P109))-SUMIFS('capacity data'!$H:$H,'capacity data'!$E:$E,"PO",'capacity data'!$B:$B,P109))/SUMIFS('capacity data'!$G:$G,'capacity data'!$E:$E,"PO",'capacity data'!$B:$B,P109),"")</f>
        <v/>
      </c>
      <c r="R109" s="247" t="str">
        <f>IFERROR(SUM((SUMIFS('capacity data'!$G:$G,'capacity data'!$E:$E,"PSO",'capacity data'!$B:$B,P109))-SUMIFS('capacity data'!$H:$H,'capacity data'!$E:$E,"PSO",'capacity data'!$B:$B,P109))/SUMIFS('capacity data'!$G:$G,'capacity data'!$E:$E,"PSO",'capacity data'!$B:$B,P109),"")</f>
        <v/>
      </c>
      <c r="S109" s="24" t="str">
        <f t="shared" si="1"/>
        <v/>
      </c>
      <c r="T109" s="248" t="str">
        <f>IFERROR(SUMIFS('capacity data'!$L:$L,'capacity data'!$B:$B,P109,'capacity data'!$E:$E,"PSO")/SUMIFS('capacity data'!$G:$G,'capacity data'!$E:$E,"PSO",'capacity data'!$B:$B,P109),"")</f>
        <v/>
      </c>
      <c r="U109" s="248" t="str">
        <f>IFERROR(SUMIFS('capacity data'!$L:$L,'capacity data'!$B:$B,P109,'capacity data'!$E:$E,"TPO")/SUMIFS('capacity data'!$G:$G,'capacity data'!$E:$E,"TPO",'capacity data'!$B:$B,P109),"")</f>
        <v/>
      </c>
    </row>
    <row r="110" spans="15:21" ht="16" x14ac:dyDescent="0.2">
      <c r="O110" s="26" t="s">
        <v>26</v>
      </c>
      <c r="P110" t="s">
        <v>223</v>
      </c>
      <c r="Q110" s="247" t="str">
        <f>IFERROR(SUM((SUMIFS('capacity data'!$G:$G,'capacity data'!$E:$E,"PO",'capacity data'!$B:$B,P110))-SUMIFS('capacity data'!$H:$H,'capacity data'!$E:$E,"PO",'capacity data'!$B:$B,P110))/SUMIFS('capacity data'!$G:$G,'capacity data'!$E:$E,"PO",'capacity data'!$B:$B,P110),"")</f>
        <v/>
      </c>
      <c r="R110" s="247" t="str">
        <f>IFERROR(SUM((SUMIFS('capacity data'!$G:$G,'capacity data'!$E:$E,"PSO",'capacity data'!$B:$B,P110))-SUMIFS('capacity data'!$H:$H,'capacity data'!$E:$E,"PSO",'capacity data'!$B:$B,P110))/SUMIFS('capacity data'!$G:$G,'capacity data'!$E:$E,"PSO",'capacity data'!$B:$B,P110),"")</f>
        <v/>
      </c>
      <c r="S110" s="24" t="str">
        <f t="shared" si="1"/>
        <v/>
      </c>
      <c r="T110" s="248" t="str">
        <f>IFERROR(SUMIFS('capacity data'!$L:$L,'capacity data'!$B:$B,P110,'capacity data'!$E:$E,"PSO")/SUMIFS('capacity data'!$G:$G,'capacity data'!$E:$E,"PSO",'capacity data'!$B:$B,P110),"")</f>
        <v/>
      </c>
      <c r="U110" s="248" t="str">
        <f>IFERROR(SUMIFS('capacity data'!$L:$L,'capacity data'!$B:$B,P110,'capacity data'!$E:$E,"TPO")/SUMIFS('capacity data'!$G:$G,'capacity data'!$E:$E,"TPO",'capacity data'!$B:$B,P110),"")</f>
        <v/>
      </c>
    </row>
    <row r="111" spans="15:21" ht="16" x14ac:dyDescent="0.2">
      <c r="O111" s="26" t="s">
        <v>26</v>
      </c>
      <c r="P111" t="s">
        <v>248</v>
      </c>
      <c r="Q111" s="247" t="str">
        <f>IFERROR(SUM((SUMIFS('capacity data'!$G:$G,'capacity data'!$E:$E,"PO",'capacity data'!$B:$B,P111))-SUMIFS('capacity data'!$H:$H,'capacity data'!$E:$E,"PO",'capacity data'!$B:$B,P111))/SUMIFS('capacity data'!$G:$G,'capacity data'!$E:$E,"PO",'capacity data'!$B:$B,P111),"")</f>
        <v/>
      </c>
      <c r="R111" s="247" t="str">
        <f>IFERROR(SUM((SUMIFS('capacity data'!$G:$G,'capacity data'!$E:$E,"PSO",'capacity data'!$B:$B,P111))-SUMIFS('capacity data'!$H:$H,'capacity data'!$E:$E,"PSO",'capacity data'!$B:$B,P111))/SUMIFS('capacity data'!$G:$G,'capacity data'!$E:$E,"PSO",'capacity data'!$B:$B,P111),"")</f>
        <v/>
      </c>
      <c r="S111" s="24" t="str">
        <f t="shared" si="1"/>
        <v/>
      </c>
      <c r="T111" s="248" t="str">
        <f>IFERROR(SUMIFS('capacity data'!$L:$L,'capacity data'!$B:$B,P111,'capacity data'!$E:$E,"PSO")/SUMIFS('capacity data'!$G:$G,'capacity data'!$E:$E,"PSO",'capacity data'!$B:$B,P111),"")</f>
        <v/>
      </c>
      <c r="U111" s="248" t="str">
        <f>IFERROR(SUMIFS('capacity data'!$L:$L,'capacity data'!$B:$B,P111,'capacity data'!$E:$E,"TPO")/SUMIFS('capacity data'!$G:$G,'capacity data'!$E:$E,"TPO",'capacity data'!$B:$B,P111),"")</f>
        <v/>
      </c>
    </row>
    <row r="112" spans="15:21" ht="16" x14ac:dyDescent="0.2">
      <c r="O112" s="26" t="s">
        <v>26</v>
      </c>
      <c r="P112" t="s">
        <v>272</v>
      </c>
      <c r="Q112" s="247" t="str">
        <f>IFERROR(SUM((SUMIFS('capacity data'!$G:$G,'capacity data'!$E:$E,"PO",'capacity data'!$B:$B,P112))-SUMIFS('capacity data'!$H:$H,'capacity data'!$E:$E,"PO",'capacity data'!$B:$B,P112))/SUMIFS('capacity data'!$G:$G,'capacity data'!$E:$E,"PO",'capacity data'!$B:$B,P112),"")</f>
        <v/>
      </c>
      <c r="R112" s="247" t="str">
        <f>IFERROR(SUM((SUMIFS('capacity data'!$G:$G,'capacity data'!$E:$E,"PSO",'capacity data'!$B:$B,P112))-SUMIFS('capacity data'!$H:$H,'capacity data'!$E:$E,"PSO",'capacity data'!$B:$B,P112))/SUMIFS('capacity data'!$G:$G,'capacity data'!$E:$E,"PSO",'capacity data'!$B:$B,P112),"")</f>
        <v/>
      </c>
      <c r="S112" s="24" t="str">
        <f t="shared" si="1"/>
        <v/>
      </c>
      <c r="T112" s="248" t="str">
        <f>IFERROR(SUMIFS('capacity data'!$L:$L,'capacity data'!$B:$B,P112,'capacity data'!$E:$E,"PSO")/SUMIFS('capacity data'!$G:$G,'capacity data'!$E:$E,"PSO",'capacity data'!$B:$B,P112),"")</f>
        <v/>
      </c>
      <c r="U112" s="248" t="str">
        <f>IFERROR(SUMIFS('capacity data'!$L:$L,'capacity data'!$B:$B,P112,'capacity data'!$E:$E,"TPO")/SUMIFS('capacity data'!$G:$G,'capacity data'!$E:$E,"TPO",'capacity data'!$B:$B,P112),"")</f>
        <v/>
      </c>
    </row>
    <row r="113" spans="15:21" ht="16" x14ac:dyDescent="0.2">
      <c r="O113" s="26" t="s">
        <v>26</v>
      </c>
      <c r="P113" t="s">
        <v>294</v>
      </c>
      <c r="Q113" s="247" t="str">
        <f>IFERROR(SUM((SUMIFS('capacity data'!$G:$G,'capacity data'!$E:$E,"PO",'capacity data'!$B:$B,P113))-SUMIFS('capacity data'!$H:$H,'capacity data'!$E:$E,"PO",'capacity data'!$B:$B,P113))/SUMIFS('capacity data'!$G:$G,'capacity data'!$E:$E,"PO",'capacity data'!$B:$B,P113),"")</f>
        <v/>
      </c>
      <c r="R113" s="247" t="str">
        <f>IFERROR(SUM((SUMIFS('capacity data'!$G:$G,'capacity data'!$E:$E,"PSO",'capacity data'!$B:$B,P113))-SUMIFS('capacity data'!$H:$H,'capacity data'!$E:$E,"PSO",'capacity data'!$B:$B,P113))/SUMIFS('capacity data'!$G:$G,'capacity data'!$E:$E,"PSO",'capacity data'!$B:$B,P113),"")</f>
        <v/>
      </c>
      <c r="S113" s="24" t="str">
        <f t="shared" si="1"/>
        <v/>
      </c>
      <c r="T113" s="248" t="str">
        <f>IFERROR(SUMIFS('capacity data'!$L:$L,'capacity data'!$B:$B,P113,'capacity data'!$E:$E,"PSO")/SUMIFS('capacity data'!$G:$G,'capacity data'!$E:$E,"PSO",'capacity data'!$B:$B,P113),"")</f>
        <v/>
      </c>
      <c r="U113" s="248" t="str">
        <f>IFERROR(SUMIFS('capacity data'!$L:$L,'capacity data'!$B:$B,P113,'capacity data'!$E:$E,"TPO")/SUMIFS('capacity data'!$G:$G,'capacity data'!$E:$E,"TPO",'capacity data'!$B:$B,P113),"")</f>
        <v/>
      </c>
    </row>
    <row r="114" spans="15:21" ht="16" x14ac:dyDescent="0.2">
      <c r="O114" s="26" t="s">
        <v>26</v>
      </c>
      <c r="P114" t="s">
        <v>316</v>
      </c>
      <c r="Q114" s="247" t="str">
        <f>IFERROR(SUM((SUMIFS('capacity data'!$G:$G,'capacity data'!$E:$E,"PO",'capacity data'!$B:$B,P114))-SUMIFS('capacity data'!$H:$H,'capacity data'!$E:$E,"PO",'capacity data'!$B:$B,P114))/SUMIFS('capacity data'!$G:$G,'capacity data'!$E:$E,"PO",'capacity data'!$B:$B,P114),"")</f>
        <v/>
      </c>
      <c r="R114" s="247" t="str">
        <f>IFERROR(SUM((SUMIFS('capacity data'!$G:$G,'capacity data'!$E:$E,"PSO",'capacity data'!$B:$B,P114))-SUMIFS('capacity data'!$H:$H,'capacity data'!$E:$E,"PSO",'capacity data'!$B:$B,P114))/SUMIFS('capacity data'!$G:$G,'capacity data'!$E:$E,"PSO",'capacity data'!$B:$B,P114),"")</f>
        <v/>
      </c>
      <c r="S114" s="24" t="str">
        <f t="shared" si="1"/>
        <v/>
      </c>
      <c r="T114" s="248" t="str">
        <f>IFERROR(SUMIFS('capacity data'!$L:$L,'capacity data'!$B:$B,P114,'capacity data'!$E:$E,"PSO")/SUMIFS('capacity data'!$G:$G,'capacity data'!$E:$E,"PSO",'capacity data'!$B:$B,P114),"")</f>
        <v/>
      </c>
      <c r="U114" s="248" t="str">
        <f>IFERROR(SUMIFS('capacity data'!$L:$L,'capacity data'!$B:$B,P114,'capacity data'!$E:$E,"TPO")/SUMIFS('capacity data'!$G:$G,'capacity data'!$E:$E,"TPO",'capacity data'!$B:$B,P114),"")</f>
        <v/>
      </c>
    </row>
    <row r="115" spans="15:21" ht="16" x14ac:dyDescent="0.2">
      <c r="O115" s="26" t="s">
        <v>26</v>
      </c>
      <c r="P115" t="s">
        <v>337</v>
      </c>
      <c r="Q115" s="247" t="str">
        <f>IFERROR(SUM((SUMIFS('capacity data'!$G:$G,'capacity data'!$E:$E,"PO",'capacity data'!$B:$B,P115))-SUMIFS('capacity data'!$H:$H,'capacity data'!$E:$E,"PO",'capacity data'!$B:$B,P115))/SUMIFS('capacity data'!$G:$G,'capacity data'!$E:$E,"PO",'capacity data'!$B:$B,P115),"")</f>
        <v/>
      </c>
      <c r="R115" s="247" t="str">
        <f>IFERROR(SUM((SUMIFS('capacity data'!$G:$G,'capacity data'!$E:$E,"PSO",'capacity data'!$B:$B,P115))-SUMIFS('capacity data'!$H:$H,'capacity data'!$E:$E,"PSO",'capacity data'!$B:$B,P115))/SUMIFS('capacity data'!$G:$G,'capacity data'!$E:$E,"PSO",'capacity data'!$B:$B,P115),"")</f>
        <v/>
      </c>
      <c r="S115" s="24" t="str">
        <f t="shared" si="1"/>
        <v/>
      </c>
      <c r="T115" s="248" t="str">
        <f>IFERROR(SUMIFS('capacity data'!$L:$L,'capacity data'!$B:$B,P115,'capacity data'!$E:$E,"PSO")/SUMIFS('capacity data'!$G:$G,'capacity data'!$E:$E,"PSO",'capacity data'!$B:$B,P115),"")</f>
        <v/>
      </c>
      <c r="U115" s="248" t="str">
        <f>IFERROR(SUMIFS('capacity data'!$L:$L,'capacity data'!$B:$B,P115,'capacity data'!$E:$E,"TPO")/SUMIFS('capacity data'!$G:$G,'capacity data'!$E:$E,"TPO",'capacity data'!$B:$B,P115),"")</f>
        <v/>
      </c>
    </row>
    <row r="116" spans="15:21" ht="16" x14ac:dyDescent="0.2">
      <c r="O116" s="26" t="s">
        <v>27</v>
      </c>
      <c r="P116" t="s">
        <v>46</v>
      </c>
      <c r="Q116" s="247" t="str">
        <f>IFERROR(SUM((SUMIFS('capacity data'!$G:$G,'capacity data'!$E:$E,"PO",'capacity data'!$B:$B,P116))-SUMIFS('capacity data'!$H:$H,'capacity data'!$E:$E,"PO",'capacity data'!$B:$B,P116))/SUMIFS('capacity data'!$G:$G,'capacity data'!$E:$E,"PO",'capacity data'!$B:$B,P116),"")</f>
        <v/>
      </c>
      <c r="R116" s="247" t="str">
        <f>IFERROR(SUM((SUMIFS('capacity data'!$G:$G,'capacity data'!$E:$E,"PSO",'capacity data'!$B:$B,P116))-SUMIFS('capacity data'!$H:$H,'capacity data'!$E:$E,"PSO",'capacity data'!$B:$B,P116))/SUMIFS('capacity data'!$G:$G,'capacity data'!$E:$E,"PSO",'capacity data'!$B:$B,P116),"")</f>
        <v/>
      </c>
      <c r="S116" s="24" t="str">
        <f t="shared" si="1"/>
        <v/>
      </c>
      <c r="T116" s="248" t="str">
        <f>IFERROR(SUMIFS('capacity data'!$L:$L,'capacity data'!$B:$B,P116,'capacity data'!$E:$E,"PSO")/SUMIFS('capacity data'!$G:$G,'capacity data'!$E:$E,"PSO",'capacity data'!$B:$B,P116),"")</f>
        <v/>
      </c>
      <c r="U116" s="248" t="str">
        <f>IFERROR(SUMIFS('capacity data'!$L:$L,'capacity data'!$B:$B,P116,'capacity data'!$E:$E,"TPO")/SUMIFS('capacity data'!$G:$G,'capacity data'!$E:$E,"TPO",'capacity data'!$B:$B,P116),"")</f>
        <v/>
      </c>
    </row>
    <row r="117" spans="15:21" ht="16" x14ac:dyDescent="0.2">
      <c r="O117" s="26" t="s">
        <v>27</v>
      </c>
      <c r="P117" t="s">
        <v>80</v>
      </c>
      <c r="Q117" s="247" t="str">
        <f>IFERROR(SUM((SUMIFS('capacity data'!$G:$G,'capacity data'!$E:$E,"PO",'capacity data'!$B:$B,P117))-SUMIFS('capacity data'!$H:$H,'capacity data'!$E:$E,"PO",'capacity data'!$B:$B,P117))/SUMIFS('capacity data'!$G:$G,'capacity data'!$E:$E,"PO",'capacity data'!$B:$B,P117),"")</f>
        <v/>
      </c>
      <c r="R117" s="247" t="str">
        <f>IFERROR(SUM((SUMIFS('capacity data'!$G:$G,'capacity data'!$E:$E,"PSO",'capacity data'!$B:$B,P117))-SUMIFS('capacity data'!$H:$H,'capacity data'!$E:$E,"PSO",'capacity data'!$B:$B,P117))/SUMIFS('capacity data'!$G:$G,'capacity data'!$E:$E,"PSO",'capacity data'!$B:$B,P117),"")</f>
        <v/>
      </c>
      <c r="S117" s="24" t="str">
        <f t="shared" si="1"/>
        <v/>
      </c>
      <c r="T117" s="248" t="str">
        <f>IFERROR(SUMIFS('capacity data'!$L:$L,'capacity data'!$B:$B,P117,'capacity data'!$E:$E,"PSO")/SUMIFS('capacity data'!$G:$G,'capacity data'!$E:$E,"PSO",'capacity data'!$B:$B,P117),"")</f>
        <v/>
      </c>
      <c r="U117" s="248" t="str">
        <f>IFERROR(SUMIFS('capacity data'!$L:$L,'capacity data'!$B:$B,P117,'capacity data'!$E:$E,"TPO")/SUMIFS('capacity data'!$G:$G,'capacity data'!$E:$E,"TPO",'capacity data'!$B:$B,P117),"")</f>
        <v/>
      </c>
    </row>
    <row r="118" spans="15:21" ht="16" x14ac:dyDescent="0.2">
      <c r="O118" s="26" t="s">
        <v>27</v>
      </c>
      <c r="P118" t="s">
        <v>111</v>
      </c>
      <c r="Q118" s="247" t="str">
        <f>IFERROR(SUM((SUMIFS('capacity data'!$G:$G,'capacity data'!$E:$E,"PO",'capacity data'!$B:$B,P118))-SUMIFS('capacity data'!$H:$H,'capacity data'!$E:$E,"PO",'capacity data'!$B:$B,P118))/SUMIFS('capacity data'!$G:$G,'capacity data'!$E:$E,"PO",'capacity data'!$B:$B,P118),"")</f>
        <v/>
      </c>
      <c r="R118" s="247" t="str">
        <f>IFERROR(SUM((SUMIFS('capacity data'!$G:$G,'capacity data'!$E:$E,"PSO",'capacity data'!$B:$B,P118))-SUMIFS('capacity data'!$H:$H,'capacity data'!$E:$E,"PSO",'capacity data'!$B:$B,P118))/SUMIFS('capacity data'!$G:$G,'capacity data'!$E:$E,"PSO",'capacity data'!$B:$B,P118),"")</f>
        <v/>
      </c>
      <c r="S118" s="24" t="str">
        <f t="shared" si="1"/>
        <v/>
      </c>
      <c r="T118" s="248" t="str">
        <f>IFERROR(SUMIFS('capacity data'!$L:$L,'capacity data'!$B:$B,P118,'capacity data'!$E:$E,"PSO")/SUMIFS('capacity data'!$G:$G,'capacity data'!$E:$E,"PSO",'capacity data'!$B:$B,P118),"")</f>
        <v/>
      </c>
      <c r="U118" s="248" t="str">
        <f>IFERROR(SUMIFS('capacity data'!$L:$L,'capacity data'!$B:$B,P118,'capacity data'!$E:$E,"TPO")/SUMIFS('capacity data'!$G:$G,'capacity data'!$E:$E,"TPO",'capacity data'!$B:$B,P118),"")</f>
        <v/>
      </c>
    </row>
    <row r="119" spans="15:21" ht="16" x14ac:dyDescent="0.2">
      <c r="O119" s="26" t="s">
        <v>27</v>
      </c>
      <c r="P119" t="s">
        <v>142</v>
      </c>
      <c r="Q119" s="247" t="str">
        <f>IFERROR(SUM((SUMIFS('capacity data'!$G:$G,'capacity data'!$E:$E,"PO",'capacity data'!$B:$B,P119))-SUMIFS('capacity data'!$H:$H,'capacity data'!$E:$E,"PO",'capacity data'!$B:$B,P119))/SUMIFS('capacity data'!$G:$G,'capacity data'!$E:$E,"PO",'capacity data'!$B:$B,P119),"")</f>
        <v/>
      </c>
      <c r="R119" s="247" t="str">
        <f>IFERROR(SUM((SUMIFS('capacity data'!$G:$G,'capacity data'!$E:$E,"PSO",'capacity data'!$B:$B,P119))-SUMIFS('capacity data'!$H:$H,'capacity data'!$E:$E,"PSO",'capacity data'!$B:$B,P119))/SUMIFS('capacity data'!$G:$G,'capacity data'!$E:$E,"PSO",'capacity data'!$B:$B,P119),"")</f>
        <v/>
      </c>
      <c r="S119" s="24" t="str">
        <f t="shared" si="1"/>
        <v/>
      </c>
      <c r="T119" s="248" t="str">
        <f>IFERROR(SUMIFS('capacity data'!$L:$L,'capacity data'!$B:$B,P119,'capacity data'!$E:$E,"PSO")/SUMIFS('capacity data'!$G:$G,'capacity data'!$E:$E,"PSO",'capacity data'!$B:$B,P119),"")</f>
        <v/>
      </c>
      <c r="U119" s="248" t="str">
        <f>IFERROR(SUMIFS('capacity data'!$L:$L,'capacity data'!$B:$B,P119,'capacity data'!$E:$E,"TPO")/SUMIFS('capacity data'!$G:$G,'capacity data'!$E:$E,"TPO",'capacity data'!$B:$B,P119),"")</f>
        <v/>
      </c>
    </row>
    <row r="120" spans="15:21" ht="16" x14ac:dyDescent="0.2">
      <c r="O120" s="26" t="s">
        <v>27</v>
      </c>
      <c r="P120" t="s">
        <v>171</v>
      </c>
      <c r="Q120" s="247" t="str">
        <f>IFERROR(SUM((SUMIFS('capacity data'!$G:$G,'capacity data'!$E:$E,"PO",'capacity data'!$B:$B,P120))-SUMIFS('capacity data'!$H:$H,'capacity data'!$E:$E,"PO",'capacity data'!$B:$B,P120))/SUMIFS('capacity data'!$G:$G,'capacity data'!$E:$E,"PO",'capacity data'!$B:$B,P120),"")</f>
        <v/>
      </c>
      <c r="R120" s="247" t="str">
        <f>IFERROR(SUM((SUMIFS('capacity data'!$G:$G,'capacity data'!$E:$E,"PSO",'capacity data'!$B:$B,P120))-SUMIFS('capacity data'!$H:$H,'capacity data'!$E:$E,"PSO",'capacity data'!$B:$B,P120))/SUMIFS('capacity data'!$G:$G,'capacity data'!$E:$E,"PSO",'capacity data'!$B:$B,P120),"")</f>
        <v/>
      </c>
      <c r="S120" s="24" t="str">
        <f t="shared" si="1"/>
        <v/>
      </c>
      <c r="T120" s="248" t="str">
        <f>IFERROR(SUMIFS('capacity data'!$L:$L,'capacity data'!$B:$B,P120,'capacity data'!$E:$E,"PSO")/SUMIFS('capacity data'!$G:$G,'capacity data'!$E:$E,"PSO",'capacity data'!$B:$B,P120),"")</f>
        <v/>
      </c>
      <c r="U120" s="248" t="str">
        <f>IFERROR(SUMIFS('capacity data'!$L:$L,'capacity data'!$B:$B,P120,'capacity data'!$E:$E,"TPO")/SUMIFS('capacity data'!$G:$G,'capacity data'!$E:$E,"TPO",'capacity data'!$B:$B,P120),"")</f>
        <v/>
      </c>
    </row>
    <row r="121" spans="15:21" ht="16" x14ac:dyDescent="0.2">
      <c r="O121" s="26" t="s">
        <v>27</v>
      </c>
      <c r="P121" t="s">
        <v>199</v>
      </c>
      <c r="Q121" s="247" t="str">
        <f>IFERROR(SUM((SUMIFS('capacity data'!$G:$G,'capacity data'!$E:$E,"PO",'capacity data'!$B:$B,P121))-SUMIFS('capacity data'!$H:$H,'capacity data'!$E:$E,"PO",'capacity data'!$B:$B,P121))/SUMIFS('capacity data'!$G:$G,'capacity data'!$E:$E,"PO",'capacity data'!$B:$B,P121),"")</f>
        <v/>
      </c>
      <c r="R121" s="247" t="str">
        <f>IFERROR(SUM((SUMIFS('capacity data'!$G:$G,'capacity data'!$E:$E,"PSO",'capacity data'!$B:$B,P121))-SUMIFS('capacity data'!$H:$H,'capacity data'!$E:$E,"PSO",'capacity data'!$B:$B,P121))/SUMIFS('capacity data'!$G:$G,'capacity data'!$E:$E,"PSO",'capacity data'!$B:$B,P121),"")</f>
        <v/>
      </c>
      <c r="S121" s="24" t="str">
        <f t="shared" si="1"/>
        <v/>
      </c>
      <c r="T121" s="248" t="str">
        <f>IFERROR(SUMIFS('capacity data'!$L:$L,'capacity data'!$B:$B,P121,'capacity data'!$E:$E,"PSO")/SUMIFS('capacity data'!$G:$G,'capacity data'!$E:$E,"PSO",'capacity data'!$B:$B,P121),"")</f>
        <v/>
      </c>
      <c r="U121" s="248" t="str">
        <f>IFERROR(SUMIFS('capacity data'!$L:$L,'capacity data'!$B:$B,P121,'capacity data'!$E:$E,"TPO")/SUMIFS('capacity data'!$G:$G,'capacity data'!$E:$E,"TPO",'capacity data'!$B:$B,P121),"")</f>
        <v/>
      </c>
    </row>
    <row r="122" spans="15:21" ht="16" x14ac:dyDescent="0.2">
      <c r="O122" s="26" t="s">
        <v>27</v>
      </c>
      <c r="P122" t="s">
        <v>224</v>
      </c>
      <c r="Q122" s="247" t="str">
        <f>IFERROR(SUM((SUMIFS('capacity data'!$G:$G,'capacity data'!$E:$E,"PO",'capacity data'!$B:$B,P122))-SUMIFS('capacity data'!$H:$H,'capacity data'!$E:$E,"PO",'capacity data'!$B:$B,P122))/SUMIFS('capacity data'!$G:$G,'capacity data'!$E:$E,"PO",'capacity data'!$B:$B,P122),"")</f>
        <v/>
      </c>
      <c r="R122" s="247" t="str">
        <f>IFERROR(SUM((SUMIFS('capacity data'!$G:$G,'capacity data'!$E:$E,"PSO",'capacity data'!$B:$B,P122))-SUMIFS('capacity data'!$H:$H,'capacity data'!$E:$E,"PSO",'capacity data'!$B:$B,P122))/SUMIFS('capacity data'!$G:$G,'capacity data'!$E:$E,"PSO",'capacity data'!$B:$B,P122),"")</f>
        <v/>
      </c>
      <c r="S122" s="24" t="str">
        <f t="shared" si="1"/>
        <v/>
      </c>
      <c r="T122" s="248" t="str">
        <f>IFERROR(SUMIFS('capacity data'!$L:$L,'capacity data'!$B:$B,P122,'capacity data'!$E:$E,"PSO")/SUMIFS('capacity data'!$G:$G,'capacity data'!$E:$E,"PSO",'capacity data'!$B:$B,P122),"")</f>
        <v/>
      </c>
      <c r="U122" s="248" t="str">
        <f>IFERROR(SUMIFS('capacity data'!$L:$L,'capacity data'!$B:$B,P122,'capacity data'!$E:$E,"TPO")/SUMIFS('capacity data'!$G:$G,'capacity data'!$E:$E,"TPO",'capacity data'!$B:$B,P122),"")</f>
        <v/>
      </c>
    </row>
    <row r="123" spans="15:21" ht="16" x14ac:dyDescent="0.2">
      <c r="O123" s="26" t="s">
        <v>27</v>
      </c>
      <c r="P123" t="s">
        <v>249</v>
      </c>
      <c r="Q123" s="247" t="str">
        <f>IFERROR(SUM((SUMIFS('capacity data'!$G:$G,'capacity data'!$E:$E,"PO",'capacity data'!$B:$B,P123))-SUMIFS('capacity data'!$H:$H,'capacity data'!$E:$E,"PO",'capacity data'!$B:$B,P123))/SUMIFS('capacity data'!$G:$G,'capacity data'!$E:$E,"PO",'capacity data'!$B:$B,P123),"")</f>
        <v/>
      </c>
      <c r="R123" s="247" t="str">
        <f>IFERROR(SUM((SUMIFS('capacity data'!$G:$G,'capacity data'!$E:$E,"PSO",'capacity data'!$B:$B,P123))-SUMIFS('capacity data'!$H:$H,'capacity data'!$E:$E,"PSO",'capacity data'!$B:$B,P123))/SUMIFS('capacity data'!$G:$G,'capacity data'!$E:$E,"PSO",'capacity data'!$B:$B,P123),"")</f>
        <v/>
      </c>
      <c r="S123" s="24" t="str">
        <f t="shared" si="1"/>
        <v/>
      </c>
      <c r="T123" s="248" t="str">
        <f>IFERROR(SUMIFS('capacity data'!$L:$L,'capacity data'!$B:$B,P123,'capacity data'!$E:$E,"PSO")/SUMIFS('capacity data'!$G:$G,'capacity data'!$E:$E,"PSO",'capacity data'!$B:$B,P123),"")</f>
        <v/>
      </c>
      <c r="U123" s="248" t="str">
        <f>IFERROR(SUMIFS('capacity data'!$L:$L,'capacity data'!$B:$B,P123,'capacity data'!$E:$E,"TPO")/SUMIFS('capacity data'!$G:$G,'capacity data'!$E:$E,"TPO",'capacity data'!$B:$B,P123),"")</f>
        <v/>
      </c>
    </row>
    <row r="124" spans="15:21" ht="16" x14ac:dyDescent="0.2">
      <c r="O124" s="26" t="s">
        <v>1061</v>
      </c>
      <c r="P124" t="s">
        <v>81</v>
      </c>
      <c r="Q124" s="247" t="str">
        <f>IFERROR(SUM((SUMIFS('capacity data'!$G:$G,'capacity data'!$E:$E,"PO",'capacity data'!$B:$B,P124))-SUMIFS('capacity data'!$H:$H,'capacity data'!$E:$E,"PO",'capacity data'!$B:$B,P124))/SUMIFS('capacity data'!$G:$G,'capacity data'!$E:$E,"PO",'capacity data'!$B:$B,P124),"")</f>
        <v/>
      </c>
      <c r="R124" s="247" t="str">
        <f>IFERROR(SUM((SUMIFS('capacity data'!$G:$G,'capacity data'!$E:$E,"PSO",'capacity data'!$B:$B,P124))-SUMIFS('capacity data'!$H:$H,'capacity data'!$E:$E,"PSO",'capacity data'!$B:$B,P124))/SUMIFS('capacity data'!$G:$G,'capacity data'!$E:$E,"PSO",'capacity data'!$B:$B,P124),"")</f>
        <v/>
      </c>
      <c r="S124" s="24" t="str">
        <f t="shared" si="1"/>
        <v/>
      </c>
      <c r="T124" s="248" t="str">
        <f>IFERROR(SUMIFS('capacity data'!$L:$L,'capacity data'!$B:$B,P124,'capacity data'!$E:$E,"PSO")/SUMIFS('capacity data'!$G:$G,'capacity data'!$E:$E,"PSO",'capacity data'!$B:$B,P124),"")</f>
        <v/>
      </c>
      <c r="U124" s="248" t="str">
        <f>IFERROR(SUMIFS('capacity data'!$L:$L,'capacity data'!$B:$B,P124,'capacity data'!$E:$E,"TPO")/SUMIFS('capacity data'!$G:$G,'capacity data'!$E:$E,"TPO",'capacity data'!$B:$B,P124),"")</f>
        <v/>
      </c>
    </row>
    <row r="125" spans="15:21" ht="16" x14ac:dyDescent="0.2">
      <c r="O125" s="26" t="s">
        <v>1061</v>
      </c>
      <c r="P125" t="s">
        <v>112</v>
      </c>
      <c r="Q125" s="247" t="str">
        <f>IFERROR(SUM((SUMIFS('capacity data'!$G:$G,'capacity data'!$E:$E,"PO",'capacity data'!$B:$B,P125))-SUMIFS('capacity data'!$H:$H,'capacity data'!$E:$E,"PO",'capacity data'!$B:$B,P125))/SUMIFS('capacity data'!$G:$G,'capacity data'!$E:$E,"PO",'capacity data'!$B:$B,P125),"")</f>
        <v/>
      </c>
      <c r="R125" s="247" t="str">
        <f>IFERROR(SUM((SUMIFS('capacity data'!$G:$G,'capacity data'!$E:$E,"PSO",'capacity data'!$B:$B,P125))-SUMIFS('capacity data'!$H:$H,'capacity data'!$E:$E,"PSO",'capacity data'!$B:$B,P125))/SUMIFS('capacity data'!$G:$G,'capacity data'!$E:$E,"PSO",'capacity data'!$B:$B,P125),"")</f>
        <v/>
      </c>
      <c r="S125" s="24" t="str">
        <f t="shared" ref="S125:S180" si="2">IFERROR((Q125-R125),"")</f>
        <v/>
      </c>
      <c r="T125" s="248" t="str">
        <f>IFERROR(SUMIFS('capacity data'!$L:$L,'capacity data'!$B:$B,P125,'capacity data'!$E:$E,"PSO")/SUMIFS('capacity data'!$G:$G,'capacity data'!$E:$E,"PSO",'capacity data'!$B:$B,P125),"")</f>
        <v/>
      </c>
      <c r="U125" s="248" t="str">
        <f>IFERROR(SUMIFS('capacity data'!$L:$L,'capacity data'!$B:$B,P125,'capacity data'!$E:$E,"TPO")/SUMIFS('capacity data'!$G:$G,'capacity data'!$E:$E,"TPO",'capacity data'!$B:$B,P125),"")</f>
        <v/>
      </c>
    </row>
    <row r="126" spans="15:21" ht="16" x14ac:dyDescent="0.2">
      <c r="O126" s="26" t="s">
        <v>1061</v>
      </c>
      <c r="P126" t="s">
        <v>143</v>
      </c>
      <c r="Q126" s="247" t="str">
        <f>IFERROR(SUM((SUMIFS('capacity data'!$G:$G,'capacity data'!$E:$E,"PO",'capacity data'!$B:$B,P126))-SUMIFS('capacity data'!$H:$H,'capacity data'!$E:$E,"PO",'capacity data'!$B:$B,P126))/SUMIFS('capacity data'!$G:$G,'capacity data'!$E:$E,"PO",'capacity data'!$B:$B,P126),"")</f>
        <v/>
      </c>
      <c r="R126" s="247" t="str">
        <f>IFERROR(SUM((SUMIFS('capacity data'!$G:$G,'capacity data'!$E:$E,"PSO",'capacity data'!$B:$B,P126))-SUMIFS('capacity data'!$H:$H,'capacity data'!$E:$E,"PSO",'capacity data'!$B:$B,P126))/SUMIFS('capacity data'!$G:$G,'capacity data'!$E:$E,"PSO",'capacity data'!$B:$B,P126),"")</f>
        <v/>
      </c>
      <c r="S126" s="24" t="str">
        <f t="shared" si="2"/>
        <v/>
      </c>
      <c r="T126" s="248" t="str">
        <f>IFERROR(SUMIFS('capacity data'!$L:$L,'capacity data'!$B:$B,P126,'capacity data'!$E:$E,"PSO")/SUMIFS('capacity data'!$G:$G,'capacity data'!$E:$E,"PSO",'capacity data'!$B:$B,P126),"")</f>
        <v/>
      </c>
      <c r="U126" s="248" t="str">
        <f>IFERROR(SUMIFS('capacity data'!$L:$L,'capacity data'!$B:$B,P126,'capacity data'!$E:$E,"TPO")/SUMIFS('capacity data'!$G:$G,'capacity data'!$E:$E,"TPO",'capacity data'!$B:$B,P126),"")</f>
        <v/>
      </c>
    </row>
    <row r="127" spans="15:21" ht="16" x14ac:dyDescent="0.2">
      <c r="O127" s="26" t="s">
        <v>1061</v>
      </c>
      <c r="P127" t="s">
        <v>172</v>
      </c>
      <c r="Q127" s="247" t="str">
        <f>IFERROR(SUM((SUMIFS('capacity data'!$G:$G,'capacity data'!$E:$E,"PO",'capacity data'!$B:$B,P127))-SUMIFS('capacity data'!$H:$H,'capacity data'!$E:$E,"PO",'capacity data'!$B:$B,P127))/SUMIFS('capacity data'!$G:$G,'capacity data'!$E:$E,"PO",'capacity data'!$B:$B,P127),"")</f>
        <v/>
      </c>
      <c r="R127" s="247" t="str">
        <f>IFERROR(SUM((SUMIFS('capacity data'!$G:$G,'capacity data'!$E:$E,"PSO",'capacity data'!$B:$B,P127))-SUMIFS('capacity data'!$H:$H,'capacity data'!$E:$E,"PSO",'capacity data'!$B:$B,P127))/SUMIFS('capacity data'!$G:$G,'capacity data'!$E:$E,"PSO",'capacity data'!$B:$B,P127),"")</f>
        <v/>
      </c>
      <c r="S127" s="24" t="str">
        <f t="shared" si="2"/>
        <v/>
      </c>
      <c r="T127" s="248" t="str">
        <f>IFERROR(SUMIFS('capacity data'!$L:$L,'capacity data'!$B:$B,P127,'capacity data'!$E:$E,"PSO")/SUMIFS('capacity data'!$G:$G,'capacity data'!$E:$E,"PSO",'capacity data'!$B:$B,P127),"")</f>
        <v/>
      </c>
      <c r="U127" s="248" t="str">
        <f>IFERROR(SUMIFS('capacity data'!$L:$L,'capacity data'!$B:$B,P127,'capacity data'!$E:$E,"TPO")/SUMIFS('capacity data'!$G:$G,'capacity data'!$E:$E,"TPO",'capacity data'!$B:$B,P127),"")</f>
        <v/>
      </c>
    </row>
    <row r="128" spans="15:21" ht="16" x14ac:dyDescent="0.2">
      <c r="O128" s="26" t="s">
        <v>1061</v>
      </c>
      <c r="P128" t="s">
        <v>200</v>
      </c>
      <c r="Q128" s="247" t="str">
        <f>IFERROR(SUM((SUMIFS('capacity data'!$G:$G,'capacity data'!$E:$E,"PO",'capacity data'!$B:$B,P128))-SUMIFS('capacity data'!$H:$H,'capacity data'!$E:$E,"PO",'capacity data'!$B:$B,P128))/SUMIFS('capacity data'!$G:$G,'capacity data'!$E:$E,"PO",'capacity data'!$B:$B,P128),"")</f>
        <v/>
      </c>
      <c r="R128" s="247" t="str">
        <f>IFERROR(SUM((SUMIFS('capacity data'!$G:$G,'capacity data'!$E:$E,"PSO",'capacity data'!$B:$B,P128))-SUMIFS('capacity data'!$H:$H,'capacity data'!$E:$E,"PSO",'capacity data'!$B:$B,P128))/SUMIFS('capacity data'!$G:$G,'capacity data'!$E:$E,"PSO",'capacity data'!$B:$B,P128),"")</f>
        <v/>
      </c>
      <c r="S128" s="24" t="str">
        <f t="shared" si="2"/>
        <v/>
      </c>
      <c r="T128" s="248" t="str">
        <f>IFERROR(SUMIFS('capacity data'!$L:$L,'capacity data'!$B:$B,P128,'capacity data'!$E:$E,"PSO")/SUMIFS('capacity data'!$G:$G,'capacity data'!$E:$E,"PSO",'capacity data'!$B:$B,P128),"")</f>
        <v/>
      </c>
      <c r="U128" s="248" t="str">
        <f>IFERROR(SUMIFS('capacity data'!$L:$L,'capacity data'!$B:$B,P128,'capacity data'!$E:$E,"TPO")/SUMIFS('capacity data'!$G:$G,'capacity data'!$E:$E,"TPO",'capacity data'!$B:$B,P128),"")</f>
        <v/>
      </c>
    </row>
    <row r="129" spans="15:21" ht="16" x14ac:dyDescent="0.2">
      <c r="O129" s="26" t="s">
        <v>1061</v>
      </c>
      <c r="P129" t="s">
        <v>225</v>
      </c>
      <c r="Q129" s="247" t="str">
        <f>IFERROR(SUM((SUMIFS('capacity data'!$G:$G,'capacity data'!$E:$E,"PO",'capacity data'!$B:$B,P129))-SUMIFS('capacity data'!$H:$H,'capacity data'!$E:$E,"PO",'capacity data'!$B:$B,P129))/SUMIFS('capacity data'!$G:$G,'capacity data'!$E:$E,"PO",'capacity data'!$B:$B,P129),"")</f>
        <v/>
      </c>
      <c r="R129" s="247" t="str">
        <f>IFERROR(SUM((SUMIFS('capacity data'!$G:$G,'capacity data'!$E:$E,"PSO",'capacity data'!$B:$B,P129))-SUMIFS('capacity data'!$H:$H,'capacity data'!$E:$E,"PSO",'capacity data'!$B:$B,P129))/SUMIFS('capacity data'!$G:$G,'capacity data'!$E:$E,"PSO",'capacity data'!$B:$B,P129),"")</f>
        <v/>
      </c>
      <c r="S129" s="24" t="str">
        <f t="shared" si="2"/>
        <v/>
      </c>
      <c r="T129" s="248" t="str">
        <f>IFERROR(SUMIFS('capacity data'!$L:$L,'capacity data'!$B:$B,P129,'capacity data'!$E:$E,"PSO")/SUMIFS('capacity data'!$G:$G,'capacity data'!$E:$E,"PSO",'capacity data'!$B:$B,P129),"")</f>
        <v/>
      </c>
      <c r="U129" s="248" t="str">
        <f>IFERROR(SUMIFS('capacity data'!$L:$L,'capacity data'!$B:$B,P129,'capacity data'!$E:$E,"TPO")/SUMIFS('capacity data'!$G:$G,'capacity data'!$E:$E,"TPO",'capacity data'!$B:$B,P129),"")</f>
        <v/>
      </c>
    </row>
    <row r="130" spans="15:21" ht="16" x14ac:dyDescent="0.2">
      <c r="O130" s="26" t="s">
        <v>1061</v>
      </c>
      <c r="P130" t="s">
        <v>1062</v>
      </c>
      <c r="Q130" s="247" t="str">
        <f>IFERROR(SUM((SUMIFS('capacity data'!$G:$G,'capacity data'!$E:$E,"PO",'capacity data'!$B:$B,P130))-SUMIFS('capacity data'!$H:$H,'capacity data'!$E:$E,"PO",'capacity data'!$B:$B,P130))/SUMIFS('capacity data'!$G:$G,'capacity data'!$E:$E,"PO",'capacity data'!$B:$B,P130),"")</f>
        <v/>
      </c>
      <c r="R130" s="247" t="str">
        <f>IFERROR(SUM((SUMIFS('capacity data'!$G:$G,'capacity data'!$E:$E,"PSO",'capacity data'!$B:$B,P130))-SUMIFS('capacity data'!$H:$H,'capacity data'!$E:$E,"PSO",'capacity data'!$B:$B,P130))/SUMIFS('capacity data'!$G:$G,'capacity data'!$E:$E,"PSO",'capacity data'!$B:$B,P130),"")</f>
        <v/>
      </c>
      <c r="S130" s="24" t="str">
        <f t="shared" si="2"/>
        <v/>
      </c>
      <c r="T130" s="248" t="str">
        <f>IFERROR(SUMIFS('capacity data'!$L:$L,'capacity data'!$B:$B,P130,'capacity data'!$E:$E,"PSO")/SUMIFS('capacity data'!$G:$G,'capacity data'!$E:$E,"PSO",'capacity data'!$B:$B,P130),"")</f>
        <v/>
      </c>
      <c r="U130" s="248" t="str">
        <f>IFERROR(SUMIFS('capacity data'!$L:$L,'capacity data'!$B:$B,P130,'capacity data'!$E:$E,"TPO")/SUMIFS('capacity data'!$G:$G,'capacity data'!$E:$E,"TPO",'capacity data'!$B:$B,P130),"")</f>
        <v/>
      </c>
    </row>
    <row r="131" spans="15:21" ht="16" x14ac:dyDescent="0.2">
      <c r="O131" s="26" t="s">
        <v>1061</v>
      </c>
      <c r="P131" t="s">
        <v>250</v>
      </c>
      <c r="Q131" s="247" t="str">
        <f>IFERROR(SUM((SUMIFS('capacity data'!$G:$G,'capacity data'!$E:$E,"PO",'capacity data'!$B:$B,P131))-SUMIFS('capacity data'!$H:$H,'capacity data'!$E:$E,"PO",'capacity data'!$B:$B,P131))/SUMIFS('capacity data'!$G:$G,'capacity data'!$E:$E,"PO",'capacity data'!$B:$B,P131),"")</f>
        <v/>
      </c>
      <c r="R131" s="247" t="str">
        <f>IFERROR(SUM((SUMIFS('capacity data'!$G:$G,'capacity data'!$E:$E,"PSO",'capacity data'!$B:$B,P131))-SUMIFS('capacity data'!$H:$H,'capacity data'!$E:$E,"PSO",'capacity data'!$B:$B,P131))/SUMIFS('capacity data'!$G:$G,'capacity data'!$E:$E,"PSO",'capacity data'!$B:$B,P131),"")</f>
        <v/>
      </c>
      <c r="S131" s="24" t="str">
        <f t="shared" si="2"/>
        <v/>
      </c>
      <c r="T131" s="248" t="str">
        <f>IFERROR(SUMIFS('capacity data'!$L:$L,'capacity data'!$B:$B,P131,'capacity data'!$E:$E,"PSO")/SUMIFS('capacity data'!$G:$G,'capacity data'!$E:$E,"PSO",'capacity data'!$B:$B,P131),"")</f>
        <v/>
      </c>
      <c r="U131" s="248" t="str">
        <f>IFERROR(SUMIFS('capacity data'!$L:$L,'capacity data'!$B:$B,P131,'capacity data'!$E:$E,"TPO")/SUMIFS('capacity data'!$G:$G,'capacity data'!$E:$E,"TPO",'capacity data'!$B:$B,P131),"")</f>
        <v/>
      </c>
    </row>
    <row r="132" spans="15:21" ht="16" x14ac:dyDescent="0.2">
      <c r="O132" s="26" t="s">
        <v>1061</v>
      </c>
      <c r="P132" t="s">
        <v>295</v>
      </c>
      <c r="Q132" s="247" t="str">
        <f>IFERROR(SUM((SUMIFS('capacity data'!$G:$G,'capacity data'!$E:$E,"PO",'capacity data'!$B:$B,P132))-SUMIFS('capacity data'!$H:$H,'capacity data'!$E:$E,"PO",'capacity data'!$B:$B,P132))/SUMIFS('capacity data'!$G:$G,'capacity data'!$E:$E,"PO",'capacity data'!$B:$B,P132),"")</f>
        <v/>
      </c>
      <c r="R132" s="247" t="str">
        <f>IFERROR(SUM((SUMIFS('capacity data'!$G:$G,'capacity data'!$E:$E,"PSO",'capacity data'!$B:$B,P132))-SUMIFS('capacity data'!$H:$H,'capacity data'!$E:$E,"PSO",'capacity data'!$B:$B,P132))/SUMIFS('capacity data'!$G:$G,'capacity data'!$E:$E,"PSO",'capacity data'!$B:$B,P132),"")</f>
        <v/>
      </c>
      <c r="S132" s="24" t="str">
        <f t="shared" si="2"/>
        <v/>
      </c>
      <c r="T132" s="248" t="str">
        <f>IFERROR(SUMIFS('capacity data'!$L:$L,'capacity data'!$B:$B,P132,'capacity data'!$E:$E,"PSO")/SUMIFS('capacity data'!$G:$G,'capacity data'!$E:$E,"PSO",'capacity data'!$B:$B,P132),"")</f>
        <v/>
      </c>
      <c r="U132" s="248" t="str">
        <f>IFERROR(SUMIFS('capacity data'!$L:$L,'capacity data'!$B:$B,P132,'capacity data'!$E:$E,"TPO")/SUMIFS('capacity data'!$G:$G,'capacity data'!$E:$E,"TPO",'capacity data'!$B:$B,P132),"")</f>
        <v/>
      </c>
    </row>
    <row r="133" spans="15:21" ht="16" x14ac:dyDescent="0.2">
      <c r="O133" s="26" t="s">
        <v>1061</v>
      </c>
      <c r="P133" t="s">
        <v>317</v>
      </c>
      <c r="Q133" s="247" t="str">
        <f>IFERROR(SUM((SUMIFS('capacity data'!$G:$G,'capacity data'!$E:$E,"PO",'capacity data'!$B:$B,P133))-SUMIFS('capacity data'!$H:$H,'capacity data'!$E:$E,"PO",'capacity data'!$B:$B,P133))/SUMIFS('capacity data'!$G:$G,'capacity data'!$E:$E,"PO",'capacity data'!$B:$B,P133),"")</f>
        <v/>
      </c>
      <c r="R133" s="247" t="str">
        <f>IFERROR(SUM((SUMIFS('capacity data'!$G:$G,'capacity data'!$E:$E,"PSO",'capacity data'!$B:$B,P133))-SUMIFS('capacity data'!$H:$H,'capacity data'!$E:$E,"PSO",'capacity data'!$B:$B,P133))/SUMIFS('capacity data'!$G:$G,'capacity data'!$E:$E,"PSO",'capacity data'!$B:$B,P133),"")</f>
        <v/>
      </c>
      <c r="S133" s="24" t="str">
        <f t="shared" si="2"/>
        <v/>
      </c>
      <c r="T133" s="248" t="str">
        <f>IFERROR(SUMIFS('capacity data'!$L:$L,'capacity data'!$B:$B,P133,'capacity data'!$E:$E,"PSO")/SUMIFS('capacity data'!$G:$G,'capacity data'!$E:$E,"PSO",'capacity data'!$B:$B,P133),"")</f>
        <v/>
      </c>
      <c r="U133" s="248" t="str">
        <f>IFERROR(SUMIFS('capacity data'!$L:$L,'capacity data'!$B:$B,P133,'capacity data'!$E:$E,"TPO")/SUMIFS('capacity data'!$G:$G,'capacity data'!$E:$E,"TPO",'capacity data'!$B:$B,P133),"")</f>
        <v/>
      </c>
    </row>
    <row r="134" spans="15:21" ht="16" x14ac:dyDescent="0.2">
      <c r="O134" s="26" t="s">
        <v>1061</v>
      </c>
      <c r="P134" t="s">
        <v>338</v>
      </c>
      <c r="Q134" s="247" t="str">
        <f>IFERROR(SUM((SUMIFS('capacity data'!$G:$G,'capacity data'!$E:$E,"PO",'capacity data'!$B:$B,P134))-SUMIFS('capacity data'!$H:$H,'capacity data'!$E:$E,"PO",'capacity data'!$B:$B,P134))/SUMIFS('capacity data'!$G:$G,'capacity data'!$E:$E,"PO",'capacity data'!$B:$B,P134),"")</f>
        <v/>
      </c>
      <c r="R134" s="247" t="str">
        <f>IFERROR(SUM((SUMIFS('capacity data'!$G:$G,'capacity data'!$E:$E,"PSO",'capacity data'!$B:$B,P134))-SUMIFS('capacity data'!$H:$H,'capacity data'!$E:$E,"PSO",'capacity data'!$B:$B,P134))/SUMIFS('capacity data'!$G:$G,'capacity data'!$E:$E,"PSO",'capacity data'!$B:$B,P134),"")</f>
        <v/>
      </c>
      <c r="S134" s="24" t="str">
        <f t="shared" si="2"/>
        <v/>
      </c>
      <c r="T134" s="248" t="str">
        <f>IFERROR(SUMIFS('capacity data'!$L:$L,'capacity data'!$B:$B,P134,'capacity data'!$E:$E,"PSO")/SUMIFS('capacity data'!$G:$G,'capacity data'!$E:$E,"PSO",'capacity data'!$B:$B,P134),"")</f>
        <v/>
      </c>
      <c r="U134" s="248" t="str">
        <f>IFERROR(SUMIFS('capacity data'!$L:$L,'capacity data'!$B:$B,P134,'capacity data'!$E:$E,"TPO")/SUMIFS('capacity data'!$G:$G,'capacity data'!$E:$E,"TPO",'capacity data'!$B:$B,P134),"")</f>
        <v/>
      </c>
    </row>
    <row r="135" spans="15:21" ht="16" x14ac:dyDescent="0.2">
      <c r="O135" s="26" t="s">
        <v>1409</v>
      </c>
      <c r="P135" t="s">
        <v>48</v>
      </c>
      <c r="Q135" s="247" t="str">
        <f>IFERROR(SUM((SUMIFS('capacity data'!$G:$G,'capacity data'!$E:$E,"PO",'capacity data'!$B:$B,P135))-SUMIFS('capacity data'!$H:$H,'capacity data'!$E:$E,"PO",'capacity data'!$B:$B,P135))/SUMIFS('capacity data'!$G:$G,'capacity data'!$E:$E,"PO",'capacity data'!$B:$B,P135),"")</f>
        <v/>
      </c>
      <c r="R135" s="247" t="str">
        <f>IFERROR(SUM((SUMIFS('capacity data'!$G:$G,'capacity data'!$E:$E,"PSO",'capacity data'!$B:$B,P135))-SUMIFS('capacity data'!$H:$H,'capacity data'!$E:$E,"PSO",'capacity data'!$B:$B,P135))/SUMIFS('capacity data'!$G:$G,'capacity data'!$E:$E,"PSO",'capacity data'!$B:$B,P135),"")</f>
        <v/>
      </c>
      <c r="S135" s="24" t="str">
        <f t="shared" si="2"/>
        <v/>
      </c>
      <c r="T135" s="248" t="str">
        <f>IFERROR(SUMIFS('capacity data'!$L:$L,'capacity data'!$B:$B,P135,'capacity data'!$E:$E,"PSO")/SUMIFS('capacity data'!$G:$G,'capacity data'!$E:$E,"PSO",'capacity data'!$B:$B,P135),"")</f>
        <v/>
      </c>
      <c r="U135" s="248" t="str">
        <f>IFERROR(SUMIFS('capacity data'!$L:$L,'capacity data'!$B:$B,P135,'capacity data'!$E:$E,"TPO")/SUMIFS('capacity data'!$G:$G,'capacity data'!$E:$E,"TPO",'capacity data'!$B:$B,P135),"")</f>
        <v/>
      </c>
    </row>
    <row r="136" spans="15:21" ht="16" x14ac:dyDescent="0.2">
      <c r="O136" s="26" t="s">
        <v>1409</v>
      </c>
      <c r="P136" t="s">
        <v>82</v>
      </c>
      <c r="Q136" s="247" t="str">
        <f>IFERROR(SUM((SUMIFS('capacity data'!$G:$G,'capacity data'!$E:$E,"PO",'capacity data'!$B:$B,P136))-SUMIFS('capacity data'!$H:$H,'capacity data'!$E:$E,"PO",'capacity data'!$B:$B,P136))/SUMIFS('capacity data'!$G:$G,'capacity data'!$E:$E,"PO",'capacity data'!$B:$B,P136),"")</f>
        <v/>
      </c>
      <c r="R136" s="247" t="str">
        <f>IFERROR(SUM((SUMIFS('capacity data'!$G:$G,'capacity data'!$E:$E,"PSO",'capacity data'!$B:$B,P136))-SUMIFS('capacity data'!$H:$H,'capacity data'!$E:$E,"PSO",'capacity data'!$B:$B,P136))/SUMIFS('capacity data'!$G:$G,'capacity data'!$E:$E,"PSO",'capacity data'!$B:$B,P136),"")</f>
        <v/>
      </c>
      <c r="S136" s="24" t="str">
        <f t="shared" si="2"/>
        <v/>
      </c>
      <c r="T136" s="248" t="str">
        <f>IFERROR(SUMIFS('capacity data'!$L:$L,'capacity data'!$B:$B,P136,'capacity data'!$E:$E,"PSO")/SUMIFS('capacity data'!$G:$G,'capacity data'!$E:$E,"PSO",'capacity data'!$B:$B,P136),"")</f>
        <v/>
      </c>
      <c r="U136" s="248" t="str">
        <f>IFERROR(SUMIFS('capacity data'!$L:$L,'capacity data'!$B:$B,P136,'capacity data'!$E:$E,"TPO")/SUMIFS('capacity data'!$G:$G,'capacity data'!$E:$E,"TPO",'capacity data'!$B:$B,P136),"")</f>
        <v/>
      </c>
    </row>
    <row r="137" spans="15:21" ht="16" x14ac:dyDescent="0.2">
      <c r="O137" s="26" t="s">
        <v>1409</v>
      </c>
      <c r="P137" t="s">
        <v>113</v>
      </c>
      <c r="Q137" s="247" t="str">
        <f>IFERROR(SUM((SUMIFS('capacity data'!$G:$G,'capacity data'!$E:$E,"PO",'capacity data'!$B:$B,P137))-SUMIFS('capacity data'!$H:$H,'capacity data'!$E:$E,"PO",'capacity data'!$B:$B,P137))/SUMIFS('capacity data'!$G:$G,'capacity data'!$E:$E,"PO",'capacity data'!$B:$B,P137),"")</f>
        <v/>
      </c>
      <c r="R137" s="247" t="str">
        <f>IFERROR(SUM((SUMIFS('capacity data'!$G:$G,'capacity data'!$E:$E,"PSO",'capacity data'!$B:$B,P137))-SUMIFS('capacity data'!$H:$H,'capacity data'!$E:$E,"PSO",'capacity data'!$B:$B,P137))/SUMIFS('capacity data'!$G:$G,'capacity data'!$E:$E,"PSO",'capacity data'!$B:$B,P137),"")</f>
        <v/>
      </c>
      <c r="S137" s="24" t="str">
        <f t="shared" si="2"/>
        <v/>
      </c>
      <c r="T137" s="248" t="str">
        <f>IFERROR(SUMIFS('capacity data'!$L:$L,'capacity data'!$B:$B,P137,'capacity data'!$E:$E,"PSO")/SUMIFS('capacity data'!$G:$G,'capacity data'!$E:$E,"PSO",'capacity data'!$B:$B,P137),"")</f>
        <v/>
      </c>
      <c r="U137" s="248" t="str">
        <f>IFERROR(SUMIFS('capacity data'!$L:$L,'capacity data'!$B:$B,P137,'capacity data'!$E:$E,"TPO")/SUMIFS('capacity data'!$G:$G,'capacity data'!$E:$E,"TPO",'capacity data'!$B:$B,P137),"")</f>
        <v/>
      </c>
    </row>
    <row r="138" spans="15:21" ht="16" x14ac:dyDescent="0.2">
      <c r="O138" s="26" t="s">
        <v>1409</v>
      </c>
      <c r="P138" t="s">
        <v>144</v>
      </c>
      <c r="Q138" s="247" t="str">
        <f>IFERROR(SUM((SUMIFS('capacity data'!$G:$G,'capacity data'!$E:$E,"PO",'capacity data'!$B:$B,P138))-SUMIFS('capacity data'!$H:$H,'capacity data'!$E:$E,"PO",'capacity data'!$B:$B,P138))/SUMIFS('capacity data'!$G:$G,'capacity data'!$E:$E,"PO",'capacity data'!$B:$B,P138),"")</f>
        <v/>
      </c>
      <c r="R138" s="247" t="str">
        <f>IFERROR(SUM((SUMIFS('capacity data'!$G:$G,'capacity data'!$E:$E,"PSO",'capacity data'!$B:$B,P138))-SUMIFS('capacity data'!$H:$H,'capacity data'!$E:$E,"PSO",'capacity data'!$B:$B,P138))/SUMIFS('capacity data'!$G:$G,'capacity data'!$E:$E,"PSO",'capacity data'!$B:$B,P138),"")</f>
        <v/>
      </c>
      <c r="S138" s="24" t="str">
        <f t="shared" si="2"/>
        <v/>
      </c>
      <c r="T138" s="248" t="str">
        <f>IFERROR(SUMIFS('capacity data'!$L:$L,'capacity data'!$B:$B,P138,'capacity data'!$E:$E,"PSO")/SUMIFS('capacity data'!$G:$G,'capacity data'!$E:$E,"PSO",'capacity data'!$B:$B,P138),"")</f>
        <v/>
      </c>
      <c r="U138" s="248" t="str">
        <f>IFERROR(SUMIFS('capacity data'!$L:$L,'capacity data'!$B:$B,P138,'capacity data'!$E:$E,"TPO")/SUMIFS('capacity data'!$G:$G,'capacity data'!$E:$E,"TPO",'capacity data'!$B:$B,P138),"")</f>
        <v/>
      </c>
    </row>
    <row r="139" spans="15:21" ht="16" x14ac:dyDescent="0.2">
      <c r="O139" s="26" t="s">
        <v>1409</v>
      </c>
      <c r="P139" t="s">
        <v>173</v>
      </c>
      <c r="Q139" s="247" t="str">
        <f>IFERROR(SUM((SUMIFS('capacity data'!$G:$G,'capacity data'!$E:$E,"PO",'capacity data'!$B:$B,P139))-SUMIFS('capacity data'!$H:$H,'capacity data'!$E:$E,"PO",'capacity data'!$B:$B,P139))/SUMIFS('capacity data'!$G:$G,'capacity data'!$E:$E,"PO",'capacity data'!$B:$B,P139),"")</f>
        <v/>
      </c>
      <c r="R139" s="247" t="str">
        <f>IFERROR(SUM((SUMIFS('capacity data'!$G:$G,'capacity data'!$E:$E,"PSO",'capacity data'!$B:$B,P139))-SUMIFS('capacity data'!$H:$H,'capacity data'!$E:$E,"PSO",'capacity data'!$B:$B,P139))/SUMIFS('capacity data'!$G:$G,'capacity data'!$E:$E,"PSO",'capacity data'!$B:$B,P139),"")</f>
        <v/>
      </c>
      <c r="S139" s="24" t="str">
        <f t="shared" si="2"/>
        <v/>
      </c>
      <c r="T139" s="248" t="str">
        <f>IFERROR(SUMIFS('capacity data'!$L:$L,'capacity data'!$B:$B,P139,'capacity data'!$E:$E,"PSO")/SUMIFS('capacity data'!$G:$G,'capacity data'!$E:$E,"PSO",'capacity data'!$B:$B,P139),"")</f>
        <v/>
      </c>
      <c r="U139" s="248" t="str">
        <f>IFERROR(SUMIFS('capacity data'!$L:$L,'capacity data'!$B:$B,P139,'capacity data'!$E:$E,"TPO")/SUMIFS('capacity data'!$G:$G,'capacity data'!$E:$E,"TPO",'capacity data'!$B:$B,P139),"")</f>
        <v/>
      </c>
    </row>
    <row r="140" spans="15:21" ht="16" x14ac:dyDescent="0.2">
      <c r="O140" s="26" t="s">
        <v>1409</v>
      </c>
      <c r="P140" t="s">
        <v>201</v>
      </c>
      <c r="Q140" s="247" t="str">
        <f>IFERROR(SUM((SUMIFS('capacity data'!$G:$G,'capacity data'!$E:$E,"PO",'capacity data'!$B:$B,P140))-SUMIFS('capacity data'!$H:$H,'capacity data'!$E:$E,"PO",'capacity data'!$B:$B,P140))/SUMIFS('capacity data'!$G:$G,'capacity data'!$E:$E,"PO",'capacity data'!$B:$B,P140),"")</f>
        <v/>
      </c>
      <c r="R140" s="247" t="str">
        <f>IFERROR(SUM((SUMIFS('capacity data'!$G:$G,'capacity data'!$E:$E,"PSO",'capacity data'!$B:$B,P140))-SUMIFS('capacity data'!$H:$H,'capacity data'!$E:$E,"PSO",'capacity data'!$B:$B,P140))/SUMIFS('capacity data'!$G:$G,'capacity data'!$E:$E,"PSO",'capacity data'!$B:$B,P140),"")</f>
        <v/>
      </c>
      <c r="S140" s="24" t="str">
        <f t="shared" si="2"/>
        <v/>
      </c>
      <c r="T140" s="248" t="str">
        <f>IFERROR(SUMIFS('capacity data'!$L:$L,'capacity data'!$B:$B,P140,'capacity data'!$E:$E,"PSO")/SUMIFS('capacity data'!$G:$G,'capacity data'!$E:$E,"PSO",'capacity data'!$B:$B,P140),"")</f>
        <v/>
      </c>
      <c r="U140" s="248" t="str">
        <f>IFERROR(SUMIFS('capacity data'!$L:$L,'capacity data'!$B:$B,P140,'capacity data'!$E:$E,"TPO")/SUMIFS('capacity data'!$G:$G,'capacity data'!$E:$E,"TPO",'capacity data'!$B:$B,P140),"")</f>
        <v/>
      </c>
    </row>
    <row r="141" spans="15:21" ht="16" x14ac:dyDescent="0.2">
      <c r="O141" s="26" t="s">
        <v>1409</v>
      </c>
      <c r="P141" t="s">
        <v>226</v>
      </c>
      <c r="Q141" s="247" t="str">
        <f>IFERROR(SUM((SUMIFS('capacity data'!$G:$G,'capacity data'!$E:$E,"PO",'capacity data'!$B:$B,P141))-SUMIFS('capacity data'!$H:$H,'capacity data'!$E:$E,"PO",'capacity data'!$B:$B,P141))/SUMIFS('capacity data'!$G:$G,'capacity data'!$E:$E,"PO",'capacity data'!$B:$B,P141),"")</f>
        <v/>
      </c>
      <c r="R141" s="247" t="str">
        <f>IFERROR(SUM((SUMIFS('capacity data'!$G:$G,'capacity data'!$E:$E,"PSO",'capacity data'!$B:$B,P141))-SUMIFS('capacity data'!$H:$H,'capacity data'!$E:$E,"PSO",'capacity data'!$B:$B,P141))/SUMIFS('capacity data'!$G:$G,'capacity data'!$E:$E,"PSO",'capacity data'!$B:$B,P141),"")</f>
        <v/>
      </c>
      <c r="S141" s="24" t="str">
        <f t="shared" si="2"/>
        <v/>
      </c>
      <c r="T141" s="248" t="str">
        <f>IFERROR(SUMIFS('capacity data'!$L:$L,'capacity data'!$B:$B,P141,'capacity data'!$E:$E,"PSO")/SUMIFS('capacity data'!$G:$G,'capacity data'!$E:$E,"PSO",'capacity data'!$B:$B,P141),"")</f>
        <v/>
      </c>
      <c r="U141" s="248" t="str">
        <f>IFERROR(SUMIFS('capacity data'!$L:$L,'capacity data'!$B:$B,P141,'capacity data'!$E:$E,"TPO")/SUMIFS('capacity data'!$G:$G,'capacity data'!$E:$E,"TPO",'capacity data'!$B:$B,P141),"")</f>
        <v/>
      </c>
    </row>
    <row r="142" spans="15:21" ht="16" x14ac:dyDescent="0.2">
      <c r="O142" s="26" t="s">
        <v>1409</v>
      </c>
      <c r="P142" t="s">
        <v>251</v>
      </c>
      <c r="Q142" s="247" t="str">
        <f>IFERROR(SUM((SUMIFS('capacity data'!$G:$G,'capacity data'!$E:$E,"PO",'capacity data'!$B:$B,P142))-SUMIFS('capacity data'!$H:$H,'capacity data'!$E:$E,"PO",'capacity data'!$B:$B,P142))/SUMIFS('capacity data'!$G:$G,'capacity data'!$E:$E,"PO",'capacity data'!$B:$B,P142),"")</f>
        <v/>
      </c>
      <c r="R142" s="247" t="str">
        <f>IFERROR(SUM((SUMIFS('capacity data'!$G:$G,'capacity data'!$E:$E,"PSO",'capacity data'!$B:$B,P142))-SUMIFS('capacity data'!$H:$H,'capacity data'!$E:$E,"PSO",'capacity data'!$B:$B,P142))/SUMIFS('capacity data'!$G:$G,'capacity data'!$E:$E,"PSO",'capacity data'!$B:$B,P142),"")</f>
        <v/>
      </c>
      <c r="S142" s="24" t="str">
        <f t="shared" si="2"/>
        <v/>
      </c>
      <c r="T142" s="248" t="str">
        <f>IFERROR(SUMIFS('capacity data'!$L:$L,'capacity data'!$B:$B,P142,'capacity data'!$E:$E,"PSO")/SUMIFS('capacity data'!$G:$G,'capacity data'!$E:$E,"PSO",'capacity data'!$B:$B,P142),"")</f>
        <v/>
      </c>
      <c r="U142" s="248" t="str">
        <f>IFERROR(SUMIFS('capacity data'!$L:$L,'capacity data'!$B:$B,P142,'capacity data'!$E:$E,"TPO")/SUMIFS('capacity data'!$G:$G,'capacity data'!$E:$E,"TPO",'capacity data'!$B:$B,P142),"")</f>
        <v/>
      </c>
    </row>
    <row r="143" spans="15:21" ht="16" x14ac:dyDescent="0.2">
      <c r="O143" s="26" t="s">
        <v>1409</v>
      </c>
      <c r="P143" t="s">
        <v>274</v>
      </c>
      <c r="Q143" s="247" t="str">
        <f>IFERROR(SUM((SUMIFS('capacity data'!$G:$G,'capacity data'!$E:$E,"PO",'capacity data'!$B:$B,P143))-SUMIFS('capacity data'!$H:$H,'capacity data'!$E:$E,"PO",'capacity data'!$B:$B,P143))/SUMIFS('capacity data'!$G:$G,'capacity data'!$E:$E,"PO",'capacity data'!$B:$B,P143),"")</f>
        <v/>
      </c>
      <c r="R143" s="247" t="str">
        <f>IFERROR(SUM((SUMIFS('capacity data'!$G:$G,'capacity data'!$E:$E,"PSO",'capacity data'!$B:$B,P143))-SUMIFS('capacity data'!$H:$H,'capacity data'!$E:$E,"PSO",'capacity data'!$B:$B,P143))/SUMIFS('capacity data'!$G:$G,'capacity data'!$E:$E,"PSO",'capacity data'!$B:$B,P143),"")</f>
        <v/>
      </c>
      <c r="S143" s="24" t="str">
        <f t="shared" si="2"/>
        <v/>
      </c>
      <c r="T143" s="248" t="str">
        <f>IFERROR(SUMIFS('capacity data'!$L:$L,'capacity data'!$B:$B,P143,'capacity data'!$E:$E,"PSO")/SUMIFS('capacity data'!$G:$G,'capacity data'!$E:$E,"PSO",'capacity data'!$B:$B,P143),"")</f>
        <v/>
      </c>
      <c r="U143" s="248" t="str">
        <f>IFERROR(SUMIFS('capacity data'!$L:$L,'capacity data'!$B:$B,P143,'capacity data'!$E:$E,"TPO")/SUMIFS('capacity data'!$G:$G,'capacity data'!$E:$E,"TPO",'capacity data'!$B:$B,P143),"")</f>
        <v/>
      </c>
    </row>
    <row r="144" spans="15:21" ht="16" x14ac:dyDescent="0.2">
      <c r="O144" s="26" t="s">
        <v>1409</v>
      </c>
      <c r="P144" t="s">
        <v>296</v>
      </c>
      <c r="Q144" s="247" t="str">
        <f>IFERROR(SUM((SUMIFS('capacity data'!$G:$G,'capacity data'!$E:$E,"PO",'capacity data'!$B:$B,P144))-SUMIFS('capacity data'!$H:$H,'capacity data'!$E:$E,"PO",'capacity data'!$B:$B,P144))/SUMIFS('capacity data'!$G:$G,'capacity data'!$E:$E,"PO",'capacity data'!$B:$B,P144),"")</f>
        <v/>
      </c>
      <c r="R144" s="247" t="str">
        <f>IFERROR(SUM((SUMIFS('capacity data'!$G:$G,'capacity data'!$E:$E,"PSO",'capacity data'!$B:$B,P144))-SUMIFS('capacity data'!$H:$H,'capacity data'!$E:$E,"PSO",'capacity data'!$B:$B,P144))/SUMIFS('capacity data'!$G:$G,'capacity data'!$E:$E,"PSO",'capacity data'!$B:$B,P144),"")</f>
        <v/>
      </c>
      <c r="S144" s="24" t="str">
        <f t="shared" si="2"/>
        <v/>
      </c>
      <c r="T144" s="248" t="str">
        <f>IFERROR(SUMIFS('capacity data'!$L:$L,'capacity data'!$B:$B,P144,'capacity data'!$E:$E,"PSO")/SUMIFS('capacity data'!$G:$G,'capacity data'!$E:$E,"PSO",'capacity data'!$B:$B,P144),"")</f>
        <v/>
      </c>
      <c r="U144" s="248" t="str">
        <f>IFERROR(SUMIFS('capacity data'!$L:$L,'capacity data'!$B:$B,P144,'capacity data'!$E:$E,"TPO")/SUMIFS('capacity data'!$G:$G,'capacity data'!$E:$E,"TPO",'capacity data'!$B:$B,P144),"")</f>
        <v/>
      </c>
    </row>
    <row r="145" spans="15:21" ht="16" x14ac:dyDescent="0.2">
      <c r="O145" s="26" t="s">
        <v>1409</v>
      </c>
      <c r="P145" t="s">
        <v>318</v>
      </c>
      <c r="Q145" s="247" t="str">
        <f>IFERROR(SUM((SUMIFS('capacity data'!$G:$G,'capacity data'!$E:$E,"PO",'capacity data'!$B:$B,P145))-SUMIFS('capacity data'!$H:$H,'capacity data'!$E:$E,"PO",'capacity data'!$B:$B,P145))/SUMIFS('capacity data'!$G:$G,'capacity data'!$E:$E,"PO",'capacity data'!$B:$B,P145),"")</f>
        <v/>
      </c>
      <c r="R145" s="247" t="str">
        <f>IFERROR(SUM((SUMIFS('capacity data'!$G:$G,'capacity data'!$E:$E,"PSO",'capacity data'!$B:$B,P145))-SUMIFS('capacity data'!$H:$H,'capacity data'!$E:$E,"PSO",'capacity data'!$B:$B,P145))/SUMIFS('capacity data'!$G:$G,'capacity data'!$E:$E,"PSO",'capacity data'!$B:$B,P145),"")</f>
        <v/>
      </c>
      <c r="S145" s="24" t="str">
        <f t="shared" si="2"/>
        <v/>
      </c>
      <c r="T145" s="248" t="str">
        <f>IFERROR(SUMIFS('capacity data'!$L:$L,'capacity data'!$B:$B,P145,'capacity data'!$E:$E,"PSO")/SUMIFS('capacity data'!$G:$G,'capacity data'!$E:$E,"PSO",'capacity data'!$B:$B,P145),"")</f>
        <v/>
      </c>
      <c r="U145" s="248" t="str">
        <f>IFERROR(SUMIFS('capacity data'!$L:$L,'capacity data'!$B:$B,P145,'capacity data'!$E:$E,"TPO")/SUMIFS('capacity data'!$G:$G,'capacity data'!$E:$E,"TPO",'capacity data'!$B:$B,P145),"")</f>
        <v/>
      </c>
    </row>
    <row r="146" spans="15:21" ht="16" x14ac:dyDescent="0.2">
      <c r="O146" s="26" t="s">
        <v>1409</v>
      </c>
      <c r="P146" t="s">
        <v>339</v>
      </c>
      <c r="Q146" s="247" t="str">
        <f>IFERROR(SUM((SUMIFS('capacity data'!$G:$G,'capacity data'!$E:$E,"PO",'capacity data'!$B:$B,P146))-SUMIFS('capacity data'!$H:$H,'capacity data'!$E:$E,"PO",'capacity data'!$B:$B,P146))/SUMIFS('capacity data'!$G:$G,'capacity data'!$E:$E,"PO",'capacity data'!$B:$B,P146),"")</f>
        <v/>
      </c>
      <c r="R146" s="247" t="str">
        <f>IFERROR(SUM((SUMIFS('capacity data'!$G:$G,'capacity data'!$E:$E,"PSO",'capacity data'!$B:$B,P146))-SUMIFS('capacity data'!$H:$H,'capacity data'!$E:$E,"PSO",'capacity data'!$B:$B,P146))/SUMIFS('capacity data'!$G:$G,'capacity data'!$E:$E,"PSO",'capacity data'!$B:$B,P146),"")</f>
        <v/>
      </c>
      <c r="S146" s="24" t="str">
        <f t="shared" si="2"/>
        <v/>
      </c>
      <c r="T146" s="248" t="str">
        <f>IFERROR(SUMIFS('capacity data'!$L:$L,'capacity data'!$B:$B,P146,'capacity data'!$E:$E,"PSO")/SUMIFS('capacity data'!$G:$G,'capacity data'!$E:$E,"PSO",'capacity data'!$B:$B,P146),"")</f>
        <v/>
      </c>
      <c r="U146" s="248" t="str">
        <f>IFERROR(SUMIFS('capacity data'!$L:$L,'capacity data'!$B:$B,P146,'capacity data'!$E:$E,"TPO")/SUMIFS('capacity data'!$G:$G,'capacity data'!$E:$E,"TPO",'capacity data'!$B:$B,P146),"")</f>
        <v/>
      </c>
    </row>
    <row r="147" spans="15:21" ht="16" x14ac:dyDescent="0.2">
      <c r="O147" s="26" t="s">
        <v>1409</v>
      </c>
      <c r="P147" t="s">
        <v>357</v>
      </c>
      <c r="Q147" s="247" t="str">
        <f>IFERROR(SUM((SUMIFS('capacity data'!$G:$G,'capacity data'!$E:$E,"PO",'capacity data'!$B:$B,P147))-SUMIFS('capacity data'!$H:$H,'capacity data'!$E:$E,"PO",'capacity data'!$B:$B,P147))/SUMIFS('capacity data'!$G:$G,'capacity data'!$E:$E,"PO",'capacity data'!$B:$B,P147),"")</f>
        <v/>
      </c>
      <c r="R147" s="247" t="str">
        <f>IFERROR(SUM((SUMIFS('capacity data'!$G:$G,'capacity data'!$E:$E,"PSO",'capacity data'!$B:$B,P147))-SUMIFS('capacity data'!$H:$H,'capacity data'!$E:$E,"PSO",'capacity data'!$B:$B,P147))/SUMIFS('capacity data'!$G:$G,'capacity data'!$E:$E,"PSO",'capacity data'!$B:$B,P147),"")</f>
        <v/>
      </c>
      <c r="S147" s="24" t="str">
        <f t="shared" si="2"/>
        <v/>
      </c>
      <c r="T147" s="248" t="str">
        <f>IFERROR(SUMIFS('capacity data'!$L:$L,'capacity data'!$B:$B,P147,'capacity data'!$E:$E,"PSO")/SUMIFS('capacity data'!$G:$G,'capacity data'!$E:$E,"PSO",'capacity data'!$B:$B,P147),"")</f>
        <v/>
      </c>
      <c r="U147" s="248" t="str">
        <f>IFERROR(SUMIFS('capacity data'!$L:$L,'capacity data'!$B:$B,P147,'capacity data'!$E:$E,"TPO")/SUMIFS('capacity data'!$G:$G,'capacity data'!$E:$E,"TPO",'capacity data'!$B:$B,P147),"")</f>
        <v/>
      </c>
    </row>
    <row r="148" spans="15:21" ht="16" x14ac:dyDescent="0.2">
      <c r="O148" s="26" t="s">
        <v>29</v>
      </c>
      <c r="P148" t="s">
        <v>49</v>
      </c>
      <c r="Q148" s="247" t="str">
        <f>IFERROR(SUM((SUMIFS('capacity data'!$G:$G,'capacity data'!$E:$E,"PO",'capacity data'!$B:$B,P148))-SUMIFS('capacity data'!$H:$H,'capacity data'!$E:$E,"PO",'capacity data'!$B:$B,P148))/SUMIFS('capacity data'!$G:$G,'capacity data'!$E:$E,"PO",'capacity data'!$B:$B,P148),"")</f>
        <v/>
      </c>
      <c r="R148" s="247" t="str">
        <f>IFERROR(SUM((SUMIFS('capacity data'!$G:$G,'capacity data'!$E:$E,"PSO",'capacity data'!$B:$B,P148))-SUMIFS('capacity data'!$H:$H,'capacity data'!$E:$E,"PSO",'capacity data'!$B:$B,P148))/SUMIFS('capacity data'!$G:$G,'capacity data'!$E:$E,"PSO",'capacity data'!$B:$B,P148),"")</f>
        <v/>
      </c>
      <c r="S148" s="24" t="str">
        <f t="shared" si="2"/>
        <v/>
      </c>
      <c r="T148" s="248" t="str">
        <f>IFERROR(SUMIFS('capacity data'!$L:$L,'capacity data'!$B:$B,P148,'capacity data'!$E:$E,"PSO")/SUMIFS('capacity data'!$G:$G,'capacity data'!$E:$E,"PSO",'capacity data'!$B:$B,P148),"")</f>
        <v/>
      </c>
      <c r="U148" s="248" t="str">
        <f>IFERROR(SUMIFS('capacity data'!$L:$L,'capacity data'!$B:$B,P148,'capacity data'!$E:$E,"TPO")/SUMIFS('capacity data'!$G:$G,'capacity data'!$E:$E,"TPO",'capacity data'!$B:$B,P148),"")</f>
        <v/>
      </c>
    </row>
    <row r="149" spans="15:21" ht="16" x14ac:dyDescent="0.2">
      <c r="O149" s="26" t="s">
        <v>29</v>
      </c>
      <c r="P149" t="s">
        <v>83</v>
      </c>
      <c r="Q149" s="247" t="str">
        <f>IFERROR(SUM((SUMIFS('capacity data'!$G:$G,'capacity data'!$E:$E,"PO",'capacity data'!$B:$B,P149))-SUMIFS('capacity data'!$H:$H,'capacity data'!$E:$E,"PO",'capacity data'!$B:$B,P149))/SUMIFS('capacity data'!$G:$G,'capacity data'!$E:$E,"PO",'capacity data'!$B:$B,P149),"")</f>
        <v/>
      </c>
      <c r="R149" s="247" t="str">
        <f>IFERROR(SUM((SUMIFS('capacity data'!$G:$G,'capacity data'!$E:$E,"PSO",'capacity data'!$B:$B,P149))-SUMIFS('capacity data'!$H:$H,'capacity data'!$E:$E,"PSO",'capacity data'!$B:$B,P149))/SUMIFS('capacity data'!$G:$G,'capacity data'!$E:$E,"PSO",'capacity data'!$B:$B,P149),"")</f>
        <v/>
      </c>
      <c r="S149" s="24" t="str">
        <f t="shared" si="2"/>
        <v/>
      </c>
      <c r="T149" s="248" t="str">
        <f>IFERROR(SUMIFS('capacity data'!$L:$L,'capacity data'!$B:$B,P149,'capacity data'!$E:$E,"PSO")/SUMIFS('capacity data'!$G:$G,'capacity data'!$E:$E,"PSO",'capacity data'!$B:$B,P149),"")</f>
        <v/>
      </c>
      <c r="U149" s="248" t="str">
        <f>IFERROR(SUMIFS('capacity data'!$L:$L,'capacity data'!$B:$B,P149,'capacity data'!$E:$E,"TPO")/SUMIFS('capacity data'!$G:$G,'capacity data'!$E:$E,"TPO",'capacity data'!$B:$B,P149),"")</f>
        <v/>
      </c>
    </row>
    <row r="150" spans="15:21" ht="16" x14ac:dyDescent="0.2">
      <c r="O150" s="26" t="s">
        <v>29</v>
      </c>
      <c r="P150" t="s">
        <v>114</v>
      </c>
      <c r="Q150" s="247" t="str">
        <f>IFERROR(SUM((SUMIFS('capacity data'!$G:$G,'capacity data'!$E:$E,"PO",'capacity data'!$B:$B,P150))-SUMIFS('capacity data'!$H:$H,'capacity data'!$E:$E,"PO",'capacity data'!$B:$B,P150))/SUMIFS('capacity data'!$G:$G,'capacity data'!$E:$E,"PO",'capacity data'!$B:$B,P150),"")</f>
        <v/>
      </c>
      <c r="R150" s="247" t="str">
        <f>IFERROR(SUM((SUMIFS('capacity data'!$G:$G,'capacity data'!$E:$E,"PSO",'capacity data'!$B:$B,P150))-SUMIFS('capacity data'!$H:$H,'capacity data'!$E:$E,"PSO",'capacity data'!$B:$B,P150))/SUMIFS('capacity data'!$G:$G,'capacity data'!$E:$E,"PSO",'capacity data'!$B:$B,P150),"")</f>
        <v/>
      </c>
      <c r="S150" s="24" t="str">
        <f t="shared" si="2"/>
        <v/>
      </c>
      <c r="T150" s="248" t="str">
        <f>IFERROR(SUMIFS('capacity data'!$L:$L,'capacity data'!$B:$B,P150,'capacity data'!$E:$E,"PSO")/SUMIFS('capacity data'!$G:$G,'capacity data'!$E:$E,"PSO",'capacity data'!$B:$B,P150),"")</f>
        <v/>
      </c>
      <c r="U150" s="248" t="str">
        <f>IFERROR(SUMIFS('capacity data'!$L:$L,'capacity data'!$B:$B,P150,'capacity data'!$E:$E,"TPO")/SUMIFS('capacity data'!$G:$G,'capacity data'!$E:$E,"TPO",'capacity data'!$B:$B,P150),"")</f>
        <v/>
      </c>
    </row>
    <row r="151" spans="15:21" ht="16" x14ac:dyDescent="0.2">
      <c r="O151" s="26" t="s">
        <v>29</v>
      </c>
      <c r="P151" t="s">
        <v>145</v>
      </c>
      <c r="Q151" s="247" t="str">
        <f>IFERROR(SUM((SUMIFS('capacity data'!$G:$G,'capacity data'!$E:$E,"PO",'capacity data'!$B:$B,P151))-SUMIFS('capacity data'!$H:$H,'capacity data'!$E:$E,"PO",'capacity data'!$B:$B,P151))/SUMIFS('capacity data'!$G:$G,'capacity data'!$E:$E,"PO",'capacity data'!$B:$B,P151),"")</f>
        <v/>
      </c>
      <c r="R151" s="247" t="str">
        <f>IFERROR(SUM((SUMIFS('capacity data'!$G:$G,'capacity data'!$E:$E,"PSO",'capacity data'!$B:$B,P151))-SUMIFS('capacity data'!$H:$H,'capacity data'!$E:$E,"PSO",'capacity data'!$B:$B,P151))/SUMIFS('capacity data'!$G:$G,'capacity data'!$E:$E,"PSO",'capacity data'!$B:$B,P151),"")</f>
        <v/>
      </c>
      <c r="S151" s="24" t="str">
        <f t="shared" si="2"/>
        <v/>
      </c>
      <c r="T151" s="248" t="str">
        <f>IFERROR(SUMIFS('capacity data'!$L:$L,'capacity data'!$B:$B,P151,'capacity data'!$E:$E,"PSO")/SUMIFS('capacity data'!$G:$G,'capacity data'!$E:$E,"PSO",'capacity data'!$B:$B,P151),"")</f>
        <v/>
      </c>
      <c r="U151" s="248" t="str">
        <f>IFERROR(SUMIFS('capacity data'!$L:$L,'capacity data'!$B:$B,P151,'capacity data'!$E:$E,"TPO")/SUMIFS('capacity data'!$G:$G,'capacity data'!$E:$E,"TPO",'capacity data'!$B:$B,P151),"")</f>
        <v/>
      </c>
    </row>
    <row r="152" spans="15:21" ht="16" x14ac:dyDescent="0.2">
      <c r="O152" s="26" t="s">
        <v>29</v>
      </c>
      <c r="P152" t="s">
        <v>174</v>
      </c>
      <c r="Q152" s="247" t="str">
        <f>IFERROR(SUM((SUMIFS('capacity data'!$G:$G,'capacity data'!$E:$E,"PO",'capacity data'!$B:$B,P152))-SUMIFS('capacity data'!$H:$H,'capacity data'!$E:$E,"PO",'capacity data'!$B:$B,P152))/SUMIFS('capacity data'!$G:$G,'capacity data'!$E:$E,"PO",'capacity data'!$B:$B,P152),"")</f>
        <v/>
      </c>
      <c r="R152" s="247" t="str">
        <f>IFERROR(SUM((SUMIFS('capacity data'!$G:$G,'capacity data'!$E:$E,"PSO",'capacity data'!$B:$B,P152))-SUMIFS('capacity data'!$H:$H,'capacity data'!$E:$E,"PSO",'capacity data'!$B:$B,P152))/SUMIFS('capacity data'!$G:$G,'capacity data'!$E:$E,"PSO",'capacity data'!$B:$B,P152),"")</f>
        <v/>
      </c>
      <c r="S152" s="24" t="str">
        <f t="shared" si="2"/>
        <v/>
      </c>
      <c r="T152" s="248" t="str">
        <f>IFERROR(SUMIFS('capacity data'!$L:$L,'capacity data'!$B:$B,P152,'capacity data'!$E:$E,"PSO")/SUMIFS('capacity data'!$G:$G,'capacity data'!$E:$E,"PSO",'capacity data'!$B:$B,P152),"")</f>
        <v/>
      </c>
      <c r="U152" s="248" t="str">
        <f>IFERROR(SUMIFS('capacity data'!$L:$L,'capacity data'!$B:$B,P152,'capacity data'!$E:$E,"TPO")/SUMIFS('capacity data'!$G:$G,'capacity data'!$E:$E,"TPO",'capacity data'!$B:$B,P152),"")</f>
        <v/>
      </c>
    </row>
    <row r="153" spans="15:21" ht="16" x14ac:dyDescent="0.2">
      <c r="O153" s="26" t="s">
        <v>29</v>
      </c>
      <c r="P153" t="s">
        <v>202</v>
      </c>
      <c r="Q153" s="247" t="str">
        <f>IFERROR(SUM((SUMIFS('capacity data'!$G:$G,'capacity data'!$E:$E,"PO",'capacity data'!$B:$B,P153))-SUMIFS('capacity data'!$H:$H,'capacity data'!$E:$E,"PO",'capacity data'!$B:$B,P153))/SUMIFS('capacity data'!$G:$G,'capacity data'!$E:$E,"PO",'capacity data'!$B:$B,P153),"")</f>
        <v/>
      </c>
      <c r="R153" s="247" t="str">
        <f>IFERROR(SUM((SUMIFS('capacity data'!$G:$G,'capacity data'!$E:$E,"PSO",'capacity data'!$B:$B,P153))-SUMIFS('capacity data'!$H:$H,'capacity data'!$E:$E,"PSO",'capacity data'!$B:$B,P153))/SUMIFS('capacity data'!$G:$G,'capacity data'!$E:$E,"PSO",'capacity data'!$B:$B,P153),"")</f>
        <v/>
      </c>
      <c r="S153" s="24" t="str">
        <f t="shared" si="2"/>
        <v/>
      </c>
      <c r="T153" s="248" t="str">
        <f>IFERROR(SUMIFS('capacity data'!$L:$L,'capacity data'!$B:$B,P153,'capacity data'!$E:$E,"PSO")/SUMIFS('capacity data'!$G:$G,'capacity data'!$E:$E,"PSO",'capacity data'!$B:$B,P153),"")</f>
        <v/>
      </c>
      <c r="U153" s="248" t="str">
        <f>IFERROR(SUMIFS('capacity data'!$L:$L,'capacity data'!$B:$B,P153,'capacity data'!$E:$E,"TPO")/SUMIFS('capacity data'!$G:$G,'capacity data'!$E:$E,"TPO",'capacity data'!$B:$B,P153),"")</f>
        <v/>
      </c>
    </row>
    <row r="154" spans="15:21" ht="16" x14ac:dyDescent="0.2">
      <c r="O154" s="26" t="s">
        <v>29</v>
      </c>
      <c r="P154" t="s">
        <v>227</v>
      </c>
      <c r="Q154" s="247" t="str">
        <f>IFERROR(SUM((SUMIFS('capacity data'!$G:$G,'capacity data'!$E:$E,"PO",'capacity data'!$B:$B,P154))-SUMIFS('capacity data'!$H:$H,'capacity data'!$E:$E,"PO",'capacity data'!$B:$B,P154))/SUMIFS('capacity data'!$G:$G,'capacity data'!$E:$E,"PO",'capacity data'!$B:$B,P154),"")</f>
        <v/>
      </c>
      <c r="R154" s="247" t="str">
        <f>IFERROR(SUM((SUMIFS('capacity data'!$G:$G,'capacity data'!$E:$E,"PSO",'capacity data'!$B:$B,P154))-SUMIFS('capacity data'!$H:$H,'capacity data'!$E:$E,"PSO",'capacity data'!$B:$B,P154))/SUMIFS('capacity data'!$G:$G,'capacity data'!$E:$E,"PSO",'capacity data'!$B:$B,P154),"")</f>
        <v/>
      </c>
      <c r="S154" s="24" t="str">
        <f t="shared" si="2"/>
        <v/>
      </c>
      <c r="T154" s="248" t="str">
        <f>IFERROR(SUMIFS('capacity data'!$L:$L,'capacity data'!$B:$B,P154,'capacity data'!$E:$E,"PSO")/SUMIFS('capacity data'!$G:$G,'capacity data'!$E:$E,"PSO",'capacity data'!$B:$B,P154),"")</f>
        <v/>
      </c>
      <c r="U154" s="248" t="str">
        <f>IFERROR(SUMIFS('capacity data'!$L:$L,'capacity data'!$B:$B,P154,'capacity data'!$E:$E,"TPO")/SUMIFS('capacity data'!$G:$G,'capacity data'!$E:$E,"TPO",'capacity data'!$B:$B,P154),"")</f>
        <v/>
      </c>
    </row>
    <row r="155" spans="15:21" ht="16" x14ac:dyDescent="0.2">
      <c r="O155" s="26" t="s">
        <v>50</v>
      </c>
      <c r="P155" t="s">
        <v>50</v>
      </c>
      <c r="Q155" s="247" t="str">
        <f>IFERROR(SUM((SUMIFS('capacity data'!$G:$G,'capacity data'!$E:$E,"PO",'capacity data'!$B:$B,P155))-SUMIFS('capacity data'!$H:$H,'capacity data'!$E:$E,"PO",'capacity data'!$B:$B,P155))/SUMIFS('capacity data'!$G:$G,'capacity data'!$E:$E,"PO",'capacity data'!$B:$B,P155),"")</f>
        <v/>
      </c>
      <c r="R155" s="247" t="str">
        <f>IFERROR(SUM((SUMIFS('capacity data'!$G:$G,'capacity data'!$E:$E,"PSO",'capacity data'!$B:$B,P155))-SUMIFS('capacity data'!$H:$H,'capacity data'!$E:$E,"PSO",'capacity data'!$B:$B,P155))/SUMIFS('capacity data'!$G:$G,'capacity data'!$E:$E,"PSO",'capacity data'!$B:$B,P155),"")</f>
        <v/>
      </c>
      <c r="S155" s="24" t="str">
        <f t="shared" si="2"/>
        <v/>
      </c>
      <c r="T155" s="248" t="str">
        <f>IFERROR(SUMIFS('capacity data'!$L:$L,'capacity data'!$B:$B,P155,'capacity data'!$E:$E,"PSO")/SUMIFS('capacity data'!$G:$G,'capacity data'!$E:$E,"PSO",'capacity data'!$B:$B,P155),"")</f>
        <v/>
      </c>
      <c r="U155" s="248" t="str">
        <f>IFERROR(SUMIFS('capacity data'!$L:$L,'capacity data'!$B:$B,P155,'capacity data'!$E:$E,"TPO")/SUMIFS('capacity data'!$G:$G,'capacity data'!$E:$E,"TPO",'capacity data'!$B:$B,P155),"")</f>
        <v/>
      </c>
    </row>
    <row r="156" spans="15:21" ht="16" x14ac:dyDescent="0.2">
      <c r="O156" s="26" t="s">
        <v>31</v>
      </c>
      <c r="P156" t="s">
        <v>51</v>
      </c>
      <c r="Q156" s="247" t="str">
        <f>IFERROR(SUM((SUMIFS('capacity data'!$G:$G,'capacity data'!$E:$E,"PO",'capacity data'!$B:$B,P156))-SUMIFS('capacity data'!$H:$H,'capacity data'!$E:$E,"PO",'capacity data'!$B:$B,P156))/SUMIFS('capacity data'!$G:$G,'capacity data'!$E:$E,"PO",'capacity data'!$B:$B,P156),"")</f>
        <v/>
      </c>
      <c r="R156" s="247" t="str">
        <f>IFERROR(SUM((SUMIFS('capacity data'!$G:$G,'capacity data'!$E:$E,"PSO",'capacity data'!$B:$B,P156))-SUMIFS('capacity data'!$H:$H,'capacity data'!$E:$E,"PSO",'capacity data'!$B:$B,P156))/SUMIFS('capacity data'!$G:$G,'capacity data'!$E:$E,"PSO",'capacity data'!$B:$B,P156),"")</f>
        <v/>
      </c>
      <c r="S156" s="24" t="str">
        <f t="shared" si="2"/>
        <v/>
      </c>
      <c r="T156" s="248" t="str">
        <f>IFERROR(SUMIFS('capacity data'!$L:$L,'capacity data'!$B:$B,P156,'capacity data'!$E:$E,"PSO")/SUMIFS('capacity data'!$G:$G,'capacity data'!$E:$E,"PSO",'capacity data'!$B:$B,P156),"")</f>
        <v/>
      </c>
      <c r="U156" s="248" t="str">
        <f>IFERROR(SUMIFS('capacity data'!$L:$L,'capacity data'!$B:$B,P156,'capacity data'!$E:$E,"TPO")/SUMIFS('capacity data'!$G:$G,'capacity data'!$E:$E,"TPO",'capacity data'!$B:$B,P156),"")</f>
        <v/>
      </c>
    </row>
    <row r="157" spans="15:21" ht="16" x14ac:dyDescent="0.2">
      <c r="O157" s="26" t="s">
        <v>31</v>
      </c>
      <c r="P157" t="s">
        <v>84</v>
      </c>
      <c r="Q157" s="247" t="str">
        <f>IFERROR(SUM((SUMIFS('capacity data'!$G:$G,'capacity data'!$E:$E,"PO",'capacity data'!$B:$B,P157))-SUMIFS('capacity data'!$H:$H,'capacity data'!$E:$E,"PO",'capacity data'!$B:$B,P157))/SUMIFS('capacity data'!$G:$G,'capacity data'!$E:$E,"PO",'capacity data'!$B:$B,P157),"")</f>
        <v/>
      </c>
      <c r="R157" s="247" t="str">
        <f>IFERROR(SUM((SUMIFS('capacity data'!$G:$G,'capacity data'!$E:$E,"PSO",'capacity data'!$B:$B,P157))-SUMIFS('capacity data'!$H:$H,'capacity data'!$E:$E,"PSO",'capacity data'!$B:$B,P157))/SUMIFS('capacity data'!$G:$G,'capacity data'!$E:$E,"PSO",'capacity data'!$B:$B,P157),"")</f>
        <v/>
      </c>
      <c r="S157" s="24" t="str">
        <f t="shared" si="2"/>
        <v/>
      </c>
      <c r="T157" s="248" t="str">
        <f>IFERROR(SUMIFS('capacity data'!$L:$L,'capacity data'!$B:$B,P157,'capacity data'!$E:$E,"PSO")/SUMIFS('capacity data'!$G:$G,'capacity data'!$E:$E,"PSO",'capacity data'!$B:$B,P157),"")</f>
        <v/>
      </c>
      <c r="U157" s="248" t="str">
        <f>IFERROR(SUMIFS('capacity data'!$L:$L,'capacity data'!$B:$B,P157,'capacity data'!$E:$E,"TPO")/SUMIFS('capacity data'!$G:$G,'capacity data'!$E:$E,"TPO",'capacity data'!$B:$B,P157),"")</f>
        <v/>
      </c>
    </row>
    <row r="158" spans="15:21" ht="16" x14ac:dyDescent="0.2">
      <c r="O158" s="26" t="s">
        <v>31</v>
      </c>
      <c r="P158" t="s">
        <v>115</v>
      </c>
      <c r="Q158" s="247" t="str">
        <f>IFERROR(SUM((SUMIFS('capacity data'!$G:$G,'capacity data'!$E:$E,"PO",'capacity data'!$B:$B,P158))-SUMIFS('capacity data'!$H:$H,'capacity data'!$E:$E,"PO",'capacity data'!$B:$B,P158))/SUMIFS('capacity data'!$G:$G,'capacity data'!$E:$E,"PO",'capacity data'!$B:$B,P158),"")</f>
        <v/>
      </c>
      <c r="R158" s="247" t="str">
        <f>IFERROR(SUM((SUMIFS('capacity data'!$G:$G,'capacity data'!$E:$E,"PSO",'capacity data'!$B:$B,P158))-SUMIFS('capacity data'!$H:$H,'capacity data'!$E:$E,"PSO",'capacity data'!$B:$B,P158))/SUMIFS('capacity data'!$G:$G,'capacity data'!$E:$E,"PSO",'capacity data'!$B:$B,P158),"")</f>
        <v/>
      </c>
      <c r="S158" s="24" t="str">
        <f t="shared" si="2"/>
        <v/>
      </c>
      <c r="T158" s="248" t="str">
        <f>IFERROR(SUMIFS('capacity data'!$L:$L,'capacity data'!$B:$B,P158,'capacity data'!$E:$E,"PSO")/SUMIFS('capacity data'!$G:$G,'capacity data'!$E:$E,"PSO",'capacity data'!$B:$B,P158),"")</f>
        <v/>
      </c>
      <c r="U158" s="248" t="str">
        <f>IFERROR(SUMIFS('capacity data'!$L:$L,'capacity data'!$B:$B,P158,'capacity data'!$E:$E,"TPO")/SUMIFS('capacity data'!$G:$G,'capacity data'!$E:$E,"TPO",'capacity data'!$B:$B,P158),"")</f>
        <v/>
      </c>
    </row>
    <row r="159" spans="15:21" ht="16" x14ac:dyDescent="0.2">
      <c r="O159" s="26" t="s">
        <v>32</v>
      </c>
      <c r="P159" t="s">
        <v>52</v>
      </c>
      <c r="Q159" s="247" t="str">
        <f>IFERROR(SUM((SUMIFS('capacity data'!$G:$G,'capacity data'!$E:$E,"PO",'capacity data'!$B:$B,P159))-SUMIFS('capacity data'!$H:$H,'capacity data'!$E:$E,"PO",'capacity data'!$B:$B,P159))/SUMIFS('capacity data'!$G:$G,'capacity data'!$E:$E,"PO",'capacity data'!$B:$B,P159),"")</f>
        <v/>
      </c>
      <c r="R159" s="247" t="str">
        <f>IFERROR(SUM((SUMIFS('capacity data'!$G:$G,'capacity data'!$E:$E,"PSO",'capacity data'!$B:$B,P159))-SUMIFS('capacity data'!$H:$H,'capacity data'!$E:$E,"PSO",'capacity data'!$B:$B,P159))/SUMIFS('capacity data'!$G:$G,'capacity data'!$E:$E,"PSO",'capacity data'!$B:$B,P159),"")</f>
        <v/>
      </c>
      <c r="S159" s="24" t="str">
        <f t="shared" si="2"/>
        <v/>
      </c>
      <c r="T159" s="248" t="str">
        <f>IFERROR(SUMIFS('capacity data'!$L:$L,'capacity data'!$B:$B,P159,'capacity data'!$E:$E,"PSO")/SUMIFS('capacity data'!$G:$G,'capacity data'!$E:$E,"PSO",'capacity data'!$B:$B,P159),"")</f>
        <v/>
      </c>
      <c r="U159" s="248" t="str">
        <f>IFERROR(SUMIFS('capacity data'!$L:$L,'capacity data'!$B:$B,P159,'capacity data'!$E:$E,"TPO")/SUMIFS('capacity data'!$G:$G,'capacity data'!$E:$E,"TPO",'capacity data'!$B:$B,P159),"")</f>
        <v/>
      </c>
    </row>
    <row r="160" spans="15:21" ht="16" x14ac:dyDescent="0.2">
      <c r="O160" s="26" t="s">
        <v>32</v>
      </c>
      <c r="P160" t="s">
        <v>85</v>
      </c>
      <c r="Q160" s="247" t="str">
        <f>IFERROR(SUM((SUMIFS('capacity data'!$G:$G,'capacity data'!$E:$E,"PO",'capacity data'!$B:$B,P160))-SUMIFS('capacity data'!$H:$H,'capacity data'!$E:$E,"PO",'capacity data'!$B:$B,P160))/SUMIFS('capacity data'!$G:$G,'capacity data'!$E:$E,"PO",'capacity data'!$B:$B,P160),"")</f>
        <v/>
      </c>
      <c r="R160" s="247" t="str">
        <f>IFERROR(SUM((SUMIFS('capacity data'!$G:$G,'capacity data'!$E:$E,"PSO",'capacity data'!$B:$B,P160))-SUMIFS('capacity data'!$H:$H,'capacity data'!$E:$E,"PSO",'capacity data'!$B:$B,P160))/SUMIFS('capacity data'!$G:$G,'capacity data'!$E:$E,"PSO",'capacity data'!$B:$B,P160),"")</f>
        <v/>
      </c>
      <c r="S160" s="24" t="str">
        <f t="shared" si="2"/>
        <v/>
      </c>
      <c r="T160" s="248" t="str">
        <f>IFERROR(SUMIFS('capacity data'!$L:$L,'capacity data'!$B:$B,P160,'capacity data'!$E:$E,"PSO")/SUMIFS('capacity data'!$G:$G,'capacity data'!$E:$E,"PSO",'capacity data'!$B:$B,P160),"")</f>
        <v/>
      </c>
      <c r="U160" s="248" t="str">
        <f>IFERROR(SUMIFS('capacity data'!$L:$L,'capacity data'!$B:$B,P160,'capacity data'!$E:$E,"TPO")/SUMIFS('capacity data'!$G:$G,'capacity data'!$E:$E,"TPO",'capacity data'!$B:$B,P160),"")</f>
        <v/>
      </c>
    </row>
    <row r="161" spans="15:21" ht="16" x14ac:dyDescent="0.2">
      <c r="O161" s="26" t="s">
        <v>32</v>
      </c>
      <c r="P161" t="s">
        <v>116</v>
      </c>
      <c r="Q161" s="247" t="str">
        <f>IFERROR(SUM((SUMIFS('capacity data'!$G:$G,'capacity data'!$E:$E,"PO",'capacity data'!$B:$B,P161))-SUMIFS('capacity data'!$H:$H,'capacity data'!$E:$E,"PO",'capacity data'!$B:$B,P161))/SUMIFS('capacity data'!$G:$G,'capacity data'!$E:$E,"PO",'capacity data'!$B:$B,P161),"")</f>
        <v/>
      </c>
      <c r="R161" s="247" t="str">
        <f>IFERROR(SUM((SUMIFS('capacity data'!$G:$G,'capacity data'!$E:$E,"PSO",'capacity data'!$B:$B,P161))-SUMIFS('capacity data'!$H:$H,'capacity data'!$E:$E,"PSO",'capacity data'!$B:$B,P161))/SUMIFS('capacity data'!$G:$G,'capacity data'!$E:$E,"PSO",'capacity data'!$B:$B,P161),"")</f>
        <v/>
      </c>
      <c r="S161" s="24" t="str">
        <f t="shared" si="2"/>
        <v/>
      </c>
      <c r="T161" s="248" t="str">
        <f>IFERROR(SUMIFS('capacity data'!$L:$L,'capacity data'!$B:$B,P161,'capacity data'!$E:$E,"PSO")/SUMIFS('capacity data'!$G:$G,'capacity data'!$E:$E,"PSO",'capacity data'!$B:$B,P161),"")</f>
        <v/>
      </c>
      <c r="U161" s="248" t="str">
        <f>IFERROR(SUMIFS('capacity data'!$L:$L,'capacity data'!$B:$B,P161,'capacity data'!$E:$E,"TPO")/SUMIFS('capacity data'!$G:$G,'capacity data'!$E:$E,"TPO",'capacity data'!$B:$B,P161),"")</f>
        <v/>
      </c>
    </row>
    <row r="162" spans="15:21" ht="16" x14ac:dyDescent="0.2">
      <c r="O162" s="26" t="s">
        <v>32</v>
      </c>
      <c r="P162" t="s">
        <v>146</v>
      </c>
      <c r="Q162" s="247" t="str">
        <f>IFERROR(SUM((SUMIFS('capacity data'!$G:$G,'capacity data'!$E:$E,"PO",'capacity data'!$B:$B,P162))-SUMIFS('capacity data'!$H:$H,'capacity data'!$E:$E,"PO",'capacity data'!$B:$B,P162))/SUMIFS('capacity data'!$G:$G,'capacity data'!$E:$E,"PO",'capacity data'!$B:$B,P162),"")</f>
        <v/>
      </c>
      <c r="R162" s="247" t="str">
        <f>IFERROR(SUM((SUMIFS('capacity data'!$G:$G,'capacity data'!$E:$E,"PSO",'capacity data'!$B:$B,P162))-SUMIFS('capacity data'!$H:$H,'capacity data'!$E:$E,"PSO",'capacity data'!$B:$B,P162))/SUMIFS('capacity data'!$G:$G,'capacity data'!$E:$E,"PSO",'capacity data'!$B:$B,P162),"")</f>
        <v/>
      </c>
      <c r="S162" s="24" t="str">
        <f t="shared" si="2"/>
        <v/>
      </c>
      <c r="T162" s="248" t="str">
        <f>IFERROR(SUMIFS('capacity data'!$L:$L,'capacity data'!$B:$B,P162,'capacity data'!$E:$E,"PSO")/SUMIFS('capacity data'!$G:$G,'capacity data'!$E:$E,"PSO",'capacity data'!$B:$B,P162),"")</f>
        <v/>
      </c>
      <c r="U162" s="248" t="str">
        <f>IFERROR(SUMIFS('capacity data'!$L:$L,'capacity data'!$B:$B,P162,'capacity data'!$E:$E,"TPO")/SUMIFS('capacity data'!$G:$G,'capacity data'!$E:$E,"TPO",'capacity data'!$B:$B,P162),"")</f>
        <v/>
      </c>
    </row>
    <row r="163" spans="15:21" ht="16" x14ac:dyDescent="0.2">
      <c r="O163" s="26" t="s">
        <v>32</v>
      </c>
      <c r="P163" t="s">
        <v>175</v>
      </c>
      <c r="Q163" s="247" t="str">
        <f>IFERROR(SUM((SUMIFS('capacity data'!$G:$G,'capacity data'!$E:$E,"PO",'capacity data'!$B:$B,P163))-SUMIFS('capacity data'!$H:$H,'capacity data'!$E:$E,"PO",'capacity data'!$B:$B,P163))/SUMIFS('capacity data'!$G:$G,'capacity data'!$E:$E,"PO",'capacity data'!$B:$B,P163),"")</f>
        <v/>
      </c>
      <c r="R163" s="247" t="str">
        <f>IFERROR(SUM((SUMIFS('capacity data'!$G:$G,'capacity data'!$E:$E,"PSO",'capacity data'!$B:$B,P163))-SUMIFS('capacity data'!$H:$H,'capacity data'!$E:$E,"PSO",'capacity data'!$B:$B,P163))/SUMIFS('capacity data'!$G:$G,'capacity data'!$E:$E,"PSO",'capacity data'!$B:$B,P163),"")</f>
        <v/>
      </c>
      <c r="S163" s="24" t="str">
        <f t="shared" si="2"/>
        <v/>
      </c>
      <c r="T163" s="248" t="str">
        <f>IFERROR(SUMIFS('capacity data'!$L:$L,'capacity data'!$B:$B,P163,'capacity data'!$E:$E,"PSO")/SUMIFS('capacity data'!$G:$G,'capacity data'!$E:$E,"PSO",'capacity data'!$B:$B,P163),"")</f>
        <v/>
      </c>
      <c r="U163" s="248" t="str">
        <f>IFERROR(SUMIFS('capacity data'!$L:$L,'capacity data'!$B:$B,P163,'capacity data'!$E:$E,"TPO")/SUMIFS('capacity data'!$G:$G,'capacity data'!$E:$E,"TPO",'capacity data'!$B:$B,P163),"")</f>
        <v/>
      </c>
    </row>
    <row r="164" spans="15:21" ht="16" x14ac:dyDescent="0.2">
      <c r="O164" s="26" t="s">
        <v>33</v>
      </c>
      <c r="P164" t="s">
        <v>53</v>
      </c>
      <c r="Q164" s="247" t="str">
        <f>IFERROR(SUM((SUMIFS('capacity data'!$G:$G,'capacity data'!$E:$E,"PO",'capacity data'!$B:$B,P164))-SUMIFS('capacity data'!$H:$H,'capacity data'!$E:$E,"PO",'capacity data'!$B:$B,P164))/SUMIFS('capacity data'!$G:$G,'capacity data'!$E:$E,"PO",'capacity data'!$B:$B,P164),"")</f>
        <v/>
      </c>
      <c r="R164" s="247" t="str">
        <f>IFERROR(SUM((SUMIFS('capacity data'!$G:$G,'capacity data'!$E:$E,"PSO",'capacity data'!$B:$B,P164))-SUMIFS('capacity data'!$H:$H,'capacity data'!$E:$E,"PSO",'capacity data'!$B:$B,P164))/SUMIFS('capacity data'!$G:$G,'capacity data'!$E:$E,"PSO",'capacity data'!$B:$B,P164),"")</f>
        <v/>
      </c>
      <c r="S164" s="24" t="str">
        <f t="shared" si="2"/>
        <v/>
      </c>
      <c r="T164" s="248" t="str">
        <f>IFERROR(SUMIFS('capacity data'!$L:$L,'capacity data'!$B:$B,P164,'capacity data'!$E:$E,"PSO")/SUMIFS('capacity data'!$G:$G,'capacity data'!$E:$E,"PSO",'capacity data'!$B:$B,P164),"")</f>
        <v/>
      </c>
      <c r="U164" s="248" t="str">
        <f>IFERROR(SUMIFS('capacity data'!$L:$L,'capacity data'!$B:$B,P164,'capacity data'!$E:$E,"TPO")/SUMIFS('capacity data'!$G:$G,'capacity data'!$E:$E,"TPO",'capacity data'!$B:$B,P164),"")</f>
        <v/>
      </c>
    </row>
    <row r="165" spans="15:21" ht="16" x14ac:dyDescent="0.2">
      <c r="O165" s="26" t="s">
        <v>34</v>
      </c>
      <c r="P165" t="s">
        <v>54</v>
      </c>
      <c r="Q165" s="247" t="str">
        <f>IFERROR(SUM((SUMIFS('capacity data'!$G:$G,'capacity data'!$E:$E,"PO",'capacity data'!$B:$B,P165))-SUMIFS('capacity data'!$H:$H,'capacity data'!$E:$E,"PO",'capacity data'!$B:$B,P165))/SUMIFS('capacity data'!$G:$G,'capacity data'!$E:$E,"PO",'capacity data'!$B:$B,P165),"")</f>
        <v/>
      </c>
      <c r="R165" s="247" t="str">
        <f>IFERROR(SUM((SUMIFS('capacity data'!$G:$G,'capacity data'!$E:$E,"PSO",'capacity data'!$B:$B,P165))-SUMIFS('capacity data'!$H:$H,'capacity data'!$E:$E,"PSO",'capacity data'!$B:$B,P165))/SUMIFS('capacity data'!$G:$G,'capacity data'!$E:$E,"PSO",'capacity data'!$B:$B,P165),"")</f>
        <v/>
      </c>
      <c r="S165" s="24" t="str">
        <f t="shared" si="2"/>
        <v/>
      </c>
      <c r="T165" s="248" t="str">
        <f>IFERROR(SUMIFS('capacity data'!$L:$L,'capacity data'!$B:$B,P165,'capacity data'!$E:$E,"PSO")/SUMIFS('capacity data'!$G:$G,'capacity data'!$E:$E,"PSO",'capacity data'!$B:$B,P165),"")</f>
        <v/>
      </c>
      <c r="U165" s="248" t="str">
        <f>IFERROR(SUMIFS('capacity data'!$L:$L,'capacity data'!$B:$B,P165,'capacity data'!$E:$E,"TPO")/SUMIFS('capacity data'!$G:$G,'capacity data'!$E:$E,"TPO",'capacity data'!$B:$B,P165),"")</f>
        <v/>
      </c>
    </row>
    <row r="166" spans="15:21" ht="16" x14ac:dyDescent="0.2">
      <c r="O166" s="26" t="s">
        <v>34</v>
      </c>
      <c r="P166" t="s">
        <v>86</v>
      </c>
      <c r="Q166" s="247" t="str">
        <f>IFERROR(SUM((SUMIFS('capacity data'!$G:$G,'capacity data'!$E:$E,"PO",'capacity data'!$B:$B,P166))-SUMIFS('capacity data'!$H:$H,'capacity data'!$E:$E,"PO",'capacity data'!$B:$B,P166))/SUMIFS('capacity data'!$G:$G,'capacity data'!$E:$E,"PO",'capacity data'!$B:$B,P166),"")</f>
        <v/>
      </c>
      <c r="R166" s="247" t="str">
        <f>IFERROR(SUM((SUMIFS('capacity data'!$G:$G,'capacity data'!$E:$E,"PSO",'capacity data'!$B:$B,P166))-SUMIFS('capacity data'!$H:$H,'capacity data'!$E:$E,"PSO",'capacity data'!$B:$B,P166))/SUMIFS('capacity data'!$G:$G,'capacity data'!$E:$E,"PSO",'capacity data'!$B:$B,P166),"")</f>
        <v/>
      </c>
      <c r="S166" s="24" t="str">
        <f t="shared" si="2"/>
        <v/>
      </c>
      <c r="T166" s="248" t="str">
        <f>IFERROR(SUMIFS('capacity data'!$L:$L,'capacity data'!$B:$B,P166,'capacity data'!$E:$E,"PSO")/SUMIFS('capacity data'!$G:$G,'capacity data'!$E:$E,"PSO",'capacity data'!$B:$B,P166),"")</f>
        <v/>
      </c>
      <c r="U166" s="248" t="str">
        <f>IFERROR(SUMIFS('capacity data'!$L:$L,'capacity data'!$B:$B,P166,'capacity data'!$E:$E,"TPO")/SUMIFS('capacity data'!$G:$G,'capacity data'!$E:$E,"TPO",'capacity data'!$B:$B,P166),"")</f>
        <v/>
      </c>
    </row>
    <row r="167" spans="15:21" ht="16" x14ac:dyDescent="0.2">
      <c r="O167" s="26" t="s">
        <v>34</v>
      </c>
      <c r="P167" t="s">
        <v>117</v>
      </c>
      <c r="Q167" s="247" t="str">
        <f>IFERROR(SUM((SUMIFS('capacity data'!$G:$G,'capacity data'!$E:$E,"PO",'capacity data'!$B:$B,P167))-SUMIFS('capacity data'!$H:$H,'capacity data'!$E:$E,"PO",'capacity data'!$B:$B,P167))/SUMIFS('capacity data'!$G:$G,'capacity data'!$E:$E,"PO",'capacity data'!$B:$B,P167),"")</f>
        <v/>
      </c>
      <c r="R167" s="247" t="str">
        <f>IFERROR(SUM((SUMIFS('capacity data'!$G:$G,'capacity data'!$E:$E,"PSO",'capacity data'!$B:$B,P167))-SUMIFS('capacity data'!$H:$H,'capacity data'!$E:$E,"PSO",'capacity data'!$B:$B,P167))/SUMIFS('capacity data'!$G:$G,'capacity data'!$E:$E,"PSO",'capacity data'!$B:$B,P167),"")</f>
        <v/>
      </c>
      <c r="S167" s="24" t="str">
        <f t="shared" si="2"/>
        <v/>
      </c>
      <c r="T167" s="248" t="str">
        <f>IFERROR(SUMIFS('capacity data'!$L:$L,'capacity data'!$B:$B,P167,'capacity data'!$E:$E,"PSO")/SUMIFS('capacity data'!$G:$G,'capacity data'!$E:$E,"PSO",'capacity data'!$B:$B,P167),"")</f>
        <v/>
      </c>
      <c r="U167" s="248" t="str">
        <f>IFERROR(SUMIFS('capacity data'!$L:$L,'capacity data'!$B:$B,P167,'capacity data'!$E:$E,"TPO")/SUMIFS('capacity data'!$G:$G,'capacity data'!$E:$E,"TPO",'capacity data'!$B:$B,P167),"")</f>
        <v/>
      </c>
    </row>
    <row r="168" spans="15:21" ht="16" x14ac:dyDescent="0.2">
      <c r="O168" s="26" t="s">
        <v>34</v>
      </c>
      <c r="P168" t="s">
        <v>147</v>
      </c>
      <c r="Q168" s="247" t="str">
        <f>IFERROR(SUM((SUMIFS('capacity data'!$G:$G,'capacity data'!$E:$E,"PO",'capacity data'!$B:$B,P168))-SUMIFS('capacity data'!$H:$H,'capacity data'!$E:$E,"PO",'capacity data'!$B:$B,P168))/SUMIFS('capacity data'!$G:$G,'capacity data'!$E:$E,"PO",'capacity data'!$B:$B,P168),"")</f>
        <v/>
      </c>
      <c r="R168" s="247" t="str">
        <f>IFERROR(SUM((SUMIFS('capacity data'!$G:$G,'capacity data'!$E:$E,"PSO",'capacity data'!$B:$B,P168))-SUMIFS('capacity data'!$H:$H,'capacity data'!$E:$E,"PSO",'capacity data'!$B:$B,P168))/SUMIFS('capacity data'!$G:$G,'capacity data'!$E:$E,"PSO",'capacity data'!$B:$B,P168),"")</f>
        <v/>
      </c>
      <c r="S168" s="24" t="str">
        <f t="shared" si="2"/>
        <v/>
      </c>
      <c r="T168" s="248" t="str">
        <f>IFERROR(SUMIFS('capacity data'!$L:$L,'capacity data'!$B:$B,P168,'capacity data'!$E:$E,"PSO")/SUMIFS('capacity data'!$G:$G,'capacity data'!$E:$E,"PSO",'capacity data'!$B:$B,P168),"")</f>
        <v/>
      </c>
      <c r="U168" s="248" t="str">
        <f>IFERROR(SUMIFS('capacity data'!$L:$L,'capacity data'!$B:$B,P168,'capacity data'!$E:$E,"TPO")/SUMIFS('capacity data'!$G:$G,'capacity data'!$E:$E,"TPO",'capacity data'!$B:$B,P168),"")</f>
        <v/>
      </c>
    </row>
    <row r="169" spans="15:21" ht="16" x14ac:dyDescent="0.2">
      <c r="O169" s="26" t="s">
        <v>35</v>
      </c>
      <c r="P169" t="s">
        <v>55</v>
      </c>
      <c r="Q169" s="247" t="str">
        <f>IFERROR(SUM((SUMIFS('capacity data'!$G:$G,'capacity data'!$E:$E,"PO",'capacity data'!$B:$B,P169))-SUMIFS('capacity data'!$H:$H,'capacity data'!$E:$E,"PO",'capacity data'!$B:$B,P169))/SUMIFS('capacity data'!$G:$G,'capacity data'!$E:$E,"PO",'capacity data'!$B:$B,P169),"")</f>
        <v/>
      </c>
      <c r="R169" s="247" t="str">
        <f>IFERROR(SUM((SUMIFS('capacity data'!$G:$G,'capacity data'!$E:$E,"PSO",'capacity data'!$B:$B,P169))-SUMIFS('capacity data'!$H:$H,'capacity data'!$E:$E,"PSO",'capacity data'!$B:$B,P169))/SUMIFS('capacity data'!$G:$G,'capacity data'!$E:$E,"PSO",'capacity data'!$B:$B,P169),"")</f>
        <v/>
      </c>
      <c r="S169" s="24" t="str">
        <f t="shared" si="2"/>
        <v/>
      </c>
      <c r="T169" s="248" t="str">
        <f>IFERROR(SUMIFS('capacity data'!$L:$L,'capacity data'!$B:$B,P169,'capacity data'!$E:$E,"PSO")/SUMIFS('capacity data'!$G:$G,'capacity data'!$E:$E,"PSO",'capacity data'!$B:$B,P169),"")</f>
        <v/>
      </c>
      <c r="U169" s="248" t="str">
        <f>IFERROR(SUMIFS('capacity data'!$L:$L,'capacity data'!$B:$B,P169,'capacity data'!$E:$E,"TPO")/SUMIFS('capacity data'!$G:$G,'capacity data'!$E:$E,"TPO",'capacity data'!$B:$B,P169),"")</f>
        <v/>
      </c>
    </row>
    <row r="170" spans="15:21" ht="16" x14ac:dyDescent="0.2">
      <c r="O170" s="26" t="s">
        <v>1063</v>
      </c>
      <c r="P170" t="s">
        <v>1064</v>
      </c>
      <c r="Q170" s="247" t="str">
        <f>IFERROR(SUM((SUMIFS('capacity data'!$G:$G,'capacity data'!$E:$E,"PO",'capacity data'!$B:$B,P170))-SUMIFS('capacity data'!$H:$H,'capacity data'!$E:$E,"PO",'capacity data'!$B:$B,P170))/SUMIFS('capacity data'!$G:$G,'capacity data'!$E:$E,"PO",'capacity data'!$B:$B,P170),"")</f>
        <v/>
      </c>
      <c r="R170" s="247" t="str">
        <f>IFERROR(SUM((SUMIFS('capacity data'!$G:$G,'capacity data'!$E:$E,"PSO",'capacity data'!$B:$B,P170))-SUMIFS('capacity data'!$H:$H,'capacity data'!$E:$E,"PSO",'capacity data'!$B:$B,P170))/SUMIFS('capacity data'!$G:$G,'capacity data'!$E:$E,"PSO",'capacity data'!$B:$B,P170),"")</f>
        <v/>
      </c>
      <c r="S170" s="24" t="str">
        <f t="shared" si="2"/>
        <v/>
      </c>
      <c r="T170" s="248" t="str">
        <f>IFERROR(SUMIFS('capacity data'!$L:$L,'capacity data'!$B:$B,P170,'capacity data'!$E:$E,"PSO")/SUMIFS('capacity data'!$G:$G,'capacity data'!$E:$E,"PSO",'capacity data'!$B:$B,P170),"")</f>
        <v/>
      </c>
      <c r="U170" s="248" t="str">
        <f>IFERROR(SUMIFS('capacity data'!$L:$L,'capacity data'!$B:$B,P170,'capacity data'!$E:$E,"TPO")/SUMIFS('capacity data'!$G:$G,'capacity data'!$E:$E,"TPO",'capacity data'!$B:$B,P170),"")</f>
        <v/>
      </c>
    </row>
    <row r="171" spans="15:21" ht="16" x14ac:dyDescent="0.2">
      <c r="O171" s="26" t="s">
        <v>1063</v>
      </c>
      <c r="P171" t="s">
        <v>1065</v>
      </c>
      <c r="Q171" s="247" t="str">
        <f>IFERROR(SUM((SUMIFS('capacity data'!$G:$G,'capacity data'!$E:$E,"PO",'capacity data'!$B:$B,P171))-SUMIFS('capacity data'!$H:$H,'capacity data'!$E:$E,"PO",'capacity data'!$B:$B,P171))/SUMIFS('capacity data'!$G:$G,'capacity data'!$E:$E,"PO",'capacity data'!$B:$B,P171),"")</f>
        <v/>
      </c>
      <c r="R171" s="247" t="str">
        <f>IFERROR(SUM((SUMIFS('capacity data'!$G:$G,'capacity data'!$E:$E,"PSO",'capacity data'!$B:$B,P171))-SUMIFS('capacity data'!$H:$H,'capacity data'!$E:$E,"PSO",'capacity data'!$B:$B,P171))/SUMIFS('capacity data'!$G:$G,'capacity data'!$E:$E,"PSO",'capacity data'!$B:$B,P171),"")</f>
        <v/>
      </c>
      <c r="S171" s="24" t="str">
        <f t="shared" si="2"/>
        <v/>
      </c>
      <c r="T171" s="248" t="str">
        <f>IFERROR(SUMIFS('capacity data'!$L:$L,'capacity data'!$B:$B,P171,'capacity data'!$E:$E,"PSO")/SUMIFS('capacity data'!$G:$G,'capacity data'!$E:$E,"PSO",'capacity data'!$B:$B,P171),"")</f>
        <v/>
      </c>
      <c r="U171" s="248" t="str">
        <f>IFERROR(SUMIFS('capacity data'!$L:$L,'capacity data'!$B:$B,P171,'capacity data'!$E:$E,"TPO")/SUMIFS('capacity data'!$G:$G,'capacity data'!$E:$E,"TPO",'capacity data'!$B:$B,P171),"")</f>
        <v/>
      </c>
    </row>
    <row r="172" spans="15:21" ht="16" x14ac:dyDescent="0.2">
      <c r="O172" s="26" t="s">
        <v>1063</v>
      </c>
      <c r="P172" t="s">
        <v>1066</v>
      </c>
      <c r="Q172" s="247" t="str">
        <f>IFERROR(SUM((SUMIFS('capacity data'!$G:$G,'capacity data'!$E:$E,"PO",'capacity data'!$B:$B,P172))-SUMIFS('capacity data'!$H:$H,'capacity data'!$E:$E,"PO",'capacity data'!$B:$B,P172))/SUMIFS('capacity data'!$G:$G,'capacity data'!$E:$E,"PO",'capacity data'!$B:$B,P172),"")</f>
        <v/>
      </c>
      <c r="R172" s="247" t="str">
        <f>IFERROR(SUM((SUMIFS('capacity data'!$G:$G,'capacity data'!$E:$E,"PSO",'capacity data'!$B:$B,P172))-SUMIFS('capacity data'!$H:$H,'capacity data'!$E:$E,"PSO",'capacity data'!$B:$B,P172))/SUMIFS('capacity data'!$G:$G,'capacity data'!$E:$E,"PSO",'capacity data'!$B:$B,P172),"")</f>
        <v/>
      </c>
      <c r="S172" s="24" t="str">
        <f t="shared" si="2"/>
        <v/>
      </c>
      <c r="T172" s="248" t="str">
        <f>IFERROR(SUMIFS('capacity data'!$L:$L,'capacity data'!$B:$B,P172,'capacity data'!$E:$E,"PSO")/SUMIFS('capacity data'!$G:$G,'capacity data'!$E:$E,"PSO",'capacity data'!$B:$B,P172),"")</f>
        <v/>
      </c>
      <c r="U172" s="248" t="str">
        <f>IFERROR(SUMIFS('capacity data'!$L:$L,'capacity data'!$B:$B,P172,'capacity data'!$E:$E,"TPO")/SUMIFS('capacity data'!$G:$G,'capacity data'!$E:$E,"TPO",'capacity data'!$B:$B,P172),"")</f>
        <v/>
      </c>
    </row>
    <row r="173" spans="15:21" ht="16" x14ac:dyDescent="0.2">
      <c r="O173" s="26" t="s">
        <v>1063</v>
      </c>
      <c r="P173" t="s">
        <v>1067</v>
      </c>
      <c r="Q173" s="247" t="str">
        <f>IFERROR(SUM((SUMIFS('capacity data'!$G:$G,'capacity data'!$E:$E,"PO",'capacity data'!$B:$B,P173))-SUMIFS('capacity data'!$H:$H,'capacity data'!$E:$E,"PO",'capacity data'!$B:$B,P173))/SUMIFS('capacity data'!$G:$G,'capacity data'!$E:$E,"PO",'capacity data'!$B:$B,P173),"")</f>
        <v/>
      </c>
      <c r="R173" s="247" t="str">
        <f>IFERROR(SUM((SUMIFS('capacity data'!$G:$G,'capacity data'!$E:$E,"PSO",'capacity data'!$B:$B,P173))-SUMIFS('capacity data'!$H:$H,'capacity data'!$E:$E,"PSO",'capacity data'!$B:$B,P173))/SUMIFS('capacity data'!$G:$G,'capacity data'!$E:$E,"PSO",'capacity data'!$B:$B,P173),"")</f>
        <v/>
      </c>
      <c r="S173" s="24" t="str">
        <f t="shared" si="2"/>
        <v/>
      </c>
      <c r="T173" s="248" t="str">
        <f>IFERROR(SUMIFS('capacity data'!$L:$L,'capacity data'!$B:$B,P173,'capacity data'!$E:$E,"PSO")/SUMIFS('capacity data'!$G:$G,'capacity data'!$E:$E,"PSO",'capacity data'!$B:$B,P173),"")</f>
        <v/>
      </c>
      <c r="U173" s="248" t="str">
        <f>IFERROR(SUMIFS('capacity data'!$L:$L,'capacity data'!$B:$B,P173,'capacity data'!$E:$E,"TPO")/SUMIFS('capacity data'!$G:$G,'capacity data'!$E:$E,"TPO",'capacity data'!$B:$B,P173),"")</f>
        <v/>
      </c>
    </row>
    <row r="174" spans="15:21" ht="16" x14ac:dyDescent="0.2">
      <c r="O174" s="26" t="s">
        <v>1063</v>
      </c>
      <c r="P174" t="s">
        <v>1068</v>
      </c>
      <c r="Q174" s="247" t="str">
        <f>IFERROR(SUM((SUMIFS('capacity data'!$G:$G,'capacity data'!$E:$E,"PO",'capacity data'!$B:$B,P174))-SUMIFS('capacity data'!$H:$H,'capacity data'!$E:$E,"PO",'capacity data'!$B:$B,P174))/SUMIFS('capacity data'!$G:$G,'capacity data'!$E:$E,"PO",'capacity data'!$B:$B,P174),"")</f>
        <v/>
      </c>
      <c r="R174" s="247" t="str">
        <f>IFERROR(SUM((SUMIFS('capacity data'!$G:$G,'capacity data'!$E:$E,"PSO",'capacity data'!$B:$B,P174))-SUMIFS('capacity data'!$H:$H,'capacity data'!$E:$E,"PSO",'capacity data'!$B:$B,P174))/SUMIFS('capacity data'!$G:$G,'capacity data'!$E:$E,"PSO",'capacity data'!$B:$B,P174),"")</f>
        <v/>
      </c>
      <c r="S174" s="24" t="str">
        <f t="shared" si="2"/>
        <v/>
      </c>
      <c r="T174" s="248" t="str">
        <f>IFERROR(SUMIFS('capacity data'!$L:$L,'capacity data'!$B:$B,P174,'capacity data'!$E:$E,"PSO")/SUMIFS('capacity data'!$G:$G,'capacity data'!$E:$E,"PSO",'capacity data'!$B:$B,P174),"")</f>
        <v/>
      </c>
      <c r="U174" s="248" t="str">
        <f>IFERROR(SUMIFS('capacity data'!$L:$L,'capacity data'!$B:$B,P174,'capacity data'!$E:$E,"TPO")/SUMIFS('capacity data'!$G:$G,'capacity data'!$E:$E,"TPO",'capacity data'!$B:$B,P174),"")</f>
        <v/>
      </c>
    </row>
    <row r="175" spans="15:21" ht="16" x14ac:dyDescent="0.2">
      <c r="O175" s="26" t="s">
        <v>1063</v>
      </c>
      <c r="P175" t="s">
        <v>1069</v>
      </c>
      <c r="Q175" s="247" t="str">
        <f>IFERROR(SUM((SUMIFS('capacity data'!$G:$G,'capacity data'!$E:$E,"PO",'capacity data'!$B:$B,P175))-SUMIFS('capacity data'!$H:$H,'capacity data'!$E:$E,"PO",'capacity data'!$B:$B,P175))/SUMIFS('capacity data'!$G:$G,'capacity data'!$E:$E,"PO",'capacity data'!$B:$B,P175),"")</f>
        <v/>
      </c>
      <c r="R175" s="247" t="str">
        <f>IFERROR(SUM((SUMIFS('capacity data'!$G:$G,'capacity data'!$E:$E,"PSO",'capacity data'!$B:$B,P175))-SUMIFS('capacity data'!$H:$H,'capacity data'!$E:$E,"PSO",'capacity data'!$B:$B,P175))/SUMIFS('capacity data'!$G:$G,'capacity data'!$E:$E,"PSO",'capacity data'!$B:$B,P175),"")</f>
        <v/>
      </c>
      <c r="S175" s="24" t="str">
        <f t="shared" si="2"/>
        <v/>
      </c>
      <c r="T175" s="248" t="str">
        <f>IFERROR(SUMIFS('capacity data'!$L:$L,'capacity data'!$B:$B,P175,'capacity data'!$E:$E,"PSO")/SUMIFS('capacity data'!$G:$G,'capacity data'!$E:$E,"PSO",'capacity data'!$B:$B,P175),"")</f>
        <v/>
      </c>
      <c r="U175" s="248" t="str">
        <f>IFERROR(SUMIFS('capacity data'!$L:$L,'capacity data'!$B:$B,P175,'capacity data'!$E:$E,"TPO")/SUMIFS('capacity data'!$G:$G,'capacity data'!$E:$E,"TPO",'capacity data'!$B:$B,P175),"")</f>
        <v/>
      </c>
    </row>
    <row r="176" spans="15:21" ht="16" x14ac:dyDescent="0.2">
      <c r="O176" s="26" t="s">
        <v>1070</v>
      </c>
      <c r="P176" t="s">
        <v>1071</v>
      </c>
      <c r="Q176" s="247" t="str">
        <f>IFERROR(SUM((SUMIFS('capacity data'!$G:$G,'capacity data'!$E:$E,"PO",'capacity data'!$B:$B,P176))-SUMIFS('capacity data'!$H:$H,'capacity data'!$E:$E,"PO",'capacity data'!$B:$B,P176))/SUMIFS('capacity data'!$G:$G,'capacity data'!$E:$E,"PO",'capacity data'!$B:$B,P176),"")</f>
        <v/>
      </c>
      <c r="R176" s="247" t="str">
        <f>IFERROR(SUM((SUMIFS('capacity data'!$G:$G,'capacity data'!$E:$E,"PSO",'capacity data'!$B:$B,P176))-SUMIFS('capacity data'!$H:$H,'capacity data'!$E:$E,"PSO",'capacity data'!$B:$B,P176))/SUMIFS('capacity data'!$G:$G,'capacity data'!$E:$E,"PSO",'capacity data'!$B:$B,P176),"")</f>
        <v/>
      </c>
      <c r="S176" s="24" t="str">
        <f t="shared" si="2"/>
        <v/>
      </c>
      <c r="T176" s="248" t="str">
        <f>IFERROR(SUMIFS('capacity data'!$L:$L,'capacity data'!$B:$B,P176,'capacity data'!$E:$E,"PSO")/SUMIFS('capacity data'!$G:$G,'capacity data'!$E:$E,"PSO",'capacity data'!$B:$B,P176),"")</f>
        <v/>
      </c>
      <c r="U176" s="248" t="str">
        <f>IFERROR(SUMIFS('capacity data'!$L:$L,'capacity data'!$B:$B,P176,'capacity data'!$E:$E,"TPO")/SUMIFS('capacity data'!$G:$G,'capacity data'!$E:$E,"TPO",'capacity data'!$B:$B,P176),"")</f>
        <v/>
      </c>
    </row>
    <row r="177" spans="15:21" ht="16" x14ac:dyDescent="0.2">
      <c r="O177" s="26" t="s">
        <v>1070</v>
      </c>
      <c r="P177" t="s">
        <v>1072</v>
      </c>
      <c r="Q177" s="247" t="str">
        <f>IFERROR(SUM((SUMIFS('capacity data'!$G:$G,'capacity data'!$E:$E,"PO",'capacity data'!$B:$B,P177))-SUMIFS('capacity data'!$H:$H,'capacity data'!$E:$E,"PO",'capacity data'!$B:$B,P177))/SUMIFS('capacity data'!$G:$G,'capacity data'!$E:$E,"PO",'capacity data'!$B:$B,P177),"")</f>
        <v/>
      </c>
      <c r="R177" s="247" t="str">
        <f>IFERROR(SUM((SUMIFS('capacity data'!$G:$G,'capacity data'!$E:$E,"PSO",'capacity data'!$B:$B,P177))-SUMIFS('capacity data'!$H:$H,'capacity data'!$E:$E,"PSO",'capacity data'!$B:$B,P177))/SUMIFS('capacity data'!$G:$G,'capacity data'!$E:$E,"PSO",'capacity data'!$B:$B,P177),"")</f>
        <v/>
      </c>
      <c r="S177" s="24" t="str">
        <f t="shared" si="2"/>
        <v/>
      </c>
      <c r="T177" s="248" t="str">
        <f>IFERROR(SUMIFS('capacity data'!$L:$L,'capacity data'!$B:$B,P177,'capacity data'!$E:$E,"PSO")/SUMIFS('capacity data'!$G:$G,'capacity data'!$E:$E,"PSO",'capacity data'!$B:$B,P177),"")</f>
        <v/>
      </c>
      <c r="U177" s="248" t="str">
        <f>IFERROR(SUMIFS('capacity data'!$L:$L,'capacity data'!$B:$B,P177,'capacity data'!$E:$E,"TPO")/SUMIFS('capacity data'!$G:$G,'capacity data'!$E:$E,"TPO",'capacity data'!$B:$B,P177),"")</f>
        <v/>
      </c>
    </row>
    <row r="178" spans="15:21" ht="16" x14ac:dyDescent="0.2">
      <c r="O178" s="26" t="s">
        <v>36</v>
      </c>
      <c r="P178" t="s">
        <v>56</v>
      </c>
      <c r="Q178" s="247" t="str">
        <f>IFERROR(SUM((SUMIFS('capacity data'!$G:$G,'capacity data'!$E:$E,"PO",'capacity data'!$B:$B,P178))-SUMIFS('capacity data'!$H:$H,'capacity data'!$E:$E,"PO",'capacity data'!$B:$B,P178))/SUMIFS('capacity data'!$G:$G,'capacity data'!$E:$E,"PO",'capacity data'!$B:$B,P178),"")</f>
        <v/>
      </c>
      <c r="R178" s="247" t="str">
        <f>IFERROR(SUM((SUMIFS('capacity data'!$G:$G,'capacity data'!$E:$E,"PSO",'capacity data'!$B:$B,P178))-SUMIFS('capacity data'!$H:$H,'capacity data'!$E:$E,"PSO",'capacity data'!$B:$B,P178))/SUMIFS('capacity data'!$G:$G,'capacity data'!$E:$E,"PSO",'capacity data'!$B:$B,P178),"")</f>
        <v/>
      </c>
      <c r="S178" s="24" t="str">
        <f t="shared" si="2"/>
        <v/>
      </c>
      <c r="T178" s="248" t="str">
        <f>IFERROR(SUMIFS('capacity data'!$L:$L,'capacity data'!$B:$B,P178,'capacity data'!$E:$E,"PSO")/SUMIFS('capacity data'!$G:$G,'capacity data'!$E:$E,"PSO",'capacity data'!$B:$B,P178),"")</f>
        <v/>
      </c>
      <c r="U178" s="248" t="str">
        <f>IFERROR(SUMIFS('capacity data'!$L:$L,'capacity data'!$B:$B,P178,'capacity data'!$E:$E,"TPO")/SUMIFS('capacity data'!$G:$G,'capacity data'!$E:$E,"TPO",'capacity data'!$B:$B,P178),"")</f>
        <v/>
      </c>
    </row>
    <row r="179" spans="15:21" ht="16" x14ac:dyDescent="0.2">
      <c r="O179" s="26" t="s">
        <v>36</v>
      </c>
      <c r="P179" t="s">
        <v>87</v>
      </c>
      <c r="Q179" s="247" t="str">
        <f>IFERROR(SUM((SUMIFS('capacity data'!$G:$G,'capacity data'!$E:$E,"PO",'capacity data'!$B:$B,P179))-SUMIFS('capacity data'!$H:$H,'capacity data'!$E:$E,"PO",'capacity data'!$B:$B,P179))/SUMIFS('capacity data'!$G:$G,'capacity data'!$E:$E,"PO",'capacity data'!$B:$B,P179),"")</f>
        <v/>
      </c>
      <c r="R179" s="247" t="str">
        <f>IFERROR(SUM((SUMIFS('capacity data'!$G:$G,'capacity data'!$E:$E,"PSO",'capacity data'!$B:$B,P179))-SUMIFS('capacity data'!$H:$H,'capacity data'!$E:$E,"PSO",'capacity data'!$B:$B,P179))/SUMIFS('capacity data'!$G:$G,'capacity data'!$E:$E,"PSO",'capacity data'!$B:$B,P179),"")</f>
        <v/>
      </c>
      <c r="S179" s="24" t="str">
        <f t="shared" si="2"/>
        <v/>
      </c>
      <c r="T179" s="248" t="str">
        <f>IFERROR(SUMIFS('capacity data'!$L:$L,'capacity data'!$B:$B,P179,'capacity data'!$E:$E,"PSO")/SUMIFS('capacity data'!$G:$G,'capacity data'!$E:$E,"PSO",'capacity data'!$B:$B,P179),"")</f>
        <v/>
      </c>
      <c r="U179" s="248" t="str">
        <f>IFERROR(SUMIFS('capacity data'!$L:$L,'capacity data'!$B:$B,P179,'capacity data'!$E:$E,"TPO")/SUMIFS('capacity data'!$G:$G,'capacity data'!$E:$E,"TPO",'capacity data'!$B:$B,P179),"")</f>
        <v/>
      </c>
    </row>
    <row r="180" spans="15:21" ht="16" x14ac:dyDescent="0.2">
      <c r="O180" s="26" t="s">
        <v>36</v>
      </c>
      <c r="P180" t="s">
        <v>118</v>
      </c>
      <c r="Q180" s="247" t="str">
        <f>IFERROR(SUM((SUMIFS('capacity data'!$G:$G,'capacity data'!$E:$E,"PO",'capacity data'!$B:$B,P180))-SUMIFS('capacity data'!$H:$H,'capacity data'!$E:$E,"PO",'capacity data'!$B:$B,P180))/SUMIFS('capacity data'!$G:$G,'capacity data'!$E:$E,"PO",'capacity data'!$B:$B,P180),"")</f>
        <v/>
      </c>
      <c r="R180" s="247" t="str">
        <f>IFERROR(SUM((SUMIFS('capacity data'!$G:$G,'capacity data'!$E:$E,"PSO",'capacity data'!$B:$B,P180))-SUMIFS('capacity data'!$H:$H,'capacity data'!$E:$E,"PSO",'capacity data'!$B:$B,P180))/SUMIFS('capacity data'!$G:$G,'capacity data'!$E:$E,"PSO",'capacity data'!$B:$B,P180),"")</f>
        <v/>
      </c>
      <c r="S180" s="24" t="str">
        <f t="shared" si="2"/>
        <v/>
      </c>
      <c r="T180" s="248" t="str">
        <f>IFERROR(SUMIFS('capacity data'!$L:$L,'capacity data'!$B:$B,P180,'capacity data'!$E:$E,"PSO")/SUMIFS('capacity data'!$G:$G,'capacity data'!$E:$E,"PSO",'capacity data'!$B:$B,P180),"")</f>
        <v/>
      </c>
      <c r="U180" s="248" t="str">
        <f>IFERROR(SUMIFS('capacity data'!$L:$L,'capacity data'!$B:$B,P180,'capacity data'!$E:$E,"TPO")/SUMIFS('capacity data'!$G:$G,'capacity data'!$E:$E,"TPO",'capacity data'!$B:$B,P180),"")</f>
        <v/>
      </c>
    </row>
    <row r="4233" spans="14:15" x14ac:dyDescent="0.15">
      <c r="N4233" s="44"/>
      <c r="O4233" s="44"/>
    </row>
    <row r="4355" spans="14:15" x14ac:dyDescent="0.15">
      <c r="N4355" s="44"/>
      <c r="O4355" s="44"/>
    </row>
  </sheetData>
  <sheetProtection selectLockedCells="1" selectUnlockedCells="1"/>
  <autoFilter ref="A1:U7283" xr:uid="{EF883D48-4E9A-4B50-B987-2356E66A4FA2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9">
    <tabColor rgb="FFE27070"/>
  </sheetPr>
  <dimension ref="A1:L1"/>
  <sheetViews>
    <sheetView zoomScale="70" zoomScaleNormal="70" workbookViewId="0">
      <pane ySplit="1" topLeftCell="A1048523" activePane="bottomLeft" state="frozen"/>
      <selection pane="bottomLeft" activeCell="A2" sqref="A2:XFD1048576"/>
    </sheetView>
  </sheetViews>
  <sheetFormatPr baseColWidth="10" defaultColWidth="9.1640625" defaultRowHeight="14" x14ac:dyDescent="0.15"/>
  <cols>
    <col min="1" max="1" width="17.5" customWidth="1"/>
    <col min="2" max="2" width="26.1640625" customWidth="1"/>
    <col min="4" max="4" width="17.5" customWidth="1"/>
    <col min="5" max="5" width="12" customWidth="1"/>
    <col min="6" max="6" width="13.5" customWidth="1"/>
    <col min="7" max="7" width="43.5" bestFit="1" customWidth="1"/>
    <col min="8" max="11" width="9.1640625" customWidth="1"/>
    <col min="12" max="12" width="255.5" bestFit="1" customWidth="1"/>
    <col min="13" max="16384" width="9.1640625" style="3"/>
  </cols>
  <sheetData>
    <row r="1" spans="1:12" ht="30" x14ac:dyDescent="0.15">
      <c r="A1" s="22" t="s">
        <v>1015</v>
      </c>
      <c r="B1" s="22" t="s">
        <v>1041</v>
      </c>
      <c r="C1" s="22" t="s">
        <v>1042</v>
      </c>
      <c r="D1" s="22" t="s">
        <v>1043</v>
      </c>
      <c r="E1" s="22" t="s">
        <v>1018</v>
      </c>
      <c r="F1" s="22" t="s">
        <v>1048</v>
      </c>
      <c r="G1" s="22" t="s">
        <v>1073</v>
      </c>
      <c r="H1" s="22" t="s">
        <v>1074</v>
      </c>
      <c r="I1" s="22" t="s">
        <v>1075</v>
      </c>
      <c r="J1" s="22" t="s">
        <v>1076</v>
      </c>
      <c r="K1" s="22" t="s">
        <v>1077</v>
      </c>
      <c r="L1" s="22" t="s">
        <v>1078</v>
      </c>
    </row>
  </sheetData>
  <sheetProtection selectLockedCells="1" selectUnlockedCells="1"/>
  <autoFilter ref="A1:L1" xr:uid="{00000000-0009-0000-0000-000004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E27070"/>
  </sheetPr>
  <dimension ref="A4:K116"/>
  <sheetViews>
    <sheetView topLeftCell="A32" zoomScale="80" zoomScaleNormal="80" workbookViewId="0">
      <selection activeCell="C17" sqref="C17"/>
    </sheetView>
  </sheetViews>
  <sheetFormatPr baseColWidth="10" defaultColWidth="8.83203125" defaultRowHeight="14" x14ac:dyDescent="0.15"/>
  <cols>
    <col min="1" max="1" width="43.5" style="9" customWidth="1"/>
    <col min="2" max="2" width="9.1640625" style="9"/>
    <col min="3" max="3" width="64.5" style="9" customWidth="1"/>
    <col min="4" max="4" width="4" style="30" customWidth="1"/>
    <col min="5" max="5" width="10" style="30" customWidth="1"/>
    <col min="6" max="6" width="9.1640625" style="9"/>
    <col min="7" max="7" width="51.1640625" style="9" customWidth="1"/>
    <col min="8" max="8" width="33.1640625" style="30" customWidth="1"/>
    <col min="9" max="9" width="32.83203125" style="30" customWidth="1"/>
    <col min="10" max="10" width="32.83203125" style="9" customWidth="1"/>
    <col min="11" max="11" width="9.1640625" style="9"/>
  </cols>
  <sheetData>
    <row r="4" spans="1:9" ht="16" x14ac:dyDescent="0.2">
      <c r="C4" s="14" t="s">
        <v>1111</v>
      </c>
      <c r="D4" s="27"/>
      <c r="E4" s="36"/>
      <c r="G4" s="28" t="s">
        <v>1112</v>
      </c>
      <c r="H4" s="237" t="s">
        <v>1113</v>
      </c>
      <c r="I4" s="237" t="s">
        <v>1114</v>
      </c>
    </row>
    <row r="5" spans="1:9" ht="16" x14ac:dyDescent="0.2">
      <c r="C5" s="14"/>
      <c r="D5" s="27"/>
      <c r="E5" s="36"/>
      <c r="G5" s="28"/>
      <c r="H5" s="237"/>
      <c r="I5" s="237"/>
    </row>
    <row r="6" spans="1:9" ht="16" x14ac:dyDescent="0.2">
      <c r="A6" s="26" t="s">
        <v>1115</v>
      </c>
      <c r="C6" s="16" t="s">
        <v>1115</v>
      </c>
      <c r="D6" s="39">
        <f>COUNTIF('reductions data'!G:G,'reductions workings'!C6)</f>
        <v>0</v>
      </c>
      <c r="E6" s="39">
        <f>D6+0.0001</f>
        <v>1E-4</v>
      </c>
      <c r="G6" s="16" t="s">
        <v>1115</v>
      </c>
      <c r="H6" s="31">
        <f>SUMIF('reductions data'!G:G,'reductions workings'!G6,'reductions data'!H:H)</f>
        <v>0</v>
      </c>
      <c r="I6" s="24" t="e">
        <f>H6/H50</f>
        <v>#DIV/0!</v>
      </c>
    </row>
    <row r="7" spans="1:9" ht="16" x14ac:dyDescent="0.2">
      <c r="A7" s="26" t="s">
        <v>1096</v>
      </c>
      <c r="C7" s="16" t="s">
        <v>1096</v>
      </c>
      <c r="D7" s="39">
        <f>COUNTIF('reductions data'!G:G,'reductions workings'!C7)</f>
        <v>0</v>
      </c>
      <c r="E7" s="39">
        <f>D7+0.0002</f>
        <v>2.0000000000000001E-4</v>
      </c>
      <c r="G7" s="16" t="s">
        <v>1096</v>
      </c>
      <c r="H7" s="31">
        <f>SUMIF('reductions data'!G:G,'reductions workings'!G7,'reductions data'!H:H)</f>
        <v>0</v>
      </c>
      <c r="I7" s="24" t="e">
        <f>H7/H50</f>
        <v>#DIV/0!</v>
      </c>
    </row>
    <row r="8" spans="1:9" ht="16" x14ac:dyDescent="0.2">
      <c r="A8" s="26" t="s">
        <v>1101</v>
      </c>
      <c r="C8" s="16" t="s">
        <v>1101</v>
      </c>
      <c r="D8" s="39">
        <f>COUNTIF('reductions data'!G:G,'reductions workings'!C8)</f>
        <v>0</v>
      </c>
      <c r="E8" s="39">
        <f>D8+0.0003</f>
        <v>2.9999999999999997E-4</v>
      </c>
      <c r="G8" s="16" t="s">
        <v>1101</v>
      </c>
      <c r="H8" s="31">
        <f>SUMIF('reductions data'!G:G,'reductions workings'!G8,'reductions data'!H:H)</f>
        <v>0</v>
      </c>
      <c r="I8" s="24" t="e">
        <f>H8/H50</f>
        <v>#DIV/0!</v>
      </c>
    </row>
    <row r="9" spans="1:9" ht="16" x14ac:dyDescent="0.2">
      <c r="A9" s="26" t="s">
        <v>1079</v>
      </c>
      <c r="C9" s="16" t="s">
        <v>1079</v>
      </c>
      <c r="D9" s="39">
        <f>COUNTIF('reductions data'!G:G,'reductions workings'!C9)</f>
        <v>0</v>
      </c>
      <c r="E9" s="39">
        <f>D9+0.0004</f>
        <v>4.0000000000000002E-4</v>
      </c>
      <c r="G9" s="16" t="s">
        <v>1079</v>
      </c>
      <c r="H9" s="31">
        <f>SUMIF('reductions data'!G:G,'reductions workings'!G9,'reductions data'!H:H)</f>
        <v>0</v>
      </c>
      <c r="I9" s="24" t="e">
        <f>H9/H50</f>
        <v>#DIV/0!</v>
      </c>
    </row>
    <row r="10" spans="1:9" ht="16" x14ac:dyDescent="0.2">
      <c r="A10" s="26" t="s">
        <v>1116</v>
      </c>
      <c r="C10" s="16" t="s">
        <v>1116</v>
      </c>
      <c r="D10" s="39">
        <f>COUNTIF('reductions data'!G:G,'reductions workings'!C10)</f>
        <v>0</v>
      </c>
      <c r="E10" s="39">
        <f>D10+0.0005</f>
        <v>5.0000000000000001E-4</v>
      </c>
      <c r="G10" s="16" t="s">
        <v>1116</v>
      </c>
      <c r="H10" s="31">
        <f>SUMIF('reductions data'!G:G,'reductions workings'!G10,'reductions data'!H:H)</f>
        <v>0</v>
      </c>
      <c r="I10" s="24" t="e">
        <f>H10/H50</f>
        <v>#DIV/0!</v>
      </c>
    </row>
    <row r="11" spans="1:9" ht="16" x14ac:dyDescent="0.2">
      <c r="A11" s="26" t="s">
        <v>1109</v>
      </c>
      <c r="C11" s="16" t="s">
        <v>1109</v>
      </c>
      <c r="D11" s="39">
        <f>COUNTIF('reductions data'!G:G,'reductions workings'!C11)</f>
        <v>0</v>
      </c>
      <c r="E11" s="39">
        <f>D11+0.0006</f>
        <v>5.9999999999999995E-4</v>
      </c>
      <c r="G11" s="16" t="s">
        <v>1109</v>
      </c>
      <c r="H11" s="31">
        <f>SUMIF('reductions data'!G:G,'reductions workings'!G11,'reductions data'!H:H)</f>
        <v>0</v>
      </c>
      <c r="I11" s="24" t="e">
        <f>H11/H50</f>
        <v>#DIV/0!</v>
      </c>
    </row>
    <row r="12" spans="1:9" ht="16" x14ac:dyDescent="0.2">
      <c r="A12" s="26"/>
      <c r="C12" s="16" t="s">
        <v>1089</v>
      </c>
      <c r="D12" s="39">
        <f>COUNTIF('reductions data'!G:G,'reductions workings'!C12)</f>
        <v>0</v>
      </c>
      <c r="E12" s="39">
        <f>D12+0.0006</f>
        <v>5.9999999999999995E-4</v>
      </c>
      <c r="G12" s="16" t="s">
        <v>1089</v>
      </c>
      <c r="H12" s="31">
        <f>SUMIF('reductions data'!G:G,'reductions workings'!G12,'reductions data'!H:H)</f>
        <v>0</v>
      </c>
      <c r="I12" s="24" t="e">
        <f>H12/H50</f>
        <v>#DIV/0!</v>
      </c>
    </row>
    <row r="13" spans="1:9" ht="16" x14ac:dyDescent="0.2">
      <c r="A13" s="26" t="s">
        <v>1117</v>
      </c>
      <c r="C13" s="16" t="s">
        <v>1117</v>
      </c>
      <c r="D13" s="39">
        <f>COUNTIF('reductions data'!G:G,'reductions workings'!C13)</f>
        <v>0</v>
      </c>
      <c r="E13" s="39">
        <f>D13+0.0008</f>
        <v>8.0000000000000004E-4</v>
      </c>
      <c r="G13" s="16" t="s">
        <v>1117</v>
      </c>
      <c r="H13" s="31">
        <f>SUMIF('reductions data'!G:G,'reductions workings'!G13,'reductions data'!H:H)</f>
        <v>0</v>
      </c>
      <c r="I13" s="24" t="e">
        <f>H13/H50</f>
        <v>#DIV/0!</v>
      </c>
    </row>
    <row r="14" spans="1:9" ht="16" x14ac:dyDescent="0.2">
      <c r="A14" s="26" t="s">
        <v>1086</v>
      </c>
      <c r="C14" s="16" t="s">
        <v>1086</v>
      </c>
      <c r="D14" s="39">
        <f>COUNTIF('reductions data'!G:G,'reductions workings'!C14)</f>
        <v>0</v>
      </c>
      <c r="E14" s="39">
        <f>D14+0.0009</f>
        <v>8.9999999999999998E-4</v>
      </c>
      <c r="G14" s="16" t="s">
        <v>1086</v>
      </c>
      <c r="H14" s="31">
        <f>SUMIF('reductions data'!G:G,'reductions workings'!G14,'reductions data'!H:H)</f>
        <v>0</v>
      </c>
      <c r="I14" s="24" t="e">
        <f>H14/H50</f>
        <v>#DIV/0!</v>
      </c>
    </row>
    <row r="15" spans="1:9" ht="16" x14ac:dyDescent="0.2">
      <c r="A15" s="26"/>
      <c r="C15" s="16" t="s">
        <v>1091</v>
      </c>
      <c r="D15" s="39">
        <f>COUNTIF('reductions data'!G:G,'reductions workings'!C15)</f>
        <v>0</v>
      </c>
      <c r="E15" s="39">
        <f>D15+0.0009</f>
        <v>8.9999999999999998E-4</v>
      </c>
      <c r="G15" s="16" t="s">
        <v>1091</v>
      </c>
      <c r="H15" s="31">
        <f>SUMIF('reductions data'!G:G,'reductions workings'!G15,'reductions data'!H:H)</f>
        <v>0</v>
      </c>
      <c r="I15" s="24" t="e">
        <f>H15/H50</f>
        <v>#DIV/0!</v>
      </c>
    </row>
    <row r="16" spans="1:9" ht="16" x14ac:dyDescent="0.2">
      <c r="A16" s="26"/>
      <c r="C16" s="16" t="s">
        <v>1098</v>
      </c>
      <c r="D16" s="39">
        <f>COUNTIF('reductions data'!G:G,'reductions workings'!C16)</f>
        <v>0</v>
      </c>
      <c r="E16" s="39">
        <f>D16+0.0009</f>
        <v>8.9999999999999998E-4</v>
      </c>
      <c r="G16" s="16" t="s">
        <v>1098</v>
      </c>
      <c r="H16" s="31">
        <f>SUMIF('reductions data'!G:G,'reductions workings'!G16,'reductions data'!H:H)</f>
        <v>0</v>
      </c>
      <c r="I16" s="24" t="e">
        <f>H16/H51</f>
        <v>#DIV/0!</v>
      </c>
    </row>
    <row r="17" spans="1:9" ht="16" x14ac:dyDescent="0.2">
      <c r="A17" s="26" t="s">
        <v>1102</v>
      </c>
      <c r="C17" s="16" t="s">
        <v>1102</v>
      </c>
      <c r="D17" s="39">
        <f>COUNTIF('reductions data'!G:G,'reductions workings'!C17)</f>
        <v>0</v>
      </c>
      <c r="E17" s="39">
        <f>D17+0.00011</f>
        <v>1.1E-4</v>
      </c>
      <c r="G17" s="16" t="s">
        <v>1102</v>
      </c>
      <c r="H17" s="31">
        <f>SUMIF('reductions data'!G:G,'reductions workings'!G17,'reductions data'!H:H)</f>
        <v>0</v>
      </c>
      <c r="I17" s="24" t="e">
        <f>H17/H50</f>
        <v>#DIV/0!</v>
      </c>
    </row>
    <row r="18" spans="1:9" ht="16" x14ac:dyDescent="0.2">
      <c r="A18" s="26" t="s">
        <v>1085</v>
      </c>
      <c r="C18" s="16" t="s">
        <v>1085</v>
      </c>
      <c r="D18" s="39">
        <f>COUNTIF('reductions data'!G:G,'reductions workings'!C18)</f>
        <v>0</v>
      </c>
      <c r="E18" s="39">
        <f>D18+0.00012</f>
        <v>1.2E-4</v>
      </c>
      <c r="G18" s="16" t="s">
        <v>1085</v>
      </c>
      <c r="H18" s="31">
        <f>SUMIF('reductions data'!G:G,'reductions workings'!G18,'reductions data'!H:H)</f>
        <v>0</v>
      </c>
      <c r="I18" s="24" t="e">
        <f>H18/H50</f>
        <v>#DIV/0!</v>
      </c>
    </row>
    <row r="19" spans="1:9" ht="16" x14ac:dyDescent="0.2">
      <c r="A19" s="26" t="s">
        <v>1092</v>
      </c>
      <c r="C19" s="16" t="s">
        <v>1092</v>
      </c>
      <c r="D19" s="39">
        <f>COUNTIF('reductions data'!G:G,'reductions workings'!C19)</f>
        <v>0</v>
      </c>
      <c r="E19" s="39">
        <f>D19+0.00013</f>
        <v>1.2999999999999999E-4</v>
      </c>
      <c r="G19" s="16" t="s">
        <v>1092</v>
      </c>
      <c r="H19" s="31">
        <f>SUMIF('reductions data'!G:G,'reductions workings'!G19,'reductions data'!H:H)</f>
        <v>0</v>
      </c>
      <c r="I19" s="24" t="e">
        <f>H19/H50</f>
        <v>#DIV/0!</v>
      </c>
    </row>
    <row r="20" spans="1:9" ht="16" x14ac:dyDescent="0.2">
      <c r="A20" s="26" t="s">
        <v>1118</v>
      </c>
      <c r="C20" s="16" t="s">
        <v>1118</v>
      </c>
      <c r="D20" s="39">
        <f>COUNTIF('reductions data'!G:G,'reductions workings'!C20)</f>
        <v>0</v>
      </c>
      <c r="E20" s="39">
        <f>D20+0.00014</f>
        <v>1.3999999999999999E-4</v>
      </c>
      <c r="G20" s="16" t="s">
        <v>1118</v>
      </c>
      <c r="H20" s="31">
        <f>SUMIF('reductions data'!G:G,'reductions workings'!G20,'reductions data'!H:H)</f>
        <v>0</v>
      </c>
      <c r="I20" s="24" t="e">
        <f>H20/H50</f>
        <v>#DIV/0!</v>
      </c>
    </row>
    <row r="21" spans="1:9" ht="16" x14ac:dyDescent="0.2">
      <c r="A21" s="26" t="s">
        <v>1119</v>
      </c>
      <c r="C21" s="16" t="s">
        <v>1094</v>
      </c>
      <c r="D21" s="39">
        <f>COUNTIF('reductions data'!G:G,'reductions workings'!C21)</f>
        <v>0</v>
      </c>
      <c r="E21" s="39">
        <f>D21+0.00015</f>
        <v>1.4999999999999999E-4</v>
      </c>
      <c r="G21" s="16" t="s">
        <v>1094</v>
      </c>
      <c r="H21" s="31">
        <f>SUMIF('reductions data'!G:G,'reductions workings'!G21,'reductions data'!H:H)</f>
        <v>0</v>
      </c>
      <c r="I21" s="24" t="e">
        <f>H21/H50</f>
        <v>#DIV/0!</v>
      </c>
    </row>
    <row r="22" spans="1:9" ht="16" x14ac:dyDescent="0.2">
      <c r="A22" s="26" t="s">
        <v>1120</v>
      </c>
      <c r="C22" s="16" t="s">
        <v>1120</v>
      </c>
      <c r="D22" s="39">
        <f>COUNTIF('reductions data'!G:G,'reductions workings'!C22)</f>
        <v>0</v>
      </c>
      <c r="E22" s="39">
        <f>D22+0.00016</f>
        <v>1.6000000000000001E-4</v>
      </c>
      <c r="G22" s="16" t="s">
        <v>1120</v>
      </c>
      <c r="H22" s="31">
        <f>SUMIF('reductions data'!G:G,'reductions workings'!G22,'reductions data'!H:H)</f>
        <v>0</v>
      </c>
      <c r="I22" s="24" t="e">
        <f>H22/H50</f>
        <v>#DIV/0!</v>
      </c>
    </row>
    <row r="23" spans="1:9" ht="16" x14ac:dyDescent="0.2">
      <c r="A23" s="26" t="s">
        <v>1121</v>
      </c>
      <c r="C23" s="16" t="s">
        <v>1121</v>
      </c>
      <c r="D23" s="39">
        <f>COUNTIF('reductions data'!G:G,'reductions workings'!C23)</f>
        <v>0</v>
      </c>
      <c r="E23" s="39">
        <f>D23+0.00017</f>
        <v>1.7000000000000001E-4</v>
      </c>
      <c r="G23" s="16" t="s">
        <v>1121</v>
      </c>
      <c r="H23" s="31">
        <f>SUMIF('reductions data'!G:G,'reductions workings'!G23,'reductions data'!H:H)</f>
        <v>0</v>
      </c>
      <c r="I23" s="24" t="e">
        <f>H23/H50</f>
        <v>#DIV/0!</v>
      </c>
    </row>
    <row r="24" spans="1:9" ht="16" x14ac:dyDescent="0.2">
      <c r="A24" s="26" t="s">
        <v>1081</v>
      </c>
      <c r="C24" s="16" t="s">
        <v>1081</v>
      </c>
      <c r="D24" s="39">
        <f>COUNTIF('reductions data'!G:G,'reductions workings'!C24)</f>
        <v>0</v>
      </c>
      <c r="E24" s="39">
        <f>D24+0.00018</f>
        <v>1.8000000000000001E-4</v>
      </c>
      <c r="G24" s="16" t="s">
        <v>1081</v>
      </c>
      <c r="H24" s="31">
        <f>SUMIF('reductions data'!G:G,'reductions workings'!G24,'reductions data'!H:H)</f>
        <v>0</v>
      </c>
      <c r="I24" s="24" t="e">
        <f>H24/H50</f>
        <v>#DIV/0!</v>
      </c>
    </row>
    <row r="25" spans="1:9" ht="16" x14ac:dyDescent="0.2">
      <c r="A25" s="26" t="s">
        <v>1122</v>
      </c>
      <c r="C25" s="16" t="s">
        <v>1122</v>
      </c>
      <c r="D25" s="39">
        <f>COUNTIF('reductions data'!G:G,'reductions workings'!C25)</f>
        <v>0</v>
      </c>
      <c r="E25" s="39">
        <f>D25+0.00019</f>
        <v>1.9000000000000001E-4</v>
      </c>
      <c r="G25" s="16" t="s">
        <v>1122</v>
      </c>
      <c r="H25" s="31">
        <f>SUMIF('reductions data'!G:G,'reductions workings'!G25,'reductions data'!H:H)</f>
        <v>0</v>
      </c>
      <c r="I25" s="24" t="e">
        <f>H25/H50</f>
        <v>#DIV/0!</v>
      </c>
    </row>
    <row r="26" spans="1:9" ht="16" x14ac:dyDescent="0.2">
      <c r="A26" s="26" t="s">
        <v>1093</v>
      </c>
      <c r="C26" s="16" t="s">
        <v>1093</v>
      </c>
      <c r="D26" s="39">
        <f>COUNTIF('reductions data'!G:G,'reductions workings'!C26)</f>
        <v>0</v>
      </c>
      <c r="E26" s="39">
        <f>D26+0.00021</f>
        <v>2.1000000000000001E-4</v>
      </c>
      <c r="G26" s="16" t="s">
        <v>1093</v>
      </c>
      <c r="H26" s="31">
        <f>SUMIF('reductions data'!G:G,'reductions workings'!G26,'reductions data'!H:H)</f>
        <v>0</v>
      </c>
      <c r="I26" s="24" t="e">
        <f>H26/H50</f>
        <v>#DIV/0!</v>
      </c>
    </row>
    <row r="27" spans="1:9" ht="16" x14ac:dyDescent="0.2">
      <c r="A27" s="26" t="s">
        <v>1123</v>
      </c>
      <c r="C27" s="16" t="s">
        <v>1123</v>
      </c>
      <c r="D27" s="39">
        <f>COUNTIF('reductions data'!G:G,'reductions workings'!C27)</f>
        <v>0</v>
      </c>
      <c r="E27" s="39">
        <f>D27+0.00022</f>
        <v>2.2000000000000001E-4</v>
      </c>
      <c r="G27" s="16" t="s">
        <v>1123</v>
      </c>
      <c r="H27" s="31">
        <f>SUMIF('reductions data'!G:G,'reductions workings'!G27,'reductions data'!H:H)</f>
        <v>0</v>
      </c>
      <c r="I27" s="24" t="e">
        <f>H27/H50</f>
        <v>#DIV/0!</v>
      </c>
    </row>
    <row r="28" spans="1:9" ht="16" x14ac:dyDescent="0.2">
      <c r="A28" s="26" t="s">
        <v>1124</v>
      </c>
      <c r="C28" s="16" t="s">
        <v>1124</v>
      </c>
      <c r="D28" s="39">
        <f>COUNTIF('reductions data'!G:G,'reductions workings'!C28)</f>
        <v>0</v>
      </c>
      <c r="E28" s="39">
        <f>D28+0.00023</f>
        <v>2.3000000000000001E-4</v>
      </c>
      <c r="G28" s="16" t="s">
        <v>1124</v>
      </c>
      <c r="H28" s="31">
        <f>SUMIF('reductions data'!G:G,'reductions workings'!G28,'reductions data'!H:H)</f>
        <v>0</v>
      </c>
      <c r="I28" s="24" t="e">
        <f>H28/H50</f>
        <v>#DIV/0!</v>
      </c>
    </row>
    <row r="29" spans="1:9" ht="16" x14ac:dyDescent="0.2">
      <c r="A29" s="26" t="s">
        <v>1088</v>
      </c>
      <c r="C29" s="16" t="s">
        <v>1088</v>
      </c>
      <c r="D29" s="39">
        <f>COUNTIF('reductions data'!G:G,'reductions workings'!C29)</f>
        <v>0</v>
      </c>
      <c r="E29" s="39">
        <f>D29+0.00024</f>
        <v>2.4000000000000001E-4</v>
      </c>
      <c r="G29" s="16" t="s">
        <v>1088</v>
      </c>
      <c r="H29" s="31">
        <f>SUMIF('reductions data'!G:G,'reductions workings'!G29,'reductions data'!H:H)</f>
        <v>0</v>
      </c>
      <c r="I29" s="24" t="e">
        <f>H29/H50</f>
        <v>#DIV/0!</v>
      </c>
    </row>
    <row r="30" spans="1:9" ht="16" x14ac:dyDescent="0.2">
      <c r="A30" s="26" t="s">
        <v>1125</v>
      </c>
      <c r="C30" s="16" t="s">
        <v>1125</v>
      </c>
      <c r="D30" s="39">
        <f>COUNTIF('reductions data'!G:G,'reductions workings'!C30)</f>
        <v>0</v>
      </c>
      <c r="E30" s="39">
        <f>D30+0.00025</f>
        <v>2.5000000000000001E-4</v>
      </c>
      <c r="G30" s="16" t="s">
        <v>1125</v>
      </c>
      <c r="H30" s="31">
        <f>SUMIF('reductions data'!G:G,'reductions workings'!G30,'reductions data'!H:H)</f>
        <v>0</v>
      </c>
      <c r="I30" s="24" t="e">
        <f>H30/H50</f>
        <v>#DIV/0!</v>
      </c>
    </row>
    <row r="31" spans="1:9" ht="16" x14ac:dyDescent="0.2">
      <c r="A31" s="26"/>
      <c r="C31" s="16" t="s">
        <v>1104</v>
      </c>
      <c r="D31" s="39">
        <f>COUNTIF('reductions data'!G:G,'reductions workings'!C31)</f>
        <v>0</v>
      </c>
      <c r="E31" s="39">
        <f>D31+0.00025</f>
        <v>2.5000000000000001E-4</v>
      </c>
      <c r="G31" s="16" t="s">
        <v>1104</v>
      </c>
      <c r="H31" s="31">
        <f>SUMIF('reductions data'!G:G,'reductions workings'!G31,'reductions data'!H:H)</f>
        <v>0</v>
      </c>
      <c r="I31" s="24" t="e">
        <f>H31/H50</f>
        <v>#DIV/0!</v>
      </c>
    </row>
    <row r="32" spans="1:9" ht="16" x14ac:dyDescent="0.2">
      <c r="A32" s="26" t="s">
        <v>1107</v>
      </c>
      <c r="C32" s="16" t="s">
        <v>1107</v>
      </c>
      <c r="D32" s="39">
        <f>COUNTIF('reductions data'!G:G,'reductions workings'!C32)</f>
        <v>0</v>
      </c>
      <c r="E32" s="39">
        <f>D32+0.00026</f>
        <v>2.5999999999999998E-4</v>
      </c>
      <c r="G32" s="16" t="s">
        <v>1107</v>
      </c>
      <c r="H32" s="31">
        <f>SUMIF('reductions data'!G:G,'reductions workings'!G32,'reductions data'!H:H)</f>
        <v>0</v>
      </c>
      <c r="I32" s="24" t="e">
        <f>H32/H50</f>
        <v>#DIV/0!</v>
      </c>
    </row>
    <row r="33" spans="1:9" ht="16" x14ac:dyDescent="0.2">
      <c r="A33" s="26" t="s">
        <v>1099</v>
      </c>
      <c r="C33" s="16" t="s">
        <v>1099</v>
      </c>
      <c r="D33" s="39">
        <f>COUNTIF('reductions data'!G:G,'reductions workings'!C33)</f>
        <v>0</v>
      </c>
      <c r="E33" s="39">
        <f>D33+0.00027</f>
        <v>2.7E-4</v>
      </c>
      <c r="G33" s="16" t="s">
        <v>1099</v>
      </c>
      <c r="H33" s="31">
        <f>SUMIF('reductions data'!G:G,'reductions workings'!G33,'reductions data'!H:H)</f>
        <v>0</v>
      </c>
      <c r="I33" s="24" t="e">
        <f>H33/H50</f>
        <v>#DIV/0!</v>
      </c>
    </row>
    <row r="34" spans="1:9" ht="16" x14ac:dyDescent="0.2">
      <c r="A34" s="26" t="s">
        <v>1082</v>
      </c>
      <c r="C34" s="16" t="s">
        <v>1082</v>
      </c>
      <c r="D34" s="39">
        <f>COUNTIF('reductions data'!G:G,'reductions workings'!C34)</f>
        <v>0</v>
      </c>
      <c r="E34" s="39">
        <f>D34+0.00028</f>
        <v>2.7999999999999998E-4</v>
      </c>
      <c r="G34" s="16" t="s">
        <v>1082</v>
      </c>
      <c r="H34" s="31">
        <f>SUMIF('reductions data'!G:G,'reductions workings'!G34,'reductions data'!H:H)</f>
        <v>0</v>
      </c>
      <c r="I34" s="24" t="e">
        <f>H34/H50</f>
        <v>#DIV/0!</v>
      </c>
    </row>
    <row r="35" spans="1:9" ht="16" x14ac:dyDescent="0.2">
      <c r="A35" s="26" t="s">
        <v>1090</v>
      </c>
      <c r="C35" s="16" t="s">
        <v>1090</v>
      </c>
      <c r="D35" s="39">
        <f>COUNTIF('reductions data'!G:G,'reductions workings'!C35)</f>
        <v>0</v>
      </c>
      <c r="E35" s="39">
        <f>D35+0.00029</f>
        <v>2.9E-4</v>
      </c>
      <c r="G35" s="16" t="s">
        <v>1090</v>
      </c>
      <c r="H35" s="31">
        <f>SUMIF('reductions data'!G:G,'reductions workings'!G35,'reductions data'!H:H)</f>
        <v>0</v>
      </c>
      <c r="I35" s="24" t="e">
        <f>H35/H50</f>
        <v>#DIV/0!</v>
      </c>
    </row>
    <row r="36" spans="1:9" ht="16" x14ac:dyDescent="0.2">
      <c r="A36" s="26" t="s">
        <v>1080</v>
      </c>
      <c r="C36" s="16" t="s">
        <v>1080</v>
      </c>
      <c r="D36" s="39">
        <f>COUNTIF('reductions data'!G:G,'reductions workings'!C36)</f>
        <v>0</v>
      </c>
      <c r="E36" s="39">
        <f>D36+0.00031</f>
        <v>3.1E-4</v>
      </c>
      <c r="G36" s="16" t="s">
        <v>1080</v>
      </c>
      <c r="H36" s="31">
        <f>SUMIF('reductions data'!G:G,'reductions workings'!G36,'reductions data'!H:H)</f>
        <v>0</v>
      </c>
      <c r="I36" s="24" t="e">
        <f>H36/H50</f>
        <v>#DIV/0!</v>
      </c>
    </row>
    <row r="37" spans="1:9" ht="16" x14ac:dyDescent="0.2">
      <c r="A37" s="26" t="s">
        <v>1087</v>
      </c>
      <c r="C37" s="16" t="s">
        <v>1087</v>
      </c>
      <c r="D37" s="39">
        <f>COUNTIF('reductions data'!G:G,'reductions workings'!C37)</f>
        <v>0</v>
      </c>
      <c r="E37" s="39">
        <f>D37+0.00032</f>
        <v>3.2000000000000003E-4</v>
      </c>
      <c r="G37" s="16" t="s">
        <v>1087</v>
      </c>
      <c r="H37" s="31">
        <f>SUMIF('reductions data'!G:G,'reductions workings'!G37,'reductions data'!H:H)</f>
        <v>0</v>
      </c>
      <c r="I37" s="24" t="e">
        <f>H37/H50</f>
        <v>#DIV/0!</v>
      </c>
    </row>
    <row r="38" spans="1:9" ht="16" x14ac:dyDescent="0.2">
      <c r="A38" s="26" t="s">
        <v>1126</v>
      </c>
      <c r="C38" s="16" t="s">
        <v>1105</v>
      </c>
      <c r="D38" s="39">
        <f>COUNTIF('reductions data'!G:G,'reductions workings'!C38)</f>
        <v>0</v>
      </c>
      <c r="E38" s="39">
        <f>D38+0.00033</f>
        <v>3.3E-4</v>
      </c>
      <c r="G38" s="16" t="s">
        <v>1105</v>
      </c>
      <c r="H38" s="31">
        <f>SUMIF('reductions data'!G:G,'reductions workings'!G38,'reductions data'!H:H)</f>
        <v>0</v>
      </c>
      <c r="I38" s="24" t="e">
        <f>H38/H50</f>
        <v>#DIV/0!</v>
      </c>
    </row>
    <row r="39" spans="1:9" ht="16" x14ac:dyDescent="0.2">
      <c r="A39" s="26"/>
      <c r="C39" s="16" t="s">
        <v>1108</v>
      </c>
      <c r="D39" s="39">
        <f>COUNTIF('reductions data'!G:G,'reductions workings'!C39)</f>
        <v>0</v>
      </c>
      <c r="E39" s="39">
        <f t="shared" ref="E39:E41" si="0">D39+0.00033</f>
        <v>3.3E-4</v>
      </c>
      <c r="G39" s="16" t="s">
        <v>1108</v>
      </c>
      <c r="H39" s="31">
        <f>SUMIF('reductions data'!G:G,'reductions workings'!G39,'reductions data'!H:H)</f>
        <v>0</v>
      </c>
      <c r="I39" s="24" t="e">
        <f>H39/H50</f>
        <v>#DIV/0!</v>
      </c>
    </row>
    <row r="40" spans="1:9" ht="16" x14ac:dyDescent="0.2">
      <c r="A40" s="26"/>
      <c r="C40" s="16" t="s">
        <v>1106</v>
      </c>
      <c r="D40" s="39">
        <f>COUNTIF('reductions data'!G:G,'reductions workings'!C40)</f>
        <v>0</v>
      </c>
      <c r="E40" s="39">
        <f t="shared" si="0"/>
        <v>3.3E-4</v>
      </c>
      <c r="G40" s="16" t="s">
        <v>1106</v>
      </c>
      <c r="H40" s="31">
        <f>SUMIF('reductions data'!G:G,'reductions workings'!G40,'reductions data'!H:H)</f>
        <v>0</v>
      </c>
      <c r="I40" s="24" t="e">
        <f>H40/H50</f>
        <v>#DIV/0!</v>
      </c>
    </row>
    <row r="41" spans="1:9" ht="16" x14ac:dyDescent="0.2">
      <c r="A41" s="26"/>
      <c r="C41" s="16" t="s">
        <v>1095</v>
      </c>
      <c r="D41" s="39">
        <f>COUNTIF('reductions data'!G:G,'reductions workings'!C41)</f>
        <v>0</v>
      </c>
      <c r="E41" s="39">
        <f t="shared" si="0"/>
        <v>3.3E-4</v>
      </c>
      <c r="G41" s="16" t="s">
        <v>1095</v>
      </c>
      <c r="H41" s="31">
        <f>SUMIF('reductions data'!G:G,'reductions workings'!G41,'reductions data'!H:H)</f>
        <v>0</v>
      </c>
      <c r="I41" s="24" t="e">
        <f>H41/H50</f>
        <v>#DIV/0!</v>
      </c>
    </row>
    <row r="42" spans="1:9" ht="16" x14ac:dyDescent="0.2">
      <c r="A42" s="26" t="s">
        <v>1100</v>
      </c>
      <c r="C42" s="16" t="s">
        <v>1100</v>
      </c>
      <c r="D42" s="39">
        <f>COUNTIF('reductions data'!G:G,'reductions workings'!C42)</f>
        <v>0</v>
      </c>
      <c r="E42" s="39">
        <f>D42+0.00034</f>
        <v>3.4000000000000002E-4</v>
      </c>
      <c r="G42" s="16" t="s">
        <v>1100</v>
      </c>
      <c r="H42" s="31">
        <f>SUMIF('reductions data'!G:G,'reductions workings'!G42,'reductions data'!H:H)</f>
        <v>0</v>
      </c>
      <c r="I42" s="24" t="e">
        <f>H42/H50</f>
        <v>#DIV/0!</v>
      </c>
    </row>
    <row r="43" spans="1:9" ht="16" x14ac:dyDescent="0.2">
      <c r="A43" s="26" t="s">
        <v>1127</v>
      </c>
      <c r="C43" s="16" t="s">
        <v>1127</v>
      </c>
      <c r="D43" s="39">
        <f>COUNTIF('reductions data'!G:G,'reductions workings'!C43)</f>
        <v>0</v>
      </c>
      <c r="E43" s="39">
        <f>D43+0.00035</f>
        <v>3.5E-4</v>
      </c>
      <c r="G43" s="16" t="s">
        <v>1127</v>
      </c>
      <c r="H43" s="31">
        <f>SUMIF('reductions data'!G:G,'reductions workings'!G43,'reductions data'!H:H)</f>
        <v>0</v>
      </c>
      <c r="I43" s="24" t="e">
        <f>H43/H50</f>
        <v>#DIV/0!</v>
      </c>
    </row>
    <row r="44" spans="1:9" ht="16" x14ac:dyDescent="0.2">
      <c r="A44" s="26" t="s">
        <v>1097</v>
      </c>
      <c r="C44" s="16" t="s">
        <v>1097</v>
      </c>
      <c r="D44" s="39">
        <f>COUNTIF('reductions data'!G:G,'reductions workings'!C44)</f>
        <v>0</v>
      </c>
      <c r="E44" s="39">
        <f>D44+0.00036</f>
        <v>3.6000000000000002E-4</v>
      </c>
      <c r="G44" s="16" t="s">
        <v>1097</v>
      </c>
      <c r="H44" s="31">
        <f>SUMIF('reductions data'!G:G,'reductions workings'!G44,'reductions data'!H:H)</f>
        <v>0</v>
      </c>
      <c r="I44" s="24" t="e">
        <f>H44/H50</f>
        <v>#DIV/0!</v>
      </c>
    </row>
    <row r="45" spans="1:9" ht="16" x14ac:dyDescent="0.2">
      <c r="A45" s="26" t="s">
        <v>1128</v>
      </c>
      <c r="C45" s="16" t="s">
        <v>1128</v>
      </c>
      <c r="D45" s="39">
        <f>COUNTIF('reductions data'!G:G,'reductions workings'!C45)</f>
        <v>0</v>
      </c>
      <c r="E45" s="39">
        <f>D45+0.00037</f>
        <v>3.6999999999999999E-4</v>
      </c>
      <c r="G45" s="16" t="s">
        <v>1128</v>
      </c>
      <c r="H45" s="31">
        <f>SUMIF('reductions data'!G:G,'reductions workings'!G45,'reductions data'!H:H)</f>
        <v>0</v>
      </c>
      <c r="I45" s="24" t="e">
        <f>H45/H50</f>
        <v>#DIV/0!</v>
      </c>
    </row>
    <row r="46" spans="1:9" ht="16" x14ac:dyDescent="0.2">
      <c r="A46" s="26" t="s">
        <v>1083</v>
      </c>
      <c r="C46" s="16" t="s">
        <v>1083</v>
      </c>
      <c r="D46" s="39">
        <f>COUNTIF('reductions data'!G:G,'reductions workings'!C46)</f>
        <v>0</v>
      </c>
      <c r="E46" s="39">
        <f>D46+0.00038</f>
        <v>3.8000000000000002E-4</v>
      </c>
      <c r="G46" s="16" t="s">
        <v>1083</v>
      </c>
      <c r="H46" s="31">
        <f>SUMIF('reductions data'!G:G,'reductions workings'!G46,'reductions data'!H:H)</f>
        <v>0</v>
      </c>
      <c r="I46" s="24" t="e">
        <f>H46/H50</f>
        <v>#DIV/0!</v>
      </c>
    </row>
    <row r="47" spans="1:9" ht="16" x14ac:dyDescent="0.2">
      <c r="A47" s="26" t="s">
        <v>1084</v>
      </c>
      <c r="C47" s="16" t="s">
        <v>1084</v>
      </c>
      <c r="D47" s="39">
        <f>COUNTIF('reductions data'!G:G,'reductions workings'!C47)</f>
        <v>0</v>
      </c>
      <c r="E47" s="39">
        <f>D47+0.00039</f>
        <v>3.8999999999999999E-4</v>
      </c>
      <c r="G47" s="16" t="s">
        <v>1084</v>
      </c>
      <c r="H47" s="31">
        <f>SUMIF('reductions data'!G:G,'reductions workings'!G47,'reductions data'!H:H)</f>
        <v>0</v>
      </c>
      <c r="I47" s="24" t="e">
        <f>H47/H50</f>
        <v>#DIV/0!</v>
      </c>
    </row>
    <row r="48" spans="1:9" ht="16" x14ac:dyDescent="0.2">
      <c r="A48" s="26" t="s">
        <v>1110</v>
      </c>
      <c r="C48" s="16" t="s">
        <v>1110</v>
      </c>
      <c r="D48" s="39">
        <f>COUNTIF('reductions data'!G:G,'reductions workings'!C48)</f>
        <v>0</v>
      </c>
      <c r="E48" s="39">
        <f>D48+0.00039</f>
        <v>3.8999999999999999E-4</v>
      </c>
      <c r="G48" s="16" t="s">
        <v>1110</v>
      </c>
      <c r="H48" s="31">
        <f>SUMIF('reductions data'!G:G,'reductions workings'!G48,'reductions data'!H:H)</f>
        <v>0</v>
      </c>
      <c r="I48" s="24" t="e">
        <f>H48/H50</f>
        <v>#DIV/0!</v>
      </c>
    </row>
    <row r="49" spans="1:9" ht="16" x14ac:dyDescent="0.2">
      <c r="A49" s="26" t="s">
        <v>1103</v>
      </c>
      <c r="C49" s="16" t="s">
        <v>1103</v>
      </c>
      <c r="D49" s="39">
        <f>COUNTIF('reductions data'!G:G,'reductions workings'!C49)</f>
        <v>0</v>
      </c>
      <c r="E49" s="39">
        <f>D49+0.00041</f>
        <v>4.0999999999999999E-4</v>
      </c>
      <c r="G49" s="16" t="s">
        <v>1103</v>
      </c>
      <c r="H49" s="31">
        <f>SUMIF('reductions data'!G:G,'reductions workings'!G49,'reductions data'!H:H)</f>
        <v>0</v>
      </c>
      <c r="I49" s="24" t="e">
        <f>H49/H50</f>
        <v>#DIV/0!</v>
      </c>
    </row>
    <row r="50" spans="1:9" ht="18" x14ac:dyDescent="0.2">
      <c r="C50" s="29" t="s">
        <v>1129</v>
      </c>
      <c r="D50" s="260">
        <f>SUM(D6:D49)</f>
        <v>0</v>
      </c>
      <c r="E50" s="261"/>
      <c r="G50" s="29" t="s">
        <v>1130</v>
      </c>
      <c r="H50" s="260">
        <f>SUM(H6:H49)</f>
        <v>0</v>
      </c>
      <c r="I50" s="262"/>
    </row>
    <row r="88" spans="4:9" x14ac:dyDescent="0.15">
      <c r="D88" s="9"/>
      <c r="E88" s="9"/>
      <c r="H88" s="9"/>
      <c r="I88" s="9"/>
    </row>
    <row r="89" spans="4:9" x14ac:dyDescent="0.15">
      <c r="D89" s="9"/>
      <c r="E89" s="9"/>
      <c r="H89" s="9"/>
      <c r="I89" s="9"/>
    </row>
    <row r="90" spans="4:9" x14ac:dyDescent="0.15">
      <c r="D90" s="9"/>
      <c r="E90" s="9"/>
      <c r="H90" s="9"/>
      <c r="I90" s="9"/>
    </row>
    <row r="91" spans="4:9" x14ac:dyDescent="0.15">
      <c r="D91" s="9"/>
      <c r="E91" s="9"/>
      <c r="H91" s="9"/>
      <c r="I91" s="9"/>
    </row>
    <row r="92" spans="4:9" x14ac:dyDescent="0.15">
      <c r="D92" s="9"/>
      <c r="E92" s="9"/>
      <c r="H92" s="9"/>
      <c r="I92" s="9"/>
    </row>
    <row r="93" spans="4:9" x14ac:dyDescent="0.15">
      <c r="D93" s="9"/>
      <c r="E93" s="9"/>
      <c r="H93" s="9"/>
      <c r="I93" s="9"/>
    </row>
    <row r="94" spans="4:9" x14ac:dyDescent="0.15">
      <c r="D94" s="9"/>
      <c r="E94" s="9"/>
      <c r="H94" s="9"/>
      <c r="I94" s="9"/>
    </row>
    <row r="95" spans="4:9" x14ac:dyDescent="0.15">
      <c r="D95" s="9"/>
      <c r="E95" s="9"/>
      <c r="H95" s="9"/>
      <c r="I95" s="9"/>
    </row>
    <row r="96" spans="4:9" x14ac:dyDescent="0.15">
      <c r="D96" s="9"/>
      <c r="E96" s="9"/>
      <c r="H96" s="9"/>
      <c r="I96" s="9"/>
    </row>
    <row r="97" spans="4:9" x14ac:dyDescent="0.15">
      <c r="D97" s="9"/>
      <c r="E97" s="9"/>
      <c r="H97" s="9"/>
      <c r="I97" s="9"/>
    </row>
    <row r="98" spans="4:9" x14ac:dyDescent="0.15">
      <c r="D98" s="9"/>
      <c r="E98" s="9"/>
      <c r="H98" s="9"/>
      <c r="I98" s="9"/>
    </row>
    <row r="99" spans="4:9" x14ac:dyDescent="0.15">
      <c r="D99" s="9"/>
      <c r="E99" s="9"/>
      <c r="H99" s="9"/>
      <c r="I99" s="9"/>
    </row>
    <row r="100" spans="4:9" x14ac:dyDescent="0.15">
      <c r="D100" s="9"/>
      <c r="E100" s="9"/>
      <c r="H100" s="9"/>
      <c r="I100" s="9"/>
    </row>
    <row r="101" spans="4:9" x14ac:dyDescent="0.15">
      <c r="D101" s="9"/>
      <c r="E101" s="9"/>
      <c r="H101" s="9"/>
      <c r="I101" s="9"/>
    </row>
    <row r="116" spans="1:11" x14ac:dyDescent="0.15">
      <c r="A116" s="32"/>
      <c r="B116" s="32"/>
      <c r="C116" s="32"/>
      <c r="D116" s="33"/>
      <c r="E116" s="33"/>
      <c r="F116" s="32"/>
      <c r="G116" s="32"/>
      <c r="H116" s="33"/>
      <c r="I116" s="33"/>
      <c r="J116" s="32"/>
      <c r="K116" s="32"/>
    </row>
  </sheetData>
  <sheetProtection selectLockedCells="1" selectUnlockedCells="1"/>
  <mergeCells count="2">
    <mergeCell ref="D50:E50"/>
    <mergeCell ref="H50:I5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S1"/>
  <sheetViews>
    <sheetView showRowColHeaders="0" workbookViewId="0">
      <selection activeCell="A2" sqref="A2"/>
    </sheetView>
  </sheetViews>
  <sheetFormatPr baseColWidth="10" defaultColWidth="8.83203125" defaultRowHeight="14" x14ac:dyDescent="0.15"/>
  <sheetData>
    <row r="1" spans="1:19" ht="40.5" customHeight="1" x14ac:dyDescent="0.15">
      <c r="A1" s="263" t="s">
        <v>1131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</row>
  </sheetData>
  <mergeCells count="1">
    <mergeCell ref="A1:S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K124"/>
  <sheetViews>
    <sheetView showGridLines="0" topLeftCell="A34" zoomScale="70" zoomScaleNormal="70" workbookViewId="0">
      <selection activeCell="A41" sqref="A41:XFD41"/>
    </sheetView>
  </sheetViews>
  <sheetFormatPr baseColWidth="10" defaultColWidth="9.1640625" defaultRowHeight="14" x14ac:dyDescent="0.15"/>
  <cols>
    <col min="2" max="2" width="39.5" customWidth="1"/>
    <col min="3" max="3" width="14.5" bestFit="1" customWidth="1"/>
    <col min="4" max="4" width="17.5" customWidth="1"/>
    <col min="5" max="5" width="14.83203125" customWidth="1"/>
    <col min="6" max="6" width="17.1640625" customWidth="1"/>
    <col min="7" max="7" width="17.5" customWidth="1"/>
    <col min="8" max="8" width="22.1640625" bestFit="1" customWidth="1"/>
    <col min="9" max="9" width="17.5" customWidth="1"/>
    <col min="10" max="10" width="15.5" customWidth="1"/>
    <col min="11" max="11" width="35" bestFit="1" customWidth="1"/>
    <col min="12" max="12" width="16" customWidth="1"/>
    <col min="13" max="13" width="15.5" customWidth="1"/>
    <col min="21" max="21" width="43.5" bestFit="1" customWidth="1"/>
  </cols>
  <sheetData>
    <row r="1" spans="1:19" ht="60.75" customHeight="1" x14ac:dyDescent="0.15">
      <c r="A1" s="273" t="s">
        <v>1132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</row>
    <row r="2" spans="1:19" ht="28.5" customHeight="1" x14ac:dyDescent="0.15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</row>
    <row r="4" spans="1:19" ht="36" customHeight="1" x14ac:dyDescent="0.15">
      <c r="B4" s="40" t="s">
        <v>1133</v>
      </c>
    </row>
    <row r="5" spans="1:19" ht="39" customHeight="1" x14ac:dyDescent="0.15">
      <c r="B5" s="61" t="s">
        <v>27</v>
      </c>
      <c r="C5" s="44"/>
    </row>
    <row r="6" spans="1:19" x14ac:dyDescent="0.15">
      <c r="H6" s="56"/>
    </row>
    <row r="7" spans="1:19" ht="25" x14ac:dyDescent="0.15">
      <c r="B7" s="235" t="s">
        <v>1134</v>
      </c>
      <c r="C7" s="46"/>
      <c r="D7" s="46"/>
      <c r="E7" s="46"/>
      <c r="F7" s="47"/>
    </row>
    <row r="8" spans="1:19" ht="78.75" customHeight="1" x14ac:dyDescent="0.15">
      <c r="B8" s="74"/>
      <c r="C8" s="244" t="s">
        <v>1135</v>
      </c>
      <c r="D8" s="75" t="s">
        <v>1136</v>
      </c>
      <c r="E8" s="75" t="s">
        <v>1137</v>
      </c>
      <c r="F8" s="75" t="s">
        <v>1138</v>
      </c>
      <c r="G8" s="76"/>
      <c r="H8" s="244" t="s">
        <v>1139</v>
      </c>
      <c r="I8" s="244" t="s">
        <v>1140</v>
      </c>
      <c r="J8" s="76"/>
      <c r="K8" s="244" t="s">
        <v>1141</v>
      </c>
      <c r="L8" s="244" t="s">
        <v>1142</v>
      </c>
    </row>
    <row r="9" spans="1:19" x14ac:dyDescent="0.15">
      <c r="B9" s="77" t="str">
        <f>B5</f>
        <v>Wales</v>
      </c>
      <c r="C9" s="78" t="e">
        <f>SUM((SUMIFS('capacity data'!$G:$G,'capacity data'!$E:$E,"PO",'capacity data'!$A:$A,B5))-SUMIFS('capacity data'!$H:$H,'capacity data'!$E:$E,"PO",'capacity data'!$A:$A,B5))/SUMIFS('capacity data'!$G:$G,'capacity data'!$E:$E,"PO",'capacity data'!$A:$A,B5)</f>
        <v>#DIV/0!</v>
      </c>
      <c r="D9" s="79" t="e">
        <f>SUM((SUMIFS('capacity data'!$G:$G,'capacity data'!$E:$E,"PSO",'capacity data'!$A:$A,B5))-SUMIFS('capacity data'!$H:$H,'capacity data'!$E:$E,"PSO",'capacity data'!$A:$A,B5))/SUMIFS('capacity data'!$G:$G,'capacity data'!$E:$E,"PSO",'capacity data'!$A:$A,B5)</f>
        <v>#DIV/0!</v>
      </c>
      <c r="E9" s="79" t="e">
        <f>SUM((SUMIFS('capacity data'!$G:$G,'capacity data'!$E:$E,"TPO",'capacity data'!$A:$A,B5))-SUMIFS('capacity data'!$H:$H,'capacity data'!$E:$E,"TPO",'capacity data'!$A:$A,B5))/SUMIFS('capacity data'!$G:$G,'capacity data'!$E:$E,"TPO",'capacity data'!$A:$A,B5)</f>
        <v>#DIV/0!</v>
      </c>
      <c r="F9" s="78" t="e">
        <f>SUM((SUMIFS('capacity data'!G:G,'capacity data'!A:A,B5))-SUMIFS('capacity data'!H:H,'capacity data'!A:A,B5))/SUMIFS('capacity data'!G:G,'capacity data'!A:A,B5)</f>
        <v>#DIV/0!</v>
      </c>
      <c r="G9" s="76"/>
      <c r="H9" s="78" t="e">
        <f>SUMIFS('capacity data'!$L:$L,'capacity data'!$A:$A,$B$5,'capacity data'!$E:$E,"PSO")/SUM((SUMIFS('capacity data'!$G:$G,'capacity data'!$E:$E,"PSO",'capacity data'!$A:$A,$B$5))-SUMIFS('capacity data'!$H:$H,'capacity data'!$E:$E,"PSO",'capacity data'!$A:$A,$B$5))</f>
        <v>#DIV/0!</v>
      </c>
      <c r="I9" s="78" t="e">
        <f>SUMIFS('capacity data'!$L:$L,'capacity data'!$A:$A,$B$5,'capacity data'!$E:$E,"PSO")/SUMIFS('capacity data'!$G:$G,'capacity data'!$E:$E,"PSO",'capacity data'!$A:$A,$B$5)</f>
        <v>#DIV/0!</v>
      </c>
      <c r="J9" s="76"/>
      <c r="K9" s="78" t="e">
        <f>SUMIFS('capacity data'!$L:$L,'capacity data'!$A:$A,$B$5,'capacity data'!$E:$E,"TPO")/SUM((SUMIFS('capacity data'!$G:$G,'capacity data'!$E:$E,"TPO",'capacity data'!$A:$A,$B$5))-SUMIFS('capacity data'!$H:$H,'capacity data'!$E:$E,"TPO",'capacity data'!$A:$A,$B$5))</f>
        <v>#DIV/0!</v>
      </c>
      <c r="L9" s="78" t="e">
        <f>SUMIFS('capacity data'!$L:$L,'capacity data'!$A:$A,$B$5,'capacity data'!$E:$E,"TPO")/SUMIFS('capacity data'!$G:$G,'capacity data'!$E:$E,"TPO",'capacity data'!$A:$A,$B$5)</f>
        <v>#DIV/0!</v>
      </c>
    </row>
    <row r="10" spans="1:19" x14ac:dyDescent="0.15">
      <c r="B10" s="119" t="s">
        <v>1143</v>
      </c>
      <c r="C10" s="94" t="e">
        <f>SUM((SUMIF('capacity data'!E:E,"PO",'capacity data'!G:G))-SUMIF('capacity data'!E:E,"PO",'capacity data'!H:H))/SUMIF('capacity data'!E:E,"PO",'capacity data'!G:G)</f>
        <v>#DIV/0!</v>
      </c>
      <c r="D10" s="120" t="e">
        <f>SUM((SUMIF('capacity data'!E:E,"PSO",'capacity data'!G:G))-SUMIF('capacity data'!E:E,"PSO",'capacity data'!H:H))/SUMIF('capacity data'!E:E,"PSO",'capacity data'!G:G)</f>
        <v>#DIV/0!</v>
      </c>
      <c r="E10" s="120" t="e">
        <f>SUM((SUMIF('capacity data'!E:E,"PSO",'capacity data'!G:G))-SUMIF('capacity data'!E:E,"PSO",'capacity data'!H:H))/SUMIF('capacity data'!E:E,"PSO",'capacity data'!G:G)</f>
        <v>#DIV/0!</v>
      </c>
      <c r="F10" s="94" t="e">
        <f>SUM((SUM('capacity data'!G:G)-SUM('capacity data'!H:H))/SUM('capacity data'!G:G))</f>
        <v>#DIV/0!</v>
      </c>
      <c r="G10" s="76"/>
      <c r="H10" s="94" t="e">
        <f>SUMIF('capacity data'!$E:$E,"PSO",'capacity data'!$L:$L)/SUM(SUMIF('capacity data'!$E:$E,"PSO",'capacity data'!$G:$G)-SUMIF('capacity data'!$E:$E,"PSO",'capacity data'!$H:$H))</f>
        <v>#DIV/0!</v>
      </c>
      <c r="I10" s="94" t="e">
        <f>SUMIF('capacity data'!$E:$E,"PSO",'capacity data'!$L:$L)/SUMIF('capacity data'!$E:$E,"PSO",'capacity data'!$G:$G)</f>
        <v>#DIV/0!</v>
      </c>
      <c r="J10" s="76"/>
      <c r="K10" s="94" t="e">
        <f>SUMIF('capacity data'!$E:$E,"TPO",'capacity data'!$L:$L)/SUM(SUMIF('capacity data'!$E:$E,"TPO",'capacity data'!$G:$G)-SUMIF('capacity data'!$E:$E,"TPO",'capacity data'!$H:$H))</f>
        <v>#DIV/0!</v>
      </c>
      <c r="L10" s="94" t="e">
        <f>SUMIF('capacity data'!$E:$E,"TPO",'capacity data'!$L:$L)/SUMIF('capacity data'!$E:$E,"TPO",'capacity data'!$G:$G)</f>
        <v>#DIV/0!</v>
      </c>
    </row>
    <row r="11" spans="1:19" x14ac:dyDescent="0.15">
      <c r="B11" s="80" t="s">
        <v>1144</v>
      </c>
      <c r="C11" s="115" t="e">
        <f>+C9-C10</f>
        <v>#DIV/0!</v>
      </c>
      <c r="D11" s="116" t="e">
        <f>+D9-D10</f>
        <v>#DIV/0!</v>
      </c>
      <c r="E11" s="116" t="e">
        <f>+E9-E10</f>
        <v>#DIV/0!</v>
      </c>
      <c r="F11" s="115" t="e">
        <f>+F9-F10</f>
        <v>#DIV/0!</v>
      </c>
      <c r="G11" s="76"/>
      <c r="H11" s="115" t="e">
        <f>+H9-H10</f>
        <v>#DIV/0!</v>
      </c>
      <c r="I11" s="112" t="e">
        <f>+I9-I10</f>
        <v>#DIV/0!</v>
      </c>
      <c r="J11" s="76"/>
      <c r="K11" s="115" t="e">
        <f>+K9-K10</f>
        <v>#DIV/0!</v>
      </c>
      <c r="L11" s="112" t="e">
        <f>+L9-L10</f>
        <v>#DIV/0!</v>
      </c>
    </row>
    <row r="13" spans="1:19" ht="23" x14ac:dyDescent="0.15">
      <c r="B13" s="284" t="s">
        <v>1145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5"/>
    </row>
    <row r="14" spans="1:19" ht="63.75" customHeight="1" x14ac:dyDescent="0.15">
      <c r="B14" s="81"/>
      <c r="C14" s="82" t="s">
        <v>1146</v>
      </c>
      <c r="D14" s="82" t="s">
        <v>1147</v>
      </c>
      <c r="E14" s="82" t="s">
        <v>1148</v>
      </c>
      <c r="F14" s="82" t="s">
        <v>1149</v>
      </c>
      <c r="G14" s="82" t="s">
        <v>1150</v>
      </c>
      <c r="H14" s="82" t="s">
        <v>1151</v>
      </c>
      <c r="I14" s="82" t="s">
        <v>1152</v>
      </c>
      <c r="J14" s="83" t="s">
        <v>1153</v>
      </c>
      <c r="K14" s="82" t="s">
        <v>1154</v>
      </c>
      <c r="L14" s="82" t="s">
        <v>1155</v>
      </c>
      <c r="M14" s="82" t="s">
        <v>1156</v>
      </c>
    </row>
    <row r="15" spans="1:19" ht="20.25" customHeight="1" x14ac:dyDescent="0.15">
      <c r="B15" s="84" t="str">
        <f>B5</f>
        <v>Wales</v>
      </c>
      <c r="C15" s="238">
        <f>COUNTIFS('capacity data'!A:A,B5,'capacity data'!E:E,"PO")</f>
        <v>0</v>
      </c>
      <c r="D15" s="238">
        <f>COUNTIFS('capacity data'!A:A,B5,'capacity data'!E:E,"PO",'capacity data'!F:F,"&gt;110%")</f>
        <v>0</v>
      </c>
      <c r="E15" s="85" t="e">
        <f>D15/C15</f>
        <v>#DIV/0!</v>
      </c>
      <c r="F15" s="238">
        <f>COUNTIFS('capacity data'!A:A,'divisional &amp; regional overview'!B5,'capacity data'!E:E,"PSO")</f>
        <v>0</v>
      </c>
      <c r="G15" s="238">
        <f>COUNTIFS('capacity data'!A:A,B5,'capacity data'!E:E,"PSO",'capacity data'!F:F,"&gt;110%")</f>
        <v>0</v>
      </c>
      <c r="H15" s="86" t="e">
        <f>G15/F15</f>
        <v>#DIV/0!</v>
      </c>
      <c r="I15" s="238">
        <f>COUNTIFS('capacity data'!A:A,B5,'capacity data'!E:E,"PSO",'capacity data'!F:F,"&lt;90%")</f>
        <v>0</v>
      </c>
      <c r="J15" s="86" t="e">
        <f>I15/F15</f>
        <v>#DIV/0!</v>
      </c>
      <c r="K15" s="238">
        <f>COUNTIFS('capacity data'!A:A,'divisional &amp; regional overview'!B5,'capacity data'!E:E,"TPO")</f>
        <v>0</v>
      </c>
      <c r="L15" s="238">
        <f>COUNTIFS('capacity data'!A:A,B5,'capacity data'!E:E,"TPO",'capacity data'!F:F,"&gt;110%")</f>
        <v>0</v>
      </c>
      <c r="M15" s="79" t="e">
        <f>L15/K15</f>
        <v>#DIV/0!</v>
      </c>
    </row>
    <row r="16" spans="1:19" x14ac:dyDescent="0.15">
      <c r="B16" s="119" t="s">
        <v>1157</v>
      </c>
      <c r="C16" s="92">
        <f>COUNTIF('capacity data'!E:E,"PO")</f>
        <v>0</v>
      </c>
      <c r="D16" s="92">
        <f>COUNTIFS('capacity data'!E:E,"PO",'capacity data'!F:F,"&gt;110%")</f>
        <v>0</v>
      </c>
      <c r="E16" s="120" t="e">
        <f>D16/C16</f>
        <v>#DIV/0!</v>
      </c>
      <c r="F16" s="92">
        <f>COUNTIF('capacity data'!E:E,"PSO")</f>
        <v>0</v>
      </c>
      <c r="G16" s="92">
        <f>COUNTIFS('capacity data'!E:E,"PSO",'capacity data'!F:F,"&gt;110%")</f>
        <v>0</v>
      </c>
      <c r="H16" s="120" t="e">
        <f>G16/F16</f>
        <v>#DIV/0!</v>
      </c>
      <c r="I16" s="92">
        <f>COUNTIFS('capacity data'!E:E,"PSO",'capacity data'!F:F,"&lt;90%")</f>
        <v>0</v>
      </c>
      <c r="J16" s="120" t="e">
        <f>I16/F16</f>
        <v>#DIV/0!</v>
      </c>
      <c r="K16" s="92">
        <f>COUNTIF('capacity data'!E:E,"TPO")</f>
        <v>0</v>
      </c>
      <c r="L16" s="92">
        <f>COUNTIFS('capacity data'!E:E,"TPO",'capacity data'!F:F,"&gt;110%")</f>
        <v>0</v>
      </c>
      <c r="M16" s="120" t="e">
        <f>L16/K16</f>
        <v>#DIV/0!</v>
      </c>
    </row>
    <row r="17" spans="2:13" x14ac:dyDescent="0.15">
      <c r="B17" s="74" t="s">
        <v>1144</v>
      </c>
      <c r="C17" s="113" t="s">
        <v>1158</v>
      </c>
      <c r="D17" s="113" t="s">
        <v>1158</v>
      </c>
      <c r="E17" s="114" t="e">
        <f>+E15-E16</f>
        <v>#DIV/0!</v>
      </c>
      <c r="F17" s="113" t="s">
        <v>1158</v>
      </c>
      <c r="G17" s="113" t="s">
        <v>1158</v>
      </c>
      <c r="H17" s="114" t="e">
        <f>+H15-H16</f>
        <v>#DIV/0!</v>
      </c>
      <c r="I17" s="113" t="s">
        <v>1158</v>
      </c>
      <c r="J17" s="114" t="e">
        <f>+J15-J16</f>
        <v>#DIV/0!</v>
      </c>
      <c r="K17" s="113" t="s">
        <v>1158</v>
      </c>
      <c r="L17" s="113" t="s">
        <v>1158</v>
      </c>
      <c r="M17" s="114" t="e">
        <f>+M15-M16</f>
        <v>#DIV/0!</v>
      </c>
    </row>
    <row r="19" spans="2:13" ht="23" x14ac:dyDescent="0.25">
      <c r="B19" s="280" t="s">
        <v>1159</v>
      </c>
      <c r="C19" s="281"/>
      <c r="D19" s="281"/>
      <c r="E19" s="281"/>
      <c r="F19" s="281"/>
      <c r="G19" s="282"/>
      <c r="H19" s="283"/>
    </row>
    <row r="20" spans="2:13" ht="42" x14ac:dyDescent="0.15">
      <c r="B20" s="88"/>
      <c r="C20" s="75" t="s">
        <v>1160</v>
      </c>
      <c r="D20" s="75" t="s">
        <v>1161</v>
      </c>
      <c r="E20" s="75" t="s">
        <v>1162</v>
      </c>
      <c r="F20" s="75" t="s">
        <v>1163</v>
      </c>
      <c r="G20" s="244" t="s">
        <v>1164</v>
      </c>
      <c r="H20" s="244" t="s">
        <v>1165</v>
      </c>
    </row>
    <row r="21" spans="2:13" x14ac:dyDescent="0.15">
      <c r="B21" s="74" t="str">
        <f>B5</f>
        <v>Wales</v>
      </c>
      <c r="C21" s="87">
        <f>SUMIFS('capacity data'!K:K,'capacity data'!A:A,'divisional &amp; regional overview'!B5,'capacity data'!E:E,"SPO")</f>
        <v>0</v>
      </c>
      <c r="D21" s="87">
        <f>SUMIFS('capacity data'!K:K,'capacity data'!A:A,'divisional &amp; regional overview'!B21,'capacity data'!E:E,"DMY")</f>
        <v>0</v>
      </c>
      <c r="E21" s="87">
        <f>SUM(C21:D21)</f>
        <v>0</v>
      </c>
      <c r="F21" s="89">
        <f>SUMIF('capacity data'!A:A,B21,'capacity data'!K:K)</f>
        <v>0</v>
      </c>
      <c r="G21" s="78" t="e">
        <f>E21/F21</f>
        <v>#DIV/0!</v>
      </c>
      <c r="H21" s="90">
        <f>SUMIF('caseload data'!A:A,'divisional &amp; regional overview'!B98,'caseload data'!U:U)</f>
        <v>0</v>
      </c>
    </row>
    <row r="22" spans="2:13" x14ac:dyDescent="0.15">
      <c r="B22" s="91" t="s">
        <v>1157</v>
      </c>
      <c r="C22" s="92">
        <f>SUMIF('capacity data'!E:E,"SPO",'capacity data'!K:K)</f>
        <v>0</v>
      </c>
      <c r="D22" s="92">
        <f>SUMIF('capacity data'!E:E,"DMY",'capacity data'!K:K)</f>
        <v>0</v>
      </c>
      <c r="E22" s="92">
        <f>SUM(C22:D22)</f>
        <v>0</v>
      </c>
      <c r="F22" s="93">
        <f>SUM('capacity data'!K:K)</f>
        <v>0</v>
      </c>
      <c r="G22" s="94" t="e">
        <f>E22/F22</f>
        <v>#DIV/0!</v>
      </c>
      <c r="H22" s="92">
        <f>SUM('caseload data'!U:U)</f>
        <v>0</v>
      </c>
    </row>
    <row r="23" spans="2:13" x14ac:dyDescent="0.15">
      <c r="B23" s="95" t="s">
        <v>1144</v>
      </c>
      <c r="C23" s="113" t="s">
        <v>1158</v>
      </c>
      <c r="D23" s="113" t="s">
        <v>1158</v>
      </c>
      <c r="E23" s="113" t="s">
        <v>1158</v>
      </c>
      <c r="F23" s="117" t="s">
        <v>1158</v>
      </c>
      <c r="G23" s="117" t="e">
        <f>+G21-G22</f>
        <v>#DIV/0!</v>
      </c>
      <c r="H23" s="113" t="s">
        <v>1158</v>
      </c>
    </row>
    <row r="26" spans="2:13" ht="23" x14ac:dyDescent="0.25">
      <c r="B26" s="276" t="s">
        <v>1166</v>
      </c>
      <c r="C26" s="276"/>
      <c r="D26" s="276"/>
      <c r="E26" s="276"/>
      <c r="F26" s="276"/>
      <c r="G26" s="276"/>
      <c r="H26" s="276"/>
      <c r="I26" s="276"/>
      <c r="J26" s="276"/>
      <c r="K26" s="276"/>
    </row>
    <row r="27" spans="2:13" ht="83.25" customHeight="1" x14ac:dyDescent="0.15">
      <c r="B27" s="96"/>
      <c r="C27" s="244" t="s">
        <v>1167</v>
      </c>
      <c r="D27" s="244" t="s">
        <v>1168</v>
      </c>
      <c r="E27" s="244" t="s">
        <v>1169</v>
      </c>
      <c r="F27" s="244" t="s">
        <v>1170</v>
      </c>
      <c r="G27" s="244" t="s">
        <v>1171</v>
      </c>
      <c r="H27" s="244" t="s">
        <v>1172</v>
      </c>
      <c r="I27" s="244" t="s">
        <v>1173</v>
      </c>
      <c r="J27" s="244" t="s">
        <v>1174</v>
      </c>
      <c r="K27" s="244" t="s">
        <v>1175</v>
      </c>
    </row>
    <row r="28" spans="2:13" x14ac:dyDescent="0.15">
      <c r="B28" s="74" t="str">
        <f>B5</f>
        <v>Wales</v>
      </c>
      <c r="C28" s="97">
        <f>SUMIFS('capacity data'!I:I,'capacity data'!A:A,B28,'capacity data'!E:E,"PO")</f>
        <v>0</v>
      </c>
      <c r="D28" s="98">
        <f>SUMIFS('capacity data'!J:J,'capacity data'!A:A,B28,'capacity data'!E:E,"PO")</f>
        <v>0</v>
      </c>
      <c r="E28" s="99" t="e">
        <f>D28/C28</f>
        <v>#DIV/0!</v>
      </c>
      <c r="F28" s="98">
        <f>SUMIFS('capacity data'!I:I,'capacity data'!A:A,B28,'capacity data'!E:E,"PSO")</f>
        <v>0</v>
      </c>
      <c r="G28" s="98">
        <f>SUMIFS('capacity data'!J:J,'capacity data'!A:A,B28,'capacity data'!E:E,"PSO")</f>
        <v>0</v>
      </c>
      <c r="H28" s="99" t="e">
        <f>G28/F28</f>
        <v>#DIV/0!</v>
      </c>
      <c r="I28" s="98">
        <f>SUMIFS('capacity data'!I:I,'capacity data'!A:A,B28,'capacity data'!E:E,"TPO")</f>
        <v>0</v>
      </c>
      <c r="J28" s="100">
        <f>SUMIFS('capacity data'!J:J,'capacity data'!A:A,B28,'capacity data'!E:E,"TPO")</f>
        <v>0</v>
      </c>
      <c r="K28" s="99" t="e">
        <f>J28/I28</f>
        <v>#DIV/0!</v>
      </c>
    </row>
    <row r="29" spans="2:13" x14ac:dyDescent="0.15">
      <c r="B29" s="119" t="s">
        <v>1176</v>
      </c>
      <c r="C29" s="121">
        <f>SUMIF('capacity data'!E:E,"PO",'capacity data'!I:I)</f>
        <v>0</v>
      </c>
      <c r="D29" s="121">
        <f>SUMIF('capacity data'!E:E,"PO",'capacity data'!J:J)</f>
        <v>0</v>
      </c>
      <c r="E29" s="122" t="e">
        <f>D29/C29</f>
        <v>#DIV/0!</v>
      </c>
      <c r="F29" s="121">
        <f>SUMIF('capacity data'!E:E,"PSO",'capacity data'!I:I)</f>
        <v>0</v>
      </c>
      <c r="G29" s="121">
        <f>SUMIF('capacity data'!E:E,"PSO",'capacity data'!J:J)</f>
        <v>0</v>
      </c>
      <c r="H29" s="122" t="e">
        <f>G29/F29</f>
        <v>#DIV/0!</v>
      </c>
      <c r="I29" s="121">
        <f>SUMIF('capacity data'!E:E,"TPO",'capacity data'!I:I)</f>
        <v>0</v>
      </c>
      <c r="J29" s="121">
        <f>SUMIF('capacity data'!E:E,"TPO",'capacity data'!J:J)</f>
        <v>0</v>
      </c>
      <c r="K29" s="122" t="e">
        <f>J29/I29</f>
        <v>#DIV/0!</v>
      </c>
    </row>
    <row r="30" spans="2:13" x14ac:dyDescent="0.15">
      <c r="B30" s="118" t="s">
        <v>1144</v>
      </c>
      <c r="C30" s="113" t="s">
        <v>1158</v>
      </c>
      <c r="D30" s="113" t="s">
        <v>1158</v>
      </c>
      <c r="E30" s="112" t="e">
        <f>+E28-E29</f>
        <v>#DIV/0!</v>
      </c>
      <c r="F30" s="113" t="s">
        <v>1158</v>
      </c>
      <c r="G30" s="113" t="s">
        <v>1158</v>
      </c>
      <c r="H30" s="112" t="e">
        <f>+H28-H29</f>
        <v>#DIV/0!</v>
      </c>
      <c r="I30" s="113" t="s">
        <v>1158</v>
      </c>
      <c r="J30" s="113" t="s">
        <v>1158</v>
      </c>
      <c r="K30" s="112" t="e">
        <f>+K28-K29</f>
        <v>#DIV/0!</v>
      </c>
    </row>
    <row r="32" spans="2:13" ht="37.5" customHeight="1" x14ac:dyDescent="0.2">
      <c r="B32" s="277" t="s">
        <v>1177</v>
      </c>
      <c r="C32" s="278"/>
      <c r="D32" s="278"/>
      <c r="F32" s="279" t="s">
        <v>1178</v>
      </c>
      <c r="G32" s="279"/>
    </row>
    <row r="33" spans="2:7" ht="88.5" customHeight="1" x14ac:dyDescent="0.15">
      <c r="B33" s="88" t="s">
        <v>1179</v>
      </c>
      <c r="C33" s="244" t="s">
        <v>1180</v>
      </c>
      <c r="D33" s="244" t="s">
        <v>1181</v>
      </c>
      <c r="E33" s="76"/>
      <c r="F33" s="240" t="s">
        <v>1182</v>
      </c>
      <c r="G33" s="239">
        <f>COUNTIF('reductions data'!A:A,'divisional &amp; regional overview'!B5)</f>
        <v>0</v>
      </c>
    </row>
    <row r="34" spans="2:7" ht="28" x14ac:dyDescent="0.15">
      <c r="B34" s="125" t="s">
        <v>1115</v>
      </c>
      <c r="C34" s="101">
        <f>COUNTIFS('reductions data'!A:A,B5,'reductions data'!G:G,'divisional &amp; regional overview'!B34)</f>
        <v>0</v>
      </c>
      <c r="D34" s="102">
        <f>SUMIFS('reductions data'!H:H,'reductions data'!A:A,B5,'reductions data'!G:G,'divisional &amp; regional overview'!B34)</f>
        <v>0</v>
      </c>
      <c r="E34" s="76"/>
      <c r="F34" s="240" t="s">
        <v>1183</v>
      </c>
      <c r="G34" s="239">
        <f>SUMIF('reductions data'!A:A,B5,'reductions data'!H:H)</f>
        <v>0</v>
      </c>
    </row>
    <row r="35" spans="2:7" ht="28" x14ac:dyDescent="0.15">
      <c r="B35" s="126" t="s">
        <v>1096</v>
      </c>
      <c r="C35" s="103">
        <f>COUNTIFS('reductions data'!A:A,B5,'reductions data'!G:G,'divisional &amp; regional overview'!B35)</f>
        <v>0</v>
      </c>
      <c r="D35" s="102">
        <f>SUMIFS('reductions data'!H:H,'reductions data'!A:A,B5,'reductions data'!G:G,'divisional &amp; regional overview'!B35)</f>
        <v>0</v>
      </c>
      <c r="E35" s="76"/>
      <c r="F35" s="238" t="s">
        <v>1184</v>
      </c>
      <c r="G35" s="239">
        <f>SUMIF('capacity data'!A:A,B5,'capacity data'!I:I)</f>
        <v>0</v>
      </c>
    </row>
    <row r="36" spans="2:7" ht="42" x14ac:dyDescent="0.15">
      <c r="B36" s="126" t="s">
        <v>1101</v>
      </c>
      <c r="C36" s="103">
        <f>COUNTIFS('reductions data'!A:A,B5,'reductions data'!G:G,'divisional &amp; regional overview'!B36)</f>
        <v>0</v>
      </c>
      <c r="D36" s="102">
        <f>SUMIFS('reductions data'!H:H,'reductions data'!A:A,B5,'reductions data'!G:G,'divisional &amp; regional overview'!B36)</f>
        <v>0</v>
      </c>
      <c r="E36" s="104"/>
      <c r="F36" s="238" t="s">
        <v>1185</v>
      </c>
      <c r="G36" s="105" t="e">
        <f>G34/G35</f>
        <v>#DIV/0!</v>
      </c>
    </row>
    <row r="37" spans="2:7" x14ac:dyDescent="0.15">
      <c r="B37" s="126" t="s">
        <v>1079</v>
      </c>
      <c r="C37" s="103">
        <f>COUNTIFS('reductions data'!A:A,B5,'reductions data'!G:G,'divisional &amp; regional overview'!B37)</f>
        <v>0</v>
      </c>
      <c r="D37" s="102">
        <f>SUMIFS('reductions data'!H:H,'reductions data'!A:A,B5,'reductions data'!G:G,'divisional &amp; regional overview'!B37)</f>
        <v>0</v>
      </c>
      <c r="E37" s="104"/>
      <c r="F37" s="267" t="s">
        <v>1186</v>
      </c>
      <c r="G37" s="270" t="e">
        <f>+G36-'div &amp; regional reduction hours'!N21</f>
        <v>#DIV/0!</v>
      </c>
    </row>
    <row r="38" spans="2:7" ht="24" customHeight="1" x14ac:dyDescent="0.15">
      <c r="B38" s="126" t="s">
        <v>1116</v>
      </c>
      <c r="C38" s="103">
        <f>COUNTIFS('reductions data'!A:A,B5,'reductions data'!G:G,'divisional &amp; regional overview'!B38)</f>
        <v>0</v>
      </c>
      <c r="D38" s="102">
        <f>SUMIFS('reductions data'!H:H,'reductions data'!A:A,B5,'reductions data'!G:G,'divisional &amp; regional overview'!B38)</f>
        <v>0</v>
      </c>
      <c r="E38" s="104"/>
      <c r="F38" s="268"/>
      <c r="G38" s="269"/>
    </row>
    <row r="39" spans="2:7" x14ac:dyDescent="0.15">
      <c r="B39" s="126" t="s">
        <v>1109</v>
      </c>
      <c r="C39" s="103">
        <f>COUNTIFS('reductions data'!A:A,B5,'reductions data'!G:G,'divisional &amp; regional overview'!B39)</f>
        <v>0</v>
      </c>
      <c r="D39" s="102">
        <f>SUMIFS('reductions data'!H:H,'reductions data'!A:A,B5,'reductions data'!G:G,'divisional &amp; regional overview'!B39)</f>
        <v>0</v>
      </c>
      <c r="E39" s="104"/>
      <c r="F39" s="269"/>
      <c r="G39" s="269"/>
    </row>
    <row r="40" spans="2:7" x14ac:dyDescent="0.15">
      <c r="B40" s="126" t="s">
        <v>1089</v>
      </c>
      <c r="C40" s="103">
        <f>COUNTIFS('reductions data'!A:A,B5,'reductions data'!G:G,'divisional &amp; regional overview'!B40)</f>
        <v>0</v>
      </c>
      <c r="D40" s="102">
        <f>SUMIFS('reductions data'!H:H,'reductions data'!A:A,B5,'reductions data'!G:G,'divisional &amp; regional overview'!B40)</f>
        <v>0</v>
      </c>
      <c r="E40" s="104"/>
      <c r="F40" s="269"/>
      <c r="G40" s="269"/>
    </row>
    <row r="41" spans="2:7" x14ac:dyDescent="0.15">
      <c r="B41" s="126" t="s">
        <v>1117</v>
      </c>
      <c r="C41" s="103">
        <f>COUNTIFS('reductions data'!A:A,B5,'reductions data'!G:G,'divisional &amp; regional overview'!B41)</f>
        <v>0</v>
      </c>
      <c r="D41" s="102">
        <f>SUMIFS('reductions data'!H:H,'reductions data'!A:A,B5,'reductions data'!G:G,'divisional &amp; regional overview'!B41)</f>
        <v>0</v>
      </c>
      <c r="E41" s="104"/>
      <c r="F41" s="104"/>
      <c r="G41" s="76"/>
    </row>
    <row r="42" spans="2:7" x14ac:dyDescent="0.15">
      <c r="B42" s="126" t="s">
        <v>1086</v>
      </c>
      <c r="C42" s="103">
        <f>COUNTIFS('reductions data'!A:A,B5,'reductions data'!G:G,'divisional &amp; regional overview'!B42)</f>
        <v>0</v>
      </c>
      <c r="D42" s="102">
        <f>SUMIFS('reductions data'!H:H,'reductions data'!A:A,B5,'reductions data'!G:G,'divisional &amp; regional overview'!B42)</f>
        <v>0</v>
      </c>
      <c r="E42" s="104"/>
      <c r="F42" s="104"/>
      <c r="G42" s="76"/>
    </row>
    <row r="43" spans="2:7" x14ac:dyDescent="0.15">
      <c r="B43" s="126" t="s">
        <v>1091</v>
      </c>
      <c r="C43" s="103">
        <f>COUNTIFS('reductions data'!A:A,B5,'reductions data'!G:G,'divisional &amp; regional overview'!B43)</f>
        <v>0</v>
      </c>
      <c r="D43" s="102">
        <f>SUMIFS('reductions data'!H:H,'reductions data'!A:A,B5,'reductions data'!G:G,'divisional &amp; regional overview'!B43)</f>
        <v>0</v>
      </c>
      <c r="E43" s="104"/>
      <c r="F43" s="104"/>
      <c r="G43" s="76"/>
    </row>
    <row r="44" spans="2:7" x14ac:dyDescent="0.15">
      <c r="B44" s="126" t="s">
        <v>1102</v>
      </c>
      <c r="C44" s="103">
        <f>COUNTIFS('reductions data'!A:A,B5,'reductions data'!G:G,'divisional &amp; regional overview'!B44)</f>
        <v>0</v>
      </c>
      <c r="D44" s="102">
        <f>SUMIFS('reductions data'!H:H,'reductions data'!A:A,B5,'reductions data'!G:G,'divisional &amp; regional overview'!B44)</f>
        <v>0</v>
      </c>
      <c r="E44" s="104"/>
      <c r="F44" s="104"/>
      <c r="G44" s="76"/>
    </row>
    <row r="45" spans="2:7" x14ac:dyDescent="0.15">
      <c r="B45" s="126" t="s">
        <v>1085</v>
      </c>
      <c r="C45" s="103">
        <f>COUNTIFS('reductions data'!A:A,B5,'reductions data'!G:G,'divisional &amp; regional overview'!B45)</f>
        <v>0</v>
      </c>
      <c r="D45" s="102">
        <f>SUMIFS('reductions data'!H:H,'reductions data'!A:A,B5,'reductions data'!G:G,'divisional &amp; regional overview'!B45)</f>
        <v>0</v>
      </c>
      <c r="E45" s="104"/>
      <c r="F45" s="104"/>
      <c r="G45" s="76"/>
    </row>
    <row r="46" spans="2:7" x14ac:dyDescent="0.15">
      <c r="B46" s="126" t="s">
        <v>1092</v>
      </c>
      <c r="C46" s="103">
        <f>COUNTIFS('reductions data'!A:A,B5,'reductions data'!G:G,'divisional &amp; regional overview'!B46)</f>
        <v>0</v>
      </c>
      <c r="D46" s="102">
        <f>SUMIFS('reductions data'!H:H,'reductions data'!A:A,B5,'reductions data'!G:G,'divisional &amp; regional overview'!B46)</f>
        <v>0</v>
      </c>
      <c r="E46" s="104"/>
      <c r="F46" s="104"/>
      <c r="G46" s="76"/>
    </row>
    <row r="47" spans="2:7" x14ac:dyDescent="0.15">
      <c r="B47" s="126" t="s">
        <v>1118</v>
      </c>
      <c r="C47" s="103">
        <f>COUNTIFS('reductions data'!A:A,B5,'reductions data'!G:G,'divisional &amp; regional overview'!B47)</f>
        <v>0</v>
      </c>
      <c r="D47" s="102">
        <f>SUMIFS('reductions data'!H:H,'reductions data'!A:A,B5,'reductions data'!G:G,'divisional &amp; regional overview'!B47)</f>
        <v>0</v>
      </c>
      <c r="E47" s="104"/>
      <c r="F47" s="104"/>
      <c r="G47" s="76"/>
    </row>
    <row r="48" spans="2:7" x14ac:dyDescent="0.15">
      <c r="B48" s="126" t="s">
        <v>1187</v>
      </c>
      <c r="C48" s="103">
        <f>COUNTIFS('reductions data'!A:A,B5,'reductions data'!G:G,'divisional &amp; regional overview'!B48)</f>
        <v>0</v>
      </c>
      <c r="D48" s="102">
        <f>SUMIFS('reductions data'!H:H,'reductions data'!A:A,B5,'reductions data'!G:G,'divisional &amp; regional overview'!B48)</f>
        <v>0</v>
      </c>
      <c r="E48" s="104"/>
      <c r="F48" s="104"/>
      <c r="G48" s="76"/>
    </row>
    <row r="49" spans="2:7" x14ac:dyDescent="0.15">
      <c r="B49" s="126" t="s">
        <v>1120</v>
      </c>
      <c r="C49" s="103">
        <f>COUNTIFS('reductions data'!A:A,B5,'reductions data'!G:G,'divisional &amp; regional overview'!B49)</f>
        <v>0</v>
      </c>
      <c r="D49" s="102">
        <f>SUMIFS('reductions data'!H:H,'reductions data'!A:A,B5,'reductions data'!G:G,'divisional &amp; regional overview'!B49)</f>
        <v>0</v>
      </c>
      <c r="E49" s="104"/>
      <c r="F49" s="104"/>
      <c r="G49" s="76"/>
    </row>
    <row r="50" spans="2:7" x14ac:dyDescent="0.15">
      <c r="B50" s="126" t="s">
        <v>1121</v>
      </c>
      <c r="C50" s="103">
        <f>COUNTIFS('reductions data'!A:A,B5,'reductions data'!G:G,'divisional &amp; regional overview'!B50)</f>
        <v>0</v>
      </c>
      <c r="D50" s="102">
        <f>SUMIFS('reductions data'!H:H,'reductions data'!A:A,B5,'reductions data'!G:G,'divisional &amp; regional overview'!B50)</f>
        <v>0</v>
      </c>
      <c r="E50" s="104"/>
      <c r="F50" s="104"/>
      <c r="G50" s="76"/>
    </row>
    <row r="51" spans="2:7" x14ac:dyDescent="0.15">
      <c r="B51" s="126" t="s">
        <v>1081</v>
      </c>
      <c r="C51" s="103">
        <f>COUNTIFS('reductions data'!A:A,B5,'reductions data'!G:G,'divisional &amp; regional overview'!B51)</f>
        <v>0</v>
      </c>
      <c r="D51" s="102">
        <f>SUMIFS('reductions data'!H:H,'reductions data'!A:A,B5,'reductions data'!G:G,'divisional &amp; regional overview'!B51)</f>
        <v>0</v>
      </c>
      <c r="E51" s="104"/>
      <c r="F51" s="104"/>
      <c r="G51" s="76"/>
    </row>
    <row r="52" spans="2:7" x14ac:dyDescent="0.15">
      <c r="B52" s="126" t="s">
        <v>1122</v>
      </c>
      <c r="C52" s="103">
        <f>COUNTIFS('reductions data'!A:A,B5,'reductions data'!G:G,'divisional &amp; regional overview'!B52)</f>
        <v>0</v>
      </c>
      <c r="D52" s="102">
        <f>SUMIFS('reductions data'!H:H,'reductions data'!A:A,B5,'reductions data'!G:G,'divisional &amp; regional overview'!B52)</f>
        <v>0</v>
      </c>
      <c r="E52" s="104"/>
      <c r="F52" s="104"/>
      <c r="G52" s="76"/>
    </row>
    <row r="53" spans="2:7" x14ac:dyDescent="0.15">
      <c r="B53" s="126" t="s">
        <v>1093</v>
      </c>
      <c r="C53" s="103">
        <f>COUNTIFS('reductions data'!A:A,B5,'reductions data'!G:G,'divisional &amp; regional overview'!B53)</f>
        <v>0</v>
      </c>
      <c r="D53" s="102">
        <f>SUMIFS('reductions data'!H:H,'reductions data'!A:A,B5,'reductions data'!G:G,'divisional &amp; regional overview'!B53)</f>
        <v>0</v>
      </c>
      <c r="E53" s="104"/>
      <c r="F53" s="104"/>
      <c r="G53" s="76"/>
    </row>
    <row r="54" spans="2:7" x14ac:dyDescent="0.15">
      <c r="B54" s="126" t="s">
        <v>1123</v>
      </c>
      <c r="C54" s="103">
        <f>COUNTIFS('reductions data'!A:A,B5,'reductions data'!G:G,'divisional &amp; regional overview'!B54)</f>
        <v>0</v>
      </c>
      <c r="D54" s="102">
        <f>SUMIFS('reductions data'!H:H,'reductions data'!A:A,B5,'reductions data'!G:G,'divisional &amp; regional overview'!B54)</f>
        <v>0</v>
      </c>
      <c r="E54" s="104"/>
      <c r="F54" s="104"/>
      <c r="G54" s="76"/>
    </row>
    <row r="55" spans="2:7" x14ac:dyDescent="0.15">
      <c r="B55" s="126" t="s">
        <v>1124</v>
      </c>
      <c r="C55" s="103">
        <f>COUNTIFS('reductions data'!A:A,B5,'reductions data'!G:G,'divisional &amp; regional overview'!B55)</f>
        <v>0</v>
      </c>
      <c r="D55" s="102">
        <f>SUMIFS('reductions data'!H:H,'reductions data'!A:A,B5,'reductions data'!G:G,'divisional &amp; regional overview'!B55)</f>
        <v>0</v>
      </c>
      <c r="E55" s="104"/>
      <c r="F55" s="104"/>
      <c r="G55" s="76"/>
    </row>
    <row r="56" spans="2:7" x14ac:dyDescent="0.15">
      <c r="B56" s="126" t="s">
        <v>1088</v>
      </c>
      <c r="C56" s="103">
        <f>COUNTIFS('reductions data'!A:A,B5,'reductions data'!G:G,'divisional &amp; regional overview'!B56)</f>
        <v>0</v>
      </c>
      <c r="D56" s="102">
        <f>SUMIFS('reductions data'!H:H,'reductions data'!A:A,B5,'reductions data'!G:G,'divisional &amp; regional overview'!B56)</f>
        <v>0</v>
      </c>
      <c r="E56" s="104"/>
      <c r="F56" s="104"/>
      <c r="G56" s="76"/>
    </row>
    <row r="57" spans="2:7" ht="28" x14ac:dyDescent="0.15">
      <c r="B57" s="215" t="s">
        <v>1188</v>
      </c>
      <c r="C57" s="103">
        <f>COUNTIFS('reductions data'!A:A,B5,'reductions data'!G:G,'divisional &amp; regional overview'!B57)</f>
        <v>0</v>
      </c>
      <c r="D57" s="102">
        <f>SUMIFS('reductions data'!H:H,'reductions data'!A:A,B5,'reductions data'!G:G,'divisional &amp; regional overview'!B57)</f>
        <v>0</v>
      </c>
      <c r="E57" s="104"/>
      <c r="F57" s="104"/>
      <c r="G57" s="76"/>
    </row>
    <row r="58" spans="2:7" x14ac:dyDescent="0.15">
      <c r="B58" s="126" t="s">
        <v>1107</v>
      </c>
      <c r="C58" s="103">
        <f>COUNTIFS('reductions data'!A:A,B5,'reductions data'!G:G,'divisional &amp; regional overview'!B58)</f>
        <v>0</v>
      </c>
      <c r="D58" s="102">
        <f>SUMIFS('reductions data'!H:H,'reductions data'!A:A,B5,'reductions data'!G:G,'divisional &amp; regional overview'!B58)</f>
        <v>0</v>
      </c>
      <c r="E58" s="104"/>
      <c r="F58" s="104"/>
      <c r="G58" s="76"/>
    </row>
    <row r="59" spans="2:7" x14ac:dyDescent="0.15">
      <c r="B59" s="126" t="s">
        <v>1099</v>
      </c>
      <c r="C59" s="103">
        <f>COUNTIFS('reductions data'!A:A,B5,'reductions data'!G:G,'divisional &amp; regional overview'!B59)</f>
        <v>0</v>
      </c>
      <c r="D59" s="102">
        <f>SUMIFS('reductions data'!H:H,'reductions data'!A:A,B5,'reductions data'!G:G,'divisional &amp; regional overview'!B59)</f>
        <v>0</v>
      </c>
      <c r="E59" s="104"/>
      <c r="F59" s="104"/>
      <c r="G59" s="76"/>
    </row>
    <row r="60" spans="2:7" x14ac:dyDescent="0.15">
      <c r="B60" s="126" t="s">
        <v>1082</v>
      </c>
      <c r="C60" s="103">
        <f>COUNTIFS('reductions data'!A:A,B5,'reductions data'!G:G,'divisional &amp; regional overview'!B60)</f>
        <v>0</v>
      </c>
      <c r="D60" s="102">
        <f>SUMIFS('reductions data'!H:H,'reductions data'!A:A,B5,'reductions data'!G:G,'divisional &amp; regional overview'!B60)</f>
        <v>0</v>
      </c>
      <c r="E60" s="104"/>
      <c r="F60" s="104"/>
      <c r="G60" s="76"/>
    </row>
    <row r="61" spans="2:7" x14ac:dyDescent="0.15">
      <c r="B61" s="126" t="s">
        <v>1090</v>
      </c>
      <c r="C61" s="103">
        <f>COUNTIFS('reductions data'!A:A,B5,'reductions data'!G:G,'divisional &amp; regional overview'!B61)</f>
        <v>0</v>
      </c>
      <c r="D61" s="102">
        <f>SUMIFS('reductions data'!H:H,'reductions data'!A:A,B5,'reductions data'!G:G,'divisional &amp; regional overview'!B61)</f>
        <v>0</v>
      </c>
      <c r="E61" s="104"/>
      <c r="F61" s="104"/>
      <c r="G61" s="76"/>
    </row>
    <row r="62" spans="2:7" x14ac:dyDescent="0.15">
      <c r="B62" s="126" t="s">
        <v>1105</v>
      </c>
      <c r="C62" s="103">
        <f>COUNTIFS('reductions data'!A:A,B5,'reductions data'!G:G,'divisional &amp; regional overview'!B62)</f>
        <v>0</v>
      </c>
      <c r="D62" s="102">
        <f>SUMIFS('reductions data'!H:H,'reductions data'!A:A,B5,'reductions data'!G:G,'divisional &amp; regional overview'!B62)</f>
        <v>0</v>
      </c>
      <c r="E62" s="104"/>
      <c r="F62" s="104"/>
      <c r="G62" s="76"/>
    </row>
    <row r="63" spans="2:7" x14ac:dyDescent="0.15">
      <c r="B63" s="126" t="s">
        <v>1087</v>
      </c>
      <c r="C63" s="103">
        <f>COUNTIFS('reductions data'!A:A,B5,'reductions data'!G:G,'divisional &amp; regional overview'!B63)</f>
        <v>0</v>
      </c>
      <c r="D63" s="102">
        <f>SUMIFS('reductions data'!H:H,'reductions data'!A:A,B5,'reductions data'!G:G,'divisional &amp; regional overview'!B63)</f>
        <v>0</v>
      </c>
      <c r="E63" s="104"/>
      <c r="F63" s="104"/>
      <c r="G63" s="76"/>
    </row>
    <row r="64" spans="2:7" x14ac:dyDescent="0.15">
      <c r="B64" s="126" t="s">
        <v>1080</v>
      </c>
      <c r="C64" s="103">
        <f>COUNTIFS('reductions data'!A:A,B5,'reductions data'!G:G,'divisional &amp; regional overview'!B64)</f>
        <v>0</v>
      </c>
      <c r="D64" s="102">
        <f>SUMIFS('reductions data'!H:H,'reductions data'!A:A,B5,'reductions data'!G:G,'divisional &amp; regional overview'!B64)</f>
        <v>0</v>
      </c>
      <c r="E64" s="104"/>
      <c r="F64" s="104"/>
      <c r="G64" s="76"/>
    </row>
    <row r="65" spans="1:19" x14ac:dyDescent="0.15">
      <c r="B65" s="126" t="s">
        <v>1100</v>
      </c>
      <c r="C65" s="103">
        <f>COUNTIFS('reductions data'!A:A,B5,'reductions data'!G:G,'divisional &amp; regional overview'!B65)</f>
        <v>0</v>
      </c>
      <c r="D65" s="102">
        <f>SUMIFS('reductions data'!H:H,'reductions data'!A:A,B5,'reductions data'!G:G,'divisional &amp; regional overview'!B65)</f>
        <v>0</v>
      </c>
      <c r="E65" s="104"/>
      <c r="F65" s="104"/>
      <c r="G65" s="76"/>
    </row>
    <row r="66" spans="1:19" x14ac:dyDescent="0.15">
      <c r="B66" s="126" t="s">
        <v>1108</v>
      </c>
      <c r="C66" s="103">
        <f>COUNTIFS('reductions data'!A:A,B5,'reductions data'!G:G,'divisional &amp; regional overview'!B66)</f>
        <v>0</v>
      </c>
      <c r="D66" s="102">
        <f>SUMIFS('reductions data'!H:H,'reductions data'!A:A,B5,'reductions data'!G:G,'divisional &amp; regional overview'!B66)</f>
        <v>0</v>
      </c>
      <c r="E66" s="104"/>
      <c r="F66" s="104"/>
      <c r="G66" s="76"/>
    </row>
    <row r="67" spans="1:19" x14ac:dyDescent="0.15">
      <c r="B67" s="126" t="s">
        <v>1106</v>
      </c>
      <c r="C67" s="103">
        <f>COUNTIFS('reductions data'!A:A,B5,'reductions data'!G:G,'divisional &amp; regional overview'!B67)</f>
        <v>0</v>
      </c>
      <c r="D67" s="102">
        <f>SUMIFS('reductions data'!H:H,'reductions data'!A:A,B5,'reductions data'!G:G,'divisional &amp; regional overview'!B67)</f>
        <v>0</v>
      </c>
      <c r="E67" s="104"/>
      <c r="F67" s="104"/>
      <c r="G67" s="76"/>
    </row>
    <row r="68" spans="1:19" x14ac:dyDescent="0.15">
      <c r="B68" s="126" t="s">
        <v>1095</v>
      </c>
      <c r="C68" s="103">
        <f>COUNTIFS('reductions data'!A:A,B5,'reductions data'!G:G,'divisional &amp; regional overview'!B68)</f>
        <v>0</v>
      </c>
      <c r="D68" s="102">
        <f>SUMIFS('reductions data'!H:H,'reductions data'!A:A,B5,'reductions data'!G:G,'divisional &amp; regional overview'!B68)</f>
        <v>0</v>
      </c>
      <c r="E68" s="104"/>
      <c r="F68" s="104"/>
      <c r="G68" s="76"/>
    </row>
    <row r="69" spans="1:19" x14ac:dyDescent="0.15">
      <c r="B69" s="126" t="s">
        <v>1127</v>
      </c>
      <c r="C69" s="103">
        <f>COUNTIFS('reductions data'!A:A,B5,'reductions data'!G:G,'divisional &amp; regional overview'!B69)</f>
        <v>0</v>
      </c>
      <c r="D69" s="102">
        <f>SUMIFS('reductions data'!H:H,'reductions data'!A:A,B5,'reductions data'!G:G,'divisional &amp; regional overview'!B69)</f>
        <v>0</v>
      </c>
      <c r="E69" s="104"/>
      <c r="F69" s="104"/>
      <c r="G69" s="76"/>
    </row>
    <row r="70" spans="1:19" x14ac:dyDescent="0.15">
      <c r="B70" s="126" t="s">
        <v>1097</v>
      </c>
      <c r="C70" s="103">
        <f>COUNTIFS('reductions data'!A:A,B5,'reductions data'!G:G,'divisional &amp; regional overview'!B70)</f>
        <v>0</v>
      </c>
      <c r="D70" s="102">
        <f>SUMIFS('reductions data'!H:H,'reductions data'!A:A,B5,'reductions data'!G:G,'divisional &amp; regional overview'!B70)</f>
        <v>0</v>
      </c>
      <c r="E70" s="104"/>
      <c r="F70" s="104"/>
      <c r="G70" s="76"/>
    </row>
    <row r="71" spans="1:19" x14ac:dyDescent="0.15">
      <c r="B71" s="126" t="s">
        <v>1128</v>
      </c>
      <c r="C71" s="103">
        <f>COUNTIFS('reductions data'!A:A,B5,'reductions data'!G:G,'divisional &amp; regional overview'!B71)</f>
        <v>0</v>
      </c>
      <c r="D71" s="239">
        <f>SUMIFS('reductions data'!H:H,'reductions data'!A:A,B5,'reductions data'!G:G,'divisional &amp; regional overview'!B71)</f>
        <v>0</v>
      </c>
      <c r="E71" s="104"/>
      <c r="F71" s="104"/>
      <c r="G71" s="76"/>
    </row>
    <row r="72" spans="1:19" x14ac:dyDescent="0.15">
      <c r="B72" s="126" t="s">
        <v>1083</v>
      </c>
      <c r="C72" s="103">
        <f>COUNTIFS('reductions data'!A:A,B5,'reductions data'!G:G,'divisional &amp; regional overview'!B72)</f>
        <v>0</v>
      </c>
      <c r="D72" s="239">
        <f>SUMIFS('reductions data'!H:H,'reductions data'!A:A,B5,'reductions data'!G:G,'divisional &amp; regional overview'!B72)</f>
        <v>0</v>
      </c>
      <c r="E72" s="104"/>
      <c r="F72" s="104"/>
      <c r="G72" s="76"/>
    </row>
    <row r="73" spans="1:19" x14ac:dyDescent="0.15">
      <c r="B73" s="126" t="s">
        <v>1084</v>
      </c>
      <c r="C73" s="103">
        <f>COUNTIFS('reductions data'!A:A,B5,'reductions data'!G:G,'divisional &amp; regional overview'!B73)</f>
        <v>0</v>
      </c>
      <c r="D73" s="239">
        <f>SUMIFS('reductions data'!H:H,'reductions data'!A:A,B5,'reductions data'!G:G,'divisional &amp; regional overview'!B73)</f>
        <v>0</v>
      </c>
      <c r="E73" s="104"/>
      <c r="F73" s="104"/>
      <c r="G73" s="76"/>
    </row>
    <row r="74" spans="1:19" x14ac:dyDescent="0.15">
      <c r="B74" s="126" t="s">
        <v>1110</v>
      </c>
      <c r="C74" s="103">
        <f>COUNTIFS('reductions data'!A:A,B5,'reductions data'!G:G,'divisional &amp; regional overview'!B74)</f>
        <v>0</v>
      </c>
      <c r="D74" s="239">
        <f>SUMIFS('reductions data'!H:H,'reductions data'!A:A,B5,'reductions data'!G:G,'divisional &amp; regional overview'!B74)</f>
        <v>0</v>
      </c>
      <c r="E74" s="104"/>
      <c r="F74" s="104"/>
      <c r="G74" s="76"/>
    </row>
    <row r="75" spans="1:19" x14ac:dyDescent="0.15">
      <c r="B75" s="126" t="s">
        <v>1103</v>
      </c>
      <c r="C75" s="103">
        <f>COUNTIFS('reductions data'!A:A,B5,'reductions data'!G:G,'divisional &amp; regional overview'!B75)</f>
        <v>0</v>
      </c>
      <c r="D75" s="239">
        <f>SUMIFS('reductions data'!H:H,'reductions data'!A:A,B5,'reductions data'!G:G,'divisional &amp; regional overview'!B75)</f>
        <v>0</v>
      </c>
      <c r="E75" s="104"/>
      <c r="F75" s="104"/>
      <c r="G75" s="76"/>
    </row>
    <row r="76" spans="1:19" x14ac:dyDescent="0.15">
      <c r="A76" s="104"/>
      <c r="B76" s="104"/>
      <c r="C76" s="104"/>
      <c r="D76" s="104"/>
      <c r="E76" s="104"/>
      <c r="F76" s="104"/>
      <c r="G76" s="76"/>
    </row>
    <row r="77" spans="1:19" x14ac:dyDescent="0.15">
      <c r="A77" s="104"/>
      <c r="B77" s="104"/>
      <c r="C77" s="104"/>
      <c r="D77" s="104"/>
      <c r="E77" s="104"/>
      <c r="F77" s="104"/>
      <c r="G77" s="76"/>
    </row>
    <row r="78" spans="1:19" x14ac:dyDescent="0.15">
      <c r="A78" s="104"/>
      <c r="B78" s="104"/>
      <c r="C78" s="104"/>
      <c r="D78" s="104"/>
      <c r="E78" s="104"/>
      <c r="F78" s="104"/>
      <c r="G78" s="76"/>
    </row>
    <row r="79" spans="1:19" ht="16" x14ac:dyDescent="0.2">
      <c r="E79" s="1"/>
      <c r="F79" s="1"/>
    </row>
    <row r="80" spans="1:19" ht="16.5" customHeight="1" x14ac:dyDescent="0.2">
      <c r="B80" s="23"/>
      <c r="C80" s="271" t="s">
        <v>1189</v>
      </c>
      <c r="D80" s="272"/>
      <c r="E80" s="272"/>
      <c r="F80" s="272"/>
      <c r="G80" s="272"/>
      <c r="H80" s="272"/>
      <c r="I80" s="272"/>
      <c r="J80" s="272"/>
      <c r="K80" s="272"/>
      <c r="L80" s="272"/>
      <c r="M80" s="272"/>
      <c r="N80" s="272"/>
      <c r="O80" s="272"/>
      <c r="P80" s="272"/>
      <c r="Q80" s="272"/>
      <c r="R80" s="272"/>
      <c r="S80" s="272"/>
    </row>
    <row r="81" spans="2:37" x14ac:dyDescent="0.15">
      <c r="B81" s="106" t="str">
        <f>B5</f>
        <v>Wales</v>
      </c>
      <c r="C81" s="42" t="s">
        <v>1019</v>
      </c>
      <c r="D81" s="42" t="s">
        <v>1020</v>
      </c>
      <c r="E81" s="42" t="s">
        <v>1021</v>
      </c>
      <c r="F81" s="42" t="s">
        <v>1022</v>
      </c>
      <c r="G81" s="42" t="s">
        <v>1023</v>
      </c>
      <c r="H81" s="42" t="s">
        <v>1024</v>
      </c>
      <c r="I81" s="42" t="s">
        <v>1025</v>
      </c>
      <c r="J81" s="42" t="s">
        <v>1026</v>
      </c>
      <c r="K81" s="42" t="s">
        <v>1027</v>
      </c>
      <c r="L81" s="42" t="s">
        <v>1028</v>
      </c>
      <c r="M81" s="42" t="s">
        <v>1029</v>
      </c>
      <c r="N81" s="42" t="s">
        <v>1030</v>
      </c>
      <c r="O81" s="42" t="s">
        <v>1031</v>
      </c>
      <c r="P81" s="42" t="s">
        <v>1032</v>
      </c>
      <c r="Q81" s="42" t="s">
        <v>1033</v>
      </c>
      <c r="R81" s="42" t="s">
        <v>1034</v>
      </c>
      <c r="S81" s="42" t="s">
        <v>1036</v>
      </c>
    </row>
    <row r="82" spans="2:37" x14ac:dyDescent="0.15">
      <c r="B82" s="87" t="s">
        <v>1190</v>
      </c>
      <c r="C82" s="107">
        <f>SUMIFS('caseload data'!E:E,'caseload data'!$B:$B,"custody",'caseload data'!$A:$A,$B$81)</f>
        <v>0</v>
      </c>
      <c r="D82" s="107">
        <f>SUMIFS('caseload data'!F:F,'caseload data'!$B:$B,"custody",'caseload data'!$A:$A,$B$81)</f>
        <v>0</v>
      </c>
      <c r="E82" s="107">
        <f>SUMIFS('caseload data'!G:G,'caseload data'!$B:$B,"custody",'caseload data'!$A:$A,$B$81)</f>
        <v>0</v>
      </c>
      <c r="F82" s="107">
        <f>SUMIFS('caseload data'!H:H,'caseload data'!$B:$B,"custody",'caseload data'!$A:$A,$B$81)</f>
        <v>0</v>
      </c>
      <c r="G82" s="107">
        <f>SUMIFS('caseload data'!I:I,'caseload data'!$B:$B,"custody",'caseload data'!$A:$A,$B$81)</f>
        <v>0</v>
      </c>
      <c r="H82" s="107">
        <f>SUMIFS('caseload data'!J:J,'caseload data'!$B:$B,"custody",'caseload data'!$A:$A,$B$81)</f>
        <v>0</v>
      </c>
      <c r="I82" s="107">
        <f>SUMIFS('caseload data'!K:K,'caseload data'!$B:$B,"custody",'caseload data'!$A:$A,$B$81)</f>
        <v>0</v>
      </c>
      <c r="J82" s="107">
        <f>SUMIFS('caseload data'!L:L,'caseload data'!$B:$B,"custody",'caseload data'!$A:$A,$B$81)</f>
        <v>0</v>
      </c>
      <c r="K82" s="107">
        <f>SUMIFS('caseload data'!M:M,'caseload data'!$B:$B,"custody",'caseload data'!$A:$A,$B$81)</f>
        <v>0</v>
      </c>
      <c r="L82" s="107">
        <f>SUMIFS('caseload data'!N:N,'caseload data'!$B:$B,"custody",'caseload data'!$A:$A,$B$81)</f>
        <v>0</v>
      </c>
      <c r="M82" s="107">
        <f>SUMIFS('caseload data'!O:O,'caseload data'!$B:$B,"custody",'caseload data'!$A:$A,$B$81)</f>
        <v>0</v>
      </c>
      <c r="N82" s="107">
        <f>SUMIFS('caseload data'!P:P,'caseload data'!$B:$B,"custody",'caseload data'!$A:$A,$B$81)</f>
        <v>0</v>
      </c>
      <c r="O82" s="107">
        <f>SUMIFS('caseload data'!Q:Q,'caseload data'!$B:$B,"custody",'caseload data'!$A:$A,$B$81)</f>
        <v>0</v>
      </c>
      <c r="P82" s="107">
        <f>SUMIFS('caseload data'!R:R,'caseload data'!$B:$B,"custody",'caseload data'!$A:$A,$B$81)</f>
        <v>0</v>
      </c>
      <c r="Q82" s="107">
        <f>SUMIFS('caseload data'!S:S,'caseload data'!$B:$B,"custody",'caseload data'!$A:$A,$B$81)</f>
        <v>0</v>
      </c>
      <c r="R82" s="107">
        <f>SUMIFS('caseload data'!T:T,'caseload data'!$B:$B,"custody",'caseload data'!$A:$A,$B$81)</f>
        <v>0</v>
      </c>
      <c r="S82" s="107">
        <f>SUMIFS('caseload data'!V:V,'caseload data'!A:A,B81,'caseload data'!B:B,"custody")</f>
        <v>0</v>
      </c>
    </row>
    <row r="83" spans="2:37" x14ac:dyDescent="0.15">
      <c r="B83" s="87" t="s">
        <v>1191</v>
      </c>
      <c r="C83" s="87">
        <f>SUMIFS('caseload data'!E:E,'caseload data'!$B:$B,"licence",'caseload data'!$A:$A,$B$81)</f>
        <v>0</v>
      </c>
      <c r="D83" s="87">
        <f>SUMIFS('caseload data'!F:F,'caseload data'!$B:$B,"licence",'caseload data'!$A:$A,$B$81)</f>
        <v>0</v>
      </c>
      <c r="E83" s="87">
        <f>SUMIFS('caseload data'!G:G,'caseload data'!$B:$B,"licence",'caseload data'!$A:$A,$B$81)</f>
        <v>0</v>
      </c>
      <c r="F83" s="87">
        <f>SUMIFS('caseload data'!H:H,'caseload data'!$B:$B,"licence",'caseload data'!$A:$A,$B$81)</f>
        <v>0</v>
      </c>
      <c r="G83" s="87">
        <f>SUMIFS('caseload data'!I:I,'caseload data'!$B:$B,"licence",'caseload data'!$A:$A,$B$81)</f>
        <v>0</v>
      </c>
      <c r="H83" s="87">
        <f>SUMIFS('caseload data'!J:J,'caseload data'!$B:$B,"licence",'caseload data'!$A:$A,$B$81)</f>
        <v>0</v>
      </c>
      <c r="I83" s="87">
        <f>SUMIFS('caseload data'!K:K,'caseload data'!$B:$B,"licence",'caseload data'!$A:$A,$B$81)</f>
        <v>0</v>
      </c>
      <c r="J83" s="87">
        <f>SUMIFS('caseload data'!L:L,'caseload data'!$B:$B,"licence",'caseload data'!$A:$A,$B$81)</f>
        <v>0</v>
      </c>
      <c r="K83" s="87">
        <f>SUMIFS('caseload data'!M:M,'caseload data'!$B:$B,"licence",'caseload data'!$A:$A,$B$81)</f>
        <v>0</v>
      </c>
      <c r="L83" s="87">
        <f>SUMIFS('caseload data'!N:N,'caseload data'!$B:$B,"licence",'caseload data'!$A:$A,$B$81)</f>
        <v>0</v>
      </c>
      <c r="M83" s="87">
        <f>SUMIFS('caseload data'!O:O,'caseload data'!$B:$B,"licence",'caseload data'!$A:$A,$B$81)</f>
        <v>0</v>
      </c>
      <c r="N83" s="87">
        <f>SUMIFS('caseload data'!P:P,'caseload data'!$B:$B,"licence",'caseload data'!$A:$A,$B$81)</f>
        <v>0</v>
      </c>
      <c r="O83" s="87">
        <f>SUMIFS('caseload data'!Q:Q,'caseload data'!$B:$B,"licence",'caseload data'!$A:$A,$B$81)</f>
        <v>0</v>
      </c>
      <c r="P83" s="87">
        <f>SUMIFS('caseload data'!R:R,'caseload data'!$B:$B,"licence",'caseload data'!$A:$A,$B$81)</f>
        <v>0</v>
      </c>
      <c r="Q83" s="87">
        <f>SUMIFS('caseload data'!S:S,'caseload data'!$B:$B,"licence",'caseload data'!$A:$A,$B$81)</f>
        <v>0</v>
      </c>
      <c r="R83" s="87">
        <f>SUMIFS('caseload data'!T:T,'caseload data'!$B:$B,"licence",'caseload data'!$A:$A,$B$81)</f>
        <v>0</v>
      </c>
      <c r="S83" s="87">
        <f>SUMIFS('caseload data'!V:V,'caseload data'!A:A,B81,'caseload data'!B:B,"licence")</f>
        <v>0</v>
      </c>
    </row>
    <row r="84" spans="2:37" x14ac:dyDescent="0.15">
      <c r="B84" s="87" t="s">
        <v>1192</v>
      </c>
      <c r="C84" s="87">
        <f>SUMIFS('caseload data'!E:E,'caseload data'!$B:$B,"community",'caseload data'!$A:$A,$B$81)</f>
        <v>0</v>
      </c>
      <c r="D84" s="87">
        <f>SUMIFS('caseload data'!F:F,'caseload data'!$B:$B,"community",'caseload data'!$A:$A,$B$81)</f>
        <v>0</v>
      </c>
      <c r="E84" s="87">
        <f>SUMIFS('caseload data'!G:G,'caseload data'!$B:$B,"community",'caseload data'!$A:$A,$B$81)</f>
        <v>0</v>
      </c>
      <c r="F84" s="87">
        <f>SUMIFS('caseload data'!H:H,'caseload data'!$B:$B,"community",'caseload data'!$A:$A,$B$81)</f>
        <v>0</v>
      </c>
      <c r="G84" s="87">
        <f>SUMIFS('caseload data'!I:I,'caseload data'!$B:$B,"community",'caseload data'!$A:$A,$B$81)</f>
        <v>0</v>
      </c>
      <c r="H84" s="87">
        <f>SUMIFS('caseload data'!J:J,'caseload data'!$B:$B,"community",'caseload data'!$A:$A,$B$81)</f>
        <v>0</v>
      </c>
      <c r="I84" s="87">
        <f>SUMIFS('caseload data'!K:K,'caseload data'!$B:$B,"community",'caseload data'!$A:$A,$B$81)</f>
        <v>0</v>
      </c>
      <c r="J84" s="87">
        <f>SUMIFS('caseload data'!L:L,'caseload data'!$B:$B,"community",'caseload data'!$A:$A,$B$81)</f>
        <v>0</v>
      </c>
      <c r="K84" s="87">
        <f>SUMIFS('caseload data'!M:M,'caseload data'!$B:$B,"community",'caseload data'!$A:$A,$B$81)</f>
        <v>0</v>
      </c>
      <c r="L84" s="87">
        <f>SUMIFS('caseload data'!N:N,'caseload data'!$B:$B,"community",'caseload data'!$A:$A,$B$81)</f>
        <v>0</v>
      </c>
      <c r="M84" s="87">
        <f>SUMIFS('caseload data'!O:O,'caseload data'!$B:$B,"community",'caseload data'!$A:$A,$B$81)</f>
        <v>0</v>
      </c>
      <c r="N84" s="87">
        <f>SUMIFS('caseload data'!P:P,'caseload data'!$B:$B,"community",'caseload data'!$A:$A,$B$81)</f>
        <v>0</v>
      </c>
      <c r="O84" s="87">
        <f>SUMIFS('caseload data'!Q:Q,'caseload data'!$B:$B,"community",'caseload data'!$A:$A,$B$81)</f>
        <v>0</v>
      </c>
      <c r="P84" s="87">
        <f>SUMIFS('caseload data'!R:R,'caseload data'!$B:$B,"community",'caseload data'!$A:$A,$B$81)</f>
        <v>0</v>
      </c>
      <c r="Q84" s="87">
        <f>SUMIFS('caseload data'!S:S,'caseload data'!$B:$B,"community",'caseload data'!$A:$A,$B$81)</f>
        <v>0</v>
      </c>
      <c r="R84" s="87">
        <f>SUMIFS('caseload data'!T:T,'caseload data'!$B:$B,"community",'caseload data'!$A:$A,$B$81)</f>
        <v>0</v>
      </c>
      <c r="S84" s="87">
        <f>SUMIFS('caseload data'!V:V,'caseload data'!A:A,B81,'caseload data'!B:B,"community")</f>
        <v>0</v>
      </c>
    </row>
    <row r="85" spans="2:37" x14ac:dyDescent="0.15">
      <c r="B85" s="123" t="s">
        <v>1036</v>
      </c>
      <c r="C85" s="123">
        <f>SUMIF('caseload data'!$A:$A,$B$81,'caseload data'!E:E)</f>
        <v>0</v>
      </c>
      <c r="D85" s="123">
        <f>SUMIF('caseload data'!$A:$A,$B$81,'caseload data'!F:F)</f>
        <v>0</v>
      </c>
      <c r="E85" s="123">
        <f>SUMIF('caseload data'!$A:$A,$B$81,'caseload data'!G:G)</f>
        <v>0</v>
      </c>
      <c r="F85" s="123">
        <f>SUMIF('caseload data'!$A:$A,$B$81,'caseload data'!H:H)</f>
        <v>0</v>
      </c>
      <c r="G85" s="123">
        <f>SUMIF('caseload data'!$A:$A,$B$81,'caseload data'!I:I)</f>
        <v>0</v>
      </c>
      <c r="H85" s="123">
        <f>SUMIF('caseload data'!$A:$A,$B$81,'caseload data'!J:J)</f>
        <v>0</v>
      </c>
      <c r="I85" s="123">
        <f>SUMIF('caseload data'!$A:$A,$B$81,'caseload data'!K:K)</f>
        <v>0</v>
      </c>
      <c r="J85" s="123">
        <f>SUMIF('caseload data'!$A:$A,$B$81,'caseload data'!L:L)</f>
        <v>0</v>
      </c>
      <c r="K85" s="123">
        <f>SUMIF('caseload data'!$A:$A,$B$81,'caseload data'!M:M)</f>
        <v>0</v>
      </c>
      <c r="L85" s="123">
        <f>SUMIF('caseload data'!$A:$A,$B$81,'caseload data'!N:N)</f>
        <v>0</v>
      </c>
      <c r="M85" s="123">
        <f>SUMIF('caseload data'!$A:$A,$B$81,'caseload data'!O:O)</f>
        <v>0</v>
      </c>
      <c r="N85" s="123">
        <f>SUMIF('caseload data'!$A:$A,$B$81,'caseload data'!P:P)</f>
        <v>0</v>
      </c>
      <c r="O85" s="123">
        <f>SUMIF('caseload data'!$A:$A,$B$81,'caseload data'!Q:Q)</f>
        <v>0</v>
      </c>
      <c r="P85" s="123">
        <f>SUMIF('caseload data'!$A:$A,$B$81,'caseload data'!R:R)</f>
        <v>0</v>
      </c>
      <c r="Q85" s="123">
        <f>SUMIF('caseload data'!$A:$A,$B$81,'caseload data'!S:S)</f>
        <v>0</v>
      </c>
      <c r="R85" s="123">
        <f>SUMIF('caseload data'!$A:$A,$B$81,'caseload data'!T:T)</f>
        <v>0</v>
      </c>
      <c r="S85" s="123">
        <f>SUMIF('caseload data'!A:A,B81,'caseload data'!V:V)</f>
        <v>0</v>
      </c>
    </row>
    <row r="86" spans="2:37" x14ac:dyDescent="0.15">
      <c r="B86" s="23"/>
      <c r="C86" s="23"/>
      <c r="D86" s="23"/>
      <c r="E86" s="23"/>
      <c r="F86" s="23"/>
      <c r="G86" s="23"/>
      <c r="H86" s="23"/>
      <c r="I86" s="23"/>
      <c r="J86" s="23"/>
    </row>
    <row r="87" spans="2:37" ht="16" x14ac:dyDescent="0.2">
      <c r="B87" s="23"/>
      <c r="C87" s="271" t="s">
        <v>1193</v>
      </c>
      <c r="D87" s="272"/>
      <c r="E87" s="272"/>
      <c r="F87" s="272"/>
      <c r="G87" s="272"/>
      <c r="H87" s="272"/>
      <c r="I87" s="272"/>
      <c r="J87" s="272"/>
      <c r="K87" s="272"/>
      <c r="L87" s="272"/>
      <c r="M87" s="272"/>
      <c r="N87" s="272"/>
      <c r="O87" s="272"/>
      <c r="P87" s="272"/>
      <c r="Q87" s="272"/>
      <c r="R87" s="272"/>
    </row>
    <row r="88" spans="2:37" x14ac:dyDescent="0.15">
      <c r="B88" s="106" t="str">
        <f>B5</f>
        <v>Wales</v>
      </c>
      <c r="C88" s="42" t="s">
        <v>1019</v>
      </c>
      <c r="D88" s="42" t="s">
        <v>1020</v>
      </c>
      <c r="E88" s="42" t="s">
        <v>1021</v>
      </c>
      <c r="F88" s="42" t="s">
        <v>1022</v>
      </c>
      <c r="G88" s="42" t="s">
        <v>1023</v>
      </c>
      <c r="H88" s="42" t="s">
        <v>1024</v>
      </c>
      <c r="I88" s="42" t="s">
        <v>1025</v>
      </c>
      <c r="J88" s="42" t="s">
        <v>1026</v>
      </c>
      <c r="K88" s="42" t="s">
        <v>1027</v>
      </c>
      <c r="L88" s="42" t="s">
        <v>1028</v>
      </c>
      <c r="M88" s="42" t="s">
        <v>1029</v>
      </c>
      <c r="N88" s="42" t="s">
        <v>1030</v>
      </c>
      <c r="O88" s="42" t="s">
        <v>1031</v>
      </c>
      <c r="P88" s="42" t="s">
        <v>1032</v>
      </c>
      <c r="Q88" s="42" t="s">
        <v>1033</v>
      </c>
      <c r="R88" s="42" t="s">
        <v>1034</v>
      </c>
    </row>
    <row r="89" spans="2:37" x14ac:dyDescent="0.15">
      <c r="B89" s="87" t="s">
        <v>1190</v>
      </c>
      <c r="C89" s="78" t="e">
        <f t="shared" ref="C89:R89" si="0">C82/$S$82</f>
        <v>#DIV/0!</v>
      </c>
      <c r="D89" s="78" t="e">
        <f t="shared" si="0"/>
        <v>#DIV/0!</v>
      </c>
      <c r="E89" s="78" t="e">
        <f t="shared" si="0"/>
        <v>#DIV/0!</v>
      </c>
      <c r="F89" s="78" t="e">
        <f t="shared" si="0"/>
        <v>#DIV/0!</v>
      </c>
      <c r="G89" s="78" t="e">
        <f t="shared" si="0"/>
        <v>#DIV/0!</v>
      </c>
      <c r="H89" s="78" t="e">
        <f t="shared" si="0"/>
        <v>#DIV/0!</v>
      </c>
      <c r="I89" s="78" t="e">
        <f t="shared" si="0"/>
        <v>#DIV/0!</v>
      </c>
      <c r="J89" s="78" t="e">
        <f t="shared" si="0"/>
        <v>#DIV/0!</v>
      </c>
      <c r="K89" s="78" t="e">
        <f t="shared" si="0"/>
        <v>#DIV/0!</v>
      </c>
      <c r="L89" s="78" t="e">
        <f t="shared" si="0"/>
        <v>#DIV/0!</v>
      </c>
      <c r="M89" s="78" t="e">
        <f t="shared" si="0"/>
        <v>#DIV/0!</v>
      </c>
      <c r="N89" s="78" t="e">
        <f t="shared" si="0"/>
        <v>#DIV/0!</v>
      </c>
      <c r="O89" s="78" t="e">
        <f t="shared" si="0"/>
        <v>#DIV/0!</v>
      </c>
      <c r="P89" s="78" t="e">
        <f t="shared" si="0"/>
        <v>#DIV/0!</v>
      </c>
      <c r="Q89" s="78" t="e">
        <f t="shared" si="0"/>
        <v>#DIV/0!</v>
      </c>
      <c r="R89" s="78" t="e">
        <f t="shared" si="0"/>
        <v>#DIV/0!</v>
      </c>
    </row>
    <row r="90" spans="2:37" x14ac:dyDescent="0.15">
      <c r="B90" s="87" t="s">
        <v>1191</v>
      </c>
      <c r="C90" s="78" t="e">
        <f t="shared" ref="C90:R90" si="1">C83/$S$83</f>
        <v>#DIV/0!</v>
      </c>
      <c r="D90" s="78" t="e">
        <f t="shared" si="1"/>
        <v>#DIV/0!</v>
      </c>
      <c r="E90" s="78" t="e">
        <f t="shared" si="1"/>
        <v>#DIV/0!</v>
      </c>
      <c r="F90" s="78" t="e">
        <f t="shared" si="1"/>
        <v>#DIV/0!</v>
      </c>
      <c r="G90" s="78" t="e">
        <f t="shared" si="1"/>
        <v>#DIV/0!</v>
      </c>
      <c r="H90" s="78" t="e">
        <f t="shared" si="1"/>
        <v>#DIV/0!</v>
      </c>
      <c r="I90" s="78" t="e">
        <f t="shared" si="1"/>
        <v>#DIV/0!</v>
      </c>
      <c r="J90" s="78" t="e">
        <f t="shared" si="1"/>
        <v>#DIV/0!</v>
      </c>
      <c r="K90" s="78" t="e">
        <f t="shared" si="1"/>
        <v>#DIV/0!</v>
      </c>
      <c r="L90" s="78" t="e">
        <f t="shared" si="1"/>
        <v>#DIV/0!</v>
      </c>
      <c r="M90" s="78" t="e">
        <f t="shared" si="1"/>
        <v>#DIV/0!</v>
      </c>
      <c r="N90" s="78" t="e">
        <f t="shared" si="1"/>
        <v>#DIV/0!</v>
      </c>
      <c r="O90" s="78" t="e">
        <f t="shared" si="1"/>
        <v>#DIV/0!</v>
      </c>
      <c r="P90" s="78" t="e">
        <f t="shared" si="1"/>
        <v>#DIV/0!</v>
      </c>
      <c r="Q90" s="78" t="e">
        <f t="shared" si="1"/>
        <v>#DIV/0!</v>
      </c>
      <c r="R90" s="78" t="e">
        <f t="shared" si="1"/>
        <v>#DIV/0!</v>
      </c>
    </row>
    <row r="91" spans="2:37" x14ac:dyDescent="0.15">
      <c r="B91" s="87" t="s">
        <v>1192</v>
      </c>
      <c r="C91" s="78" t="e">
        <f t="shared" ref="C91:R91" si="2">C84/$S$84</f>
        <v>#DIV/0!</v>
      </c>
      <c r="D91" s="78" t="e">
        <f t="shared" si="2"/>
        <v>#DIV/0!</v>
      </c>
      <c r="E91" s="78" t="e">
        <f t="shared" si="2"/>
        <v>#DIV/0!</v>
      </c>
      <c r="F91" s="78" t="e">
        <f t="shared" si="2"/>
        <v>#DIV/0!</v>
      </c>
      <c r="G91" s="78" t="e">
        <f t="shared" si="2"/>
        <v>#DIV/0!</v>
      </c>
      <c r="H91" s="78" t="e">
        <f t="shared" si="2"/>
        <v>#DIV/0!</v>
      </c>
      <c r="I91" s="78" t="e">
        <f t="shared" si="2"/>
        <v>#DIV/0!</v>
      </c>
      <c r="J91" s="78" t="e">
        <f t="shared" si="2"/>
        <v>#DIV/0!</v>
      </c>
      <c r="K91" s="78" t="e">
        <f t="shared" si="2"/>
        <v>#DIV/0!</v>
      </c>
      <c r="L91" s="78" t="e">
        <f t="shared" si="2"/>
        <v>#DIV/0!</v>
      </c>
      <c r="M91" s="78" t="e">
        <f t="shared" si="2"/>
        <v>#DIV/0!</v>
      </c>
      <c r="N91" s="78" t="e">
        <f t="shared" si="2"/>
        <v>#DIV/0!</v>
      </c>
      <c r="O91" s="78" t="e">
        <f t="shared" si="2"/>
        <v>#DIV/0!</v>
      </c>
      <c r="P91" s="78" t="e">
        <f t="shared" si="2"/>
        <v>#DIV/0!</v>
      </c>
      <c r="Q91" s="78" t="e">
        <f t="shared" si="2"/>
        <v>#DIV/0!</v>
      </c>
      <c r="R91" s="78" t="e">
        <f t="shared" si="2"/>
        <v>#DIV/0!</v>
      </c>
    </row>
    <row r="92" spans="2:37" x14ac:dyDescent="0.15">
      <c r="B92" s="112" t="s">
        <v>1036</v>
      </c>
      <c r="C92" s="112" t="e">
        <f>C85/$S$85</f>
        <v>#DIV/0!</v>
      </c>
      <c r="D92" s="112" t="e">
        <f t="shared" ref="D92:R92" si="3">D85/$S$85</f>
        <v>#DIV/0!</v>
      </c>
      <c r="E92" s="112" t="e">
        <f t="shared" si="3"/>
        <v>#DIV/0!</v>
      </c>
      <c r="F92" s="112" t="e">
        <f t="shared" si="3"/>
        <v>#DIV/0!</v>
      </c>
      <c r="G92" s="112" t="e">
        <f t="shared" si="3"/>
        <v>#DIV/0!</v>
      </c>
      <c r="H92" s="112" t="e">
        <f t="shared" si="3"/>
        <v>#DIV/0!</v>
      </c>
      <c r="I92" s="112" t="e">
        <f t="shared" si="3"/>
        <v>#DIV/0!</v>
      </c>
      <c r="J92" s="112" t="e">
        <f t="shared" si="3"/>
        <v>#DIV/0!</v>
      </c>
      <c r="K92" s="112" t="e">
        <f t="shared" si="3"/>
        <v>#DIV/0!</v>
      </c>
      <c r="L92" s="112" t="e">
        <f t="shared" si="3"/>
        <v>#DIV/0!</v>
      </c>
      <c r="M92" s="112" t="e">
        <f t="shared" si="3"/>
        <v>#DIV/0!</v>
      </c>
      <c r="N92" s="112" t="e">
        <f t="shared" si="3"/>
        <v>#DIV/0!</v>
      </c>
      <c r="O92" s="112" t="e">
        <f t="shared" si="3"/>
        <v>#DIV/0!</v>
      </c>
      <c r="P92" s="112" t="e">
        <f t="shared" si="3"/>
        <v>#DIV/0!</v>
      </c>
      <c r="Q92" s="112" t="e">
        <f t="shared" si="3"/>
        <v>#DIV/0!</v>
      </c>
      <c r="R92" s="112" t="e">
        <f t="shared" si="3"/>
        <v>#DIV/0!</v>
      </c>
    </row>
    <row r="93" spans="2:37" x14ac:dyDescent="0.15">
      <c r="U93" s="250" t="s">
        <v>1194</v>
      </c>
      <c r="V93" s="251"/>
      <c r="W93" s="251"/>
      <c r="X93" s="251"/>
      <c r="Y93" s="251"/>
      <c r="Z93" s="251"/>
      <c r="AA93" s="251"/>
      <c r="AB93" s="251"/>
      <c r="AC93" s="251"/>
      <c r="AD93" s="251"/>
      <c r="AE93" s="251"/>
      <c r="AF93" s="251"/>
      <c r="AG93" s="251"/>
      <c r="AH93" s="251"/>
      <c r="AI93" s="251"/>
      <c r="AJ93" s="251"/>
      <c r="AK93" s="251"/>
    </row>
    <row r="94" spans="2:37" x14ac:dyDescent="0.15">
      <c r="U94" s="43" t="s">
        <v>1195</v>
      </c>
      <c r="V94" s="42" t="s">
        <v>1019</v>
      </c>
      <c r="W94" s="42" t="s">
        <v>1020</v>
      </c>
      <c r="X94" s="42" t="s">
        <v>1021</v>
      </c>
      <c r="Y94" s="42" t="s">
        <v>1022</v>
      </c>
      <c r="Z94" s="42" t="s">
        <v>1023</v>
      </c>
      <c r="AA94" s="42" t="s">
        <v>1024</v>
      </c>
      <c r="AB94" s="42" t="s">
        <v>1025</v>
      </c>
      <c r="AC94" s="42" t="s">
        <v>1026</v>
      </c>
      <c r="AD94" s="42" t="s">
        <v>1027</v>
      </c>
      <c r="AE94" s="42" t="s">
        <v>1028</v>
      </c>
      <c r="AF94" s="42" t="s">
        <v>1029</v>
      </c>
      <c r="AG94" s="42" t="s">
        <v>1030</v>
      </c>
      <c r="AH94" s="42" t="s">
        <v>1031</v>
      </c>
      <c r="AI94" s="42" t="s">
        <v>1032</v>
      </c>
      <c r="AJ94" s="42" t="s">
        <v>1033</v>
      </c>
      <c r="AK94" s="42" t="s">
        <v>1034</v>
      </c>
    </row>
    <row r="95" spans="2:37" x14ac:dyDescent="0.15">
      <c r="B95" s="23"/>
      <c r="C95" s="65"/>
      <c r="D95" s="65"/>
      <c r="E95" s="65"/>
      <c r="F95" s="65"/>
      <c r="G95" s="65"/>
      <c r="H95" s="65"/>
      <c r="I95" s="65"/>
      <c r="J95" s="23"/>
      <c r="U95" s="35" t="s">
        <v>1037</v>
      </c>
      <c r="V95" s="18">
        <v>1</v>
      </c>
      <c r="W95" s="18">
        <v>1</v>
      </c>
      <c r="X95" s="18">
        <v>1</v>
      </c>
      <c r="Y95" s="18">
        <v>0.75</v>
      </c>
      <c r="Z95" s="18">
        <v>0.1</v>
      </c>
      <c r="AA95" s="18">
        <v>0</v>
      </c>
      <c r="AB95" s="18">
        <v>0</v>
      </c>
    </row>
    <row r="96" spans="2:37" x14ac:dyDescent="0.15">
      <c r="B96" s="23"/>
      <c r="C96" s="23"/>
      <c r="D96" s="23"/>
      <c r="E96" s="23"/>
      <c r="F96" s="23"/>
      <c r="G96" s="23"/>
      <c r="H96" s="23"/>
      <c r="I96" s="23"/>
      <c r="J96" s="23"/>
      <c r="U96" s="48" t="s">
        <v>1196</v>
      </c>
      <c r="V96" s="18">
        <v>0</v>
      </c>
      <c r="W96" s="18">
        <v>0</v>
      </c>
      <c r="X96" s="18">
        <v>0</v>
      </c>
      <c r="Y96" s="18">
        <v>0.25</v>
      </c>
      <c r="Z96" s="18">
        <v>0.9</v>
      </c>
      <c r="AA96" s="18">
        <v>1</v>
      </c>
      <c r="AB96" s="18">
        <v>1</v>
      </c>
    </row>
    <row r="97" spans="2:37" x14ac:dyDescent="0.15">
      <c r="B97" s="23"/>
      <c r="C97" s="23"/>
      <c r="D97" s="23"/>
      <c r="E97" s="23"/>
      <c r="F97" s="23"/>
      <c r="G97" s="23"/>
      <c r="H97" s="23"/>
      <c r="I97" s="23"/>
      <c r="J97" s="23"/>
    </row>
    <row r="98" spans="2:37" x14ac:dyDescent="0.15">
      <c r="B98" s="59" t="str">
        <f>B5</f>
        <v>Wales</v>
      </c>
      <c r="C98" s="265" t="s">
        <v>1197</v>
      </c>
      <c r="D98" s="266"/>
      <c r="E98" s="266"/>
      <c r="F98" s="266"/>
      <c r="G98" s="266"/>
      <c r="H98" s="266"/>
      <c r="I98" s="266"/>
      <c r="J98" s="266"/>
      <c r="K98" s="266"/>
      <c r="L98" s="266"/>
      <c r="M98" s="266"/>
      <c r="N98" s="266"/>
      <c r="O98" s="266"/>
      <c r="P98" s="266"/>
      <c r="Q98" s="266"/>
      <c r="R98" s="266"/>
      <c r="U98" s="59" t="str">
        <f>B5</f>
        <v>Wales</v>
      </c>
      <c r="V98" s="265" t="s">
        <v>1198</v>
      </c>
      <c r="W98" s="266"/>
      <c r="X98" s="266"/>
      <c r="Y98" s="266"/>
      <c r="Z98" s="266"/>
      <c r="AA98" s="266"/>
      <c r="AB98" s="266"/>
      <c r="AC98" s="266"/>
      <c r="AD98" s="266"/>
      <c r="AE98" s="266"/>
      <c r="AF98" s="266"/>
      <c r="AG98" s="266"/>
      <c r="AH98" s="266"/>
      <c r="AI98" s="266"/>
      <c r="AJ98" s="266"/>
      <c r="AK98" s="266"/>
    </row>
    <row r="99" spans="2:37" x14ac:dyDescent="0.15">
      <c r="B99" s="108" t="s">
        <v>1199</v>
      </c>
      <c r="C99" s="42" t="s">
        <v>1019</v>
      </c>
      <c r="D99" s="42" t="s">
        <v>1020</v>
      </c>
      <c r="E99" s="42" t="s">
        <v>1021</v>
      </c>
      <c r="F99" s="42" t="s">
        <v>1022</v>
      </c>
      <c r="G99" s="42" t="s">
        <v>1023</v>
      </c>
      <c r="H99" s="42" t="s">
        <v>1024</v>
      </c>
      <c r="I99" s="42" t="s">
        <v>1025</v>
      </c>
      <c r="J99" s="42" t="s">
        <v>1026</v>
      </c>
      <c r="K99" s="42" t="s">
        <v>1027</v>
      </c>
      <c r="L99" s="42" t="s">
        <v>1028</v>
      </c>
      <c r="M99" s="42" t="s">
        <v>1029</v>
      </c>
      <c r="N99" s="42" t="s">
        <v>1030</v>
      </c>
      <c r="O99" s="42" t="s">
        <v>1031</v>
      </c>
      <c r="P99" s="42" t="s">
        <v>1032</v>
      </c>
      <c r="Q99" s="42" t="s">
        <v>1033</v>
      </c>
      <c r="R99" s="42" t="s">
        <v>1034</v>
      </c>
      <c r="U99" s="108" t="s">
        <v>1199</v>
      </c>
      <c r="V99" s="42" t="s">
        <v>1019</v>
      </c>
      <c r="W99" s="42" t="s">
        <v>1020</v>
      </c>
      <c r="X99" s="42" t="s">
        <v>1021</v>
      </c>
      <c r="Y99" s="42" t="s">
        <v>1022</v>
      </c>
      <c r="Z99" s="42" t="s">
        <v>1023</v>
      </c>
      <c r="AA99" s="42" t="s">
        <v>1024</v>
      </c>
      <c r="AB99" s="42" t="s">
        <v>1025</v>
      </c>
      <c r="AC99" s="42" t="s">
        <v>1026</v>
      </c>
      <c r="AD99" s="42" t="s">
        <v>1027</v>
      </c>
      <c r="AE99" s="42" t="s">
        <v>1028</v>
      </c>
      <c r="AF99" s="42" t="s">
        <v>1029</v>
      </c>
      <c r="AG99" s="42" t="s">
        <v>1030</v>
      </c>
      <c r="AH99" s="42" t="s">
        <v>1031</v>
      </c>
      <c r="AI99" s="42" t="s">
        <v>1032</v>
      </c>
      <c r="AJ99" s="42" t="s">
        <v>1033</v>
      </c>
      <c r="AK99" s="42" t="s">
        <v>1034</v>
      </c>
    </row>
    <row r="100" spans="2:37" x14ac:dyDescent="0.15">
      <c r="B100" s="109" t="s">
        <v>1037</v>
      </c>
      <c r="C100" s="107">
        <f>SUMIFS('caseload data'!E:E,'caseload data'!$D:$D,"PO",'caseload data'!$A:$A,'divisional &amp; regional overview'!$B$98,'caseload data'!$B:$B,"community")</f>
        <v>0</v>
      </c>
      <c r="D100" s="107">
        <f>SUMIFS('caseload data'!F:F,'caseload data'!$D:$D,"PO",'caseload data'!$A:$A,'divisional &amp; regional overview'!$B$98,'caseload data'!$B:$B,"community")</f>
        <v>0</v>
      </c>
      <c r="E100" s="107">
        <f>SUMIFS('caseload data'!G:G,'caseload data'!$D:$D,"PO",'caseload data'!$A:$A,'divisional &amp; regional overview'!$B$98,'caseload data'!$B:$B,"community")</f>
        <v>0</v>
      </c>
      <c r="F100" s="107">
        <f>SUMIFS('caseload data'!H:H,'caseload data'!$D:$D,"PO",'caseload data'!$A:$A,'divisional &amp; regional overview'!$B$98,'caseload data'!$B:$B,"community")</f>
        <v>0</v>
      </c>
      <c r="G100" s="107">
        <f>SUMIFS('caseload data'!I:I,'caseload data'!$D:$D,"PO",'caseload data'!$A:$A,'divisional &amp; regional overview'!$B$98,'caseload data'!$B:$B,"community")</f>
        <v>0</v>
      </c>
      <c r="H100" s="107">
        <f>SUMIFS('caseload data'!J:J,'caseload data'!$D:$D,"PO",'caseload data'!$A:$A,'divisional &amp; regional overview'!$B$98,'caseload data'!$B:$B,"community")</f>
        <v>0</v>
      </c>
      <c r="I100" s="107">
        <f>SUMIFS('caseload data'!K:K,'caseload data'!$D:$D,"PO",'caseload data'!$A:$A,'divisional &amp; regional overview'!$B$98,'caseload data'!$B:$B,"community")</f>
        <v>0</v>
      </c>
      <c r="J100" s="107">
        <f>SUMIFS('caseload data'!L:L,'caseload data'!$D:$D,"PO",'caseload data'!$A:$A,'divisional &amp; regional overview'!$B$98,'caseload data'!$B:$B,"community")</f>
        <v>0</v>
      </c>
      <c r="K100" s="107">
        <f>SUMIFS('caseload data'!M:M,'caseload data'!$D:$D,"PO",'caseload data'!$A:$A,'divisional &amp; regional overview'!$B$98,'caseload data'!$B:$B,"community")</f>
        <v>0</v>
      </c>
      <c r="L100" s="107">
        <f>SUMIFS('caseload data'!N:N,'caseload data'!$D:$D,"PO",'caseload data'!$A:$A,'divisional &amp; regional overview'!$B$98,'caseload data'!$B:$B,"community")</f>
        <v>0</v>
      </c>
      <c r="M100" s="107">
        <f>SUMIFS('caseload data'!O:O,'caseload data'!$D:$D,"PO",'caseload data'!$A:$A,'divisional &amp; regional overview'!$B$98,'caseload data'!$B:$B,"community")</f>
        <v>0</v>
      </c>
      <c r="N100" s="107">
        <f>SUMIFS('caseload data'!P:P,'caseload data'!$D:$D,"PO",'caseload data'!$A:$A,'divisional &amp; regional overview'!$B$98,'caseload data'!$B:$B,"community")</f>
        <v>0</v>
      </c>
      <c r="O100" s="107">
        <f>SUMIFS('caseload data'!Q:Q,'caseload data'!$D:$D,"PO",'caseload data'!$A:$A,'divisional &amp; regional overview'!$B$98,'caseload data'!$B:$B,"community")</f>
        <v>0</v>
      </c>
      <c r="P100" s="107">
        <f>SUMIFS('caseload data'!R:R,'caseload data'!$D:$D,"PO",'caseload data'!$A:$A,'divisional &amp; regional overview'!$B$98,'caseload data'!$B:$B,"community")</f>
        <v>0</v>
      </c>
      <c r="Q100" s="107">
        <f>SUMIFS('caseload data'!S:S,'caseload data'!$D:$D,"PO",'caseload data'!$A:$A,'divisional &amp; regional overview'!$B$98,'caseload data'!$B:$B,"community")</f>
        <v>0</v>
      </c>
      <c r="R100" s="107">
        <f>SUMIFS('caseload data'!T:T,'caseload data'!$D:$D,"PO",'caseload data'!$A:$A,'divisional &amp; regional overview'!$B$98,'caseload data'!$B:$B,"community")</f>
        <v>0</v>
      </c>
      <c r="U100" s="109" t="s">
        <v>1037</v>
      </c>
      <c r="V100" s="187" t="e">
        <f>C$100/SUM(C$100:C$103)</f>
        <v>#DIV/0!</v>
      </c>
      <c r="W100" s="187" t="e">
        <f t="shared" ref="W100:AK100" si="4">D$100/SUM(D$100:D$103)</f>
        <v>#DIV/0!</v>
      </c>
      <c r="X100" s="187" t="e">
        <f t="shared" si="4"/>
        <v>#DIV/0!</v>
      </c>
      <c r="Y100" s="187" t="e">
        <f t="shared" si="4"/>
        <v>#DIV/0!</v>
      </c>
      <c r="Z100" s="187" t="e">
        <f t="shared" si="4"/>
        <v>#DIV/0!</v>
      </c>
      <c r="AA100" s="187" t="e">
        <f t="shared" si="4"/>
        <v>#DIV/0!</v>
      </c>
      <c r="AB100" s="187" t="e">
        <f t="shared" si="4"/>
        <v>#DIV/0!</v>
      </c>
      <c r="AC100" s="187" t="e">
        <f t="shared" si="4"/>
        <v>#DIV/0!</v>
      </c>
      <c r="AD100" s="187" t="e">
        <f t="shared" si="4"/>
        <v>#DIV/0!</v>
      </c>
      <c r="AE100" s="187" t="e">
        <f t="shared" si="4"/>
        <v>#DIV/0!</v>
      </c>
      <c r="AF100" s="187" t="e">
        <f t="shared" si="4"/>
        <v>#DIV/0!</v>
      </c>
      <c r="AG100" s="187" t="e">
        <f t="shared" si="4"/>
        <v>#DIV/0!</v>
      </c>
      <c r="AH100" s="187" t="e">
        <f t="shared" si="4"/>
        <v>#DIV/0!</v>
      </c>
      <c r="AI100" s="187" t="e">
        <f t="shared" si="4"/>
        <v>#DIV/0!</v>
      </c>
      <c r="AJ100" s="187" t="e">
        <f t="shared" si="4"/>
        <v>#DIV/0!</v>
      </c>
      <c r="AK100" s="187" t="e">
        <f t="shared" si="4"/>
        <v>#DIV/0!</v>
      </c>
    </row>
    <row r="101" spans="2:37" x14ac:dyDescent="0.15">
      <c r="B101" s="110" t="s">
        <v>1038</v>
      </c>
      <c r="C101" s="107">
        <f>SUMIFS('caseload data'!E:E,'caseload data'!$D:$D,"PSO",'caseload data'!$A:$A,'divisional &amp; regional overview'!$B$98,'caseload data'!$B:$B,"community")</f>
        <v>0</v>
      </c>
      <c r="D101" s="107">
        <f>SUMIFS('caseload data'!F:F,'caseload data'!$D:$D,"PSO",'caseload data'!$A:$A,'divisional &amp; regional overview'!$B$98,'caseload data'!$B:$B,"community")</f>
        <v>0</v>
      </c>
      <c r="E101" s="107">
        <f>SUMIFS('caseload data'!G:G,'caseload data'!$D:$D,"PSO",'caseload data'!$A:$A,'divisional &amp; regional overview'!$B$98,'caseload data'!$B:$B,"community")</f>
        <v>0</v>
      </c>
      <c r="F101" s="107">
        <f>SUMIFS('caseload data'!H:H,'caseload data'!$D:$D,"PSO",'caseload data'!$A:$A,'divisional &amp; regional overview'!$B$98,'caseload data'!$B:$B,"community")</f>
        <v>0</v>
      </c>
      <c r="G101" s="107">
        <f>SUMIFS('caseload data'!I:I,'caseload data'!$D:$D,"PSO",'caseload data'!$A:$A,'divisional &amp; regional overview'!$B$98,'caseload data'!$B:$B,"community")</f>
        <v>0</v>
      </c>
      <c r="H101" s="107">
        <f>SUMIFS('caseload data'!J:J,'caseload data'!$D:$D,"PSO",'caseload data'!$A:$A,'divisional &amp; regional overview'!$B$98,'caseload data'!$B:$B,"community")</f>
        <v>0</v>
      </c>
      <c r="I101" s="107">
        <f>SUMIFS('caseload data'!K:K,'caseload data'!$D:$D,"PSO",'caseload data'!$A:$A,'divisional &amp; regional overview'!$B$98,'caseload data'!$B:$B,"community")</f>
        <v>0</v>
      </c>
      <c r="J101" s="107">
        <f>SUMIFS('caseload data'!L:L,'caseload data'!$D:$D,"PSO",'caseload data'!$A:$A,'divisional &amp; regional overview'!$B$98,'caseload data'!$B:$B,"community")</f>
        <v>0</v>
      </c>
      <c r="K101" s="107">
        <f>SUMIFS('caseload data'!M:M,'caseload data'!$D:$D,"PSO",'caseload data'!$A:$A,'divisional &amp; regional overview'!$B$98,'caseload data'!$B:$B,"community")</f>
        <v>0</v>
      </c>
      <c r="L101" s="107">
        <f>SUMIFS('caseload data'!N:N,'caseload data'!$D:$D,"PSO",'caseload data'!$A:$A,'divisional &amp; regional overview'!$B$98,'caseload data'!$B:$B,"community")</f>
        <v>0</v>
      </c>
      <c r="M101" s="107">
        <f>SUMIFS('caseload data'!O:O,'caseload data'!$D:$D,"PSO",'caseload data'!$A:$A,'divisional &amp; regional overview'!$B$98,'caseload data'!$B:$B,"community")</f>
        <v>0</v>
      </c>
      <c r="N101" s="107">
        <f>SUMIFS('caseload data'!P:P,'caseload data'!$D:$D,"PSO",'caseload data'!$A:$A,'divisional &amp; regional overview'!$B$98,'caseload data'!$B:$B,"community")</f>
        <v>0</v>
      </c>
      <c r="O101" s="107">
        <f>SUMIFS('caseload data'!Q:Q,'caseload data'!$D:$D,"PSO",'caseload data'!$A:$A,'divisional &amp; regional overview'!$B$98,'caseload data'!$B:$B,"community")</f>
        <v>0</v>
      </c>
      <c r="P101" s="107">
        <f>SUMIFS('caseload data'!R:R,'caseload data'!$D:$D,"PSO",'caseload data'!$A:$A,'divisional &amp; regional overview'!$B$98,'caseload data'!$B:$B,"community")</f>
        <v>0</v>
      </c>
      <c r="Q101" s="107">
        <f>SUMIFS('caseload data'!S:S,'caseload data'!$D:$D,"PSO",'caseload data'!$A:$A,'divisional &amp; regional overview'!$B$98,'caseload data'!$B:$B,"community")</f>
        <v>0</v>
      </c>
      <c r="R101" s="107">
        <f>SUMIFS('caseload data'!T:T,'caseload data'!$D:$D,"PSO",'caseload data'!$A:$A,'divisional &amp; regional overview'!$B$98,'caseload data'!$B:$B,"community")</f>
        <v>0</v>
      </c>
      <c r="U101" s="110" t="s">
        <v>1038</v>
      </c>
      <c r="V101" s="187" t="e">
        <f>C$101/SUM(C$100:C$103)</f>
        <v>#DIV/0!</v>
      </c>
      <c r="W101" s="187" t="e">
        <f t="shared" ref="W101:AK101" si="5">D$101/SUM(D$100:D$103)</f>
        <v>#DIV/0!</v>
      </c>
      <c r="X101" s="187" t="e">
        <f t="shared" si="5"/>
        <v>#DIV/0!</v>
      </c>
      <c r="Y101" s="187" t="e">
        <f t="shared" si="5"/>
        <v>#DIV/0!</v>
      </c>
      <c r="Z101" s="187" t="e">
        <f t="shared" si="5"/>
        <v>#DIV/0!</v>
      </c>
      <c r="AA101" s="187" t="e">
        <f t="shared" si="5"/>
        <v>#DIV/0!</v>
      </c>
      <c r="AB101" s="187" t="e">
        <f t="shared" si="5"/>
        <v>#DIV/0!</v>
      </c>
      <c r="AC101" s="187" t="e">
        <f t="shared" si="5"/>
        <v>#DIV/0!</v>
      </c>
      <c r="AD101" s="187" t="e">
        <f t="shared" si="5"/>
        <v>#DIV/0!</v>
      </c>
      <c r="AE101" s="187" t="e">
        <f t="shared" si="5"/>
        <v>#DIV/0!</v>
      </c>
      <c r="AF101" s="187" t="e">
        <f t="shared" si="5"/>
        <v>#DIV/0!</v>
      </c>
      <c r="AG101" s="187" t="e">
        <f t="shared" si="5"/>
        <v>#DIV/0!</v>
      </c>
      <c r="AH101" s="187" t="e">
        <f t="shared" si="5"/>
        <v>#DIV/0!</v>
      </c>
      <c r="AI101" s="187" t="e">
        <f t="shared" si="5"/>
        <v>#DIV/0!</v>
      </c>
      <c r="AJ101" s="187" t="e">
        <f t="shared" si="5"/>
        <v>#DIV/0!</v>
      </c>
      <c r="AK101" s="187" t="e">
        <f t="shared" si="5"/>
        <v>#DIV/0!</v>
      </c>
    </row>
    <row r="102" spans="2:37" x14ac:dyDescent="0.15">
      <c r="B102" s="110" t="s">
        <v>1039</v>
      </c>
      <c r="C102" s="107">
        <f>SUMIFS('caseload data'!E:E,'caseload data'!$D:$D,"TPO",'caseload data'!$A:$A,'divisional &amp; regional overview'!$B$98,'caseload data'!$B:$B,"community")</f>
        <v>0</v>
      </c>
      <c r="D102" s="107">
        <f>SUMIFS('caseload data'!F:F,'caseload data'!$D:$D,"TPO",'caseload data'!$A:$A,'divisional &amp; regional overview'!$B$98,'caseload data'!$B:$B,"community")</f>
        <v>0</v>
      </c>
      <c r="E102" s="107">
        <f>SUMIFS('caseload data'!G:G,'caseload data'!$D:$D,"TPO",'caseload data'!$A:$A,'divisional &amp; regional overview'!$B$98,'caseload data'!$B:$B,"community")</f>
        <v>0</v>
      </c>
      <c r="F102" s="107">
        <f>SUMIFS('caseload data'!H:H,'caseload data'!$D:$D,"TPO",'caseload data'!$A:$A,'divisional &amp; regional overview'!$B$98,'caseload data'!$B:$B,"community")</f>
        <v>0</v>
      </c>
      <c r="G102" s="107">
        <f>SUMIFS('caseload data'!I:I,'caseload data'!$D:$D,"TPO",'caseload data'!$A:$A,'divisional &amp; regional overview'!$B$98,'caseload data'!$B:$B,"community")</f>
        <v>0</v>
      </c>
      <c r="H102" s="107">
        <f>SUMIFS('caseload data'!J:J,'caseload data'!$D:$D,"TPO",'caseload data'!$A:$A,'divisional &amp; regional overview'!$B$98,'caseload data'!$B:$B,"community")</f>
        <v>0</v>
      </c>
      <c r="I102" s="107">
        <f>SUMIFS('caseload data'!K:K,'caseload data'!$D:$D,"TPO",'caseload data'!$A:$A,'divisional &amp; regional overview'!$B$98,'caseload data'!$B:$B,"community")</f>
        <v>0</v>
      </c>
      <c r="J102" s="107">
        <f>SUMIFS('caseload data'!L:L,'caseload data'!$D:$D,"TPO",'caseload data'!$A:$A,'divisional &amp; regional overview'!$B$98,'caseload data'!$B:$B,"community")</f>
        <v>0</v>
      </c>
      <c r="K102" s="107">
        <f>SUMIFS('caseload data'!M:M,'caseload data'!$D:$D,"TPO",'caseload data'!$A:$A,'divisional &amp; regional overview'!$B$98,'caseload data'!$B:$B,"community")</f>
        <v>0</v>
      </c>
      <c r="L102" s="107">
        <f>SUMIFS('caseload data'!N:N,'caseload data'!$D:$D,"TPO",'caseload data'!$A:$A,'divisional &amp; regional overview'!$B$98,'caseload data'!$B:$B,"community")</f>
        <v>0</v>
      </c>
      <c r="M102" s="107">
        <f>SUMIFS('caseload data'!O:O,'caseload data'!$D:$D,"TPO",'caseload data'!$A:$A,'divisional &amp; regional overview'!$B$98,'caseload data'!$B:$B,"community")</f>
        <v>0</v>
      </c>
      <c r="N102" s="107">
        <f>SUMIFS('caseload data'!P:P,'caseload data'!$D:$D,"TPO",'caseload data'!$A:$A,'divisional &amp; regional overview'!$B$98,'caseload data'!$B:$B,"community")</f>
        <v>0</v>
      </c>
      <c r="O102" s="107">
        <f>SUMIFS('caseload data'!Q:Q,'caseload data'!$D:$D,"TPO",'caseload data'!$A:$A,'divisional &amp; regional overview'!$B$98,'caseload data'!$B:$B,"community")</f>
        <v>0</v>
      </c>
      <c r="P102" s="107">
        <f>SUMIFS('caseload data'!R:R,'caseload data'!$D:$D,"TPO",'caseload data'!$A:$A,'divisional &amp; regional overview'!$B$98,'caseload data'!$B:$B,"community")</f>
        <v>0</v>
      </c>
      <c r="Q102" s="107">
        <f>SUMIFS('caseload data'!S:S,'caseload data'!$D:$D,"TPO",'caseload data'!$A:$A,'divisional &amp; regional overview'!$B$98,'caseload data'!$B:$B,"community")</f>
        <v>0</v>
      </c>
      <c r="R102" s="107">
        <f>SUMIFS('caseload data'!T:T,'caseload data'!$D:$D,"TPO",'caseload data'!$A:$A,'divisional &amp; regional overview'!$B$98,'caseload data'!$B:$B,"community")</f>
        <v>0</v>
      </c>
      <c r="U102" s="110" t="s">
        <v>1039</v>
      </c>
      <c r="V102" s="187" t="e">
        <f>C$102/SUM(C$100:C$103)</f>
        <v>#DIV/0!</v>
      </c>
      <c r="W102" s="187" t="e">
        <f t="shared" ref="W102:AK102" si="6">D$102/SUM(D$100:D$103)</f>
        <v>#DIV/0!</v>
      </c>
      <c r="X102" s="187" t="e">
        <f t="shared" si="6"/>
        <v>#DIV/0!</v>
      </c>
      <c r="Y102" s="187" t="e">
        <f t="shared" si="6"/>
        <v>#DIV/0!</v>
      </c>
      <c r="Z102" s="187" t="e">
        <f t="shared" si="6"/>
        <v>#DIV/0!</v>
      </c>
      <c r="AA102" s="187" t="e">
        <f t="shared" si="6"/>
        <v>#DIV/0!</v>
      </c>
      <c r="AB102" s="187" t="e">
        <f t="shared" si="6"/>
        <v>#DIV/0!</v>
      </c>
      <c r="AC102" s="187" t="e">
        <f t="shared" si="6"/>
        <v>#DIV/0!</v>
      </c>
      <c r="AD102" s="187" t="e">
        <f t="shared" si="6"/>
        <v>#DIV/0!</v>
      </c>
      <c r="AE102" s="187" t="e">
        <f t="shared" si="6"/>
        <v>#DIV/0!</v>
      </c>
      <c r="AF102" s="187" t="e">
        <f t="shared" si="6"/>
        <v>#DIV/0!</v>
      </c>
      <c r="AG102" s="187" t="e">
        <f t="shared" si="6"/>
        <v>#DIV/0!</v>
      </c>
      <c r="AH102" s="187" t="e">
        <f t="shared" si="6"/>
        <v>#DIV/0!</v>
      </c>
      <c r="AI102" s="187" t="e">
        <f t="shared" si="6"/>
        <v>#DIV/0!</v>
      </c>
      <c r="AJ102" s="187" t="e">
        <f t="shared" si="6"/>
        <v>#DIV/0!</v>
      </c>
      <c r="AK102" s="187" t="e">
        <f t="shared" si="6"/>
        <v>#DIV/0!</v>
      </c>
    </row>
    <row r="103" spans="2:37" x14ac:dyDescent="0.15">
      <c r="B103" s="111" t="s">
        <v>1040</v>
      </c>
      <c r="C103" s="107">
        <f>SUMIFS('caseload data'!E:E,'caseload data'!$D:$D,"SPO",'caseload data'!$A:$A,'divisional &amp; regional overview'!$B$98,'caseload data'!$B:$B,"community")</f>
        <v>0</v>
      </c>
      <c r="D103" s="107">
        <f>SUMIFS('caseload data'!F:F,'caseload data'!$D:$D,"SPO",'caseload data'!$A:$A,'divisional &amp; regional overview'!$B$98,'caseload data'!$B:$B,"community")</f>
        <v>0</v>
      </c>
      <c r="E103" s="107">
        <f>SUMIFS('caseload data'!G:G,'caseload data'!$D:$D,"SPO",'caseload data'!$A:$A,'divisional &amp; regional overview'!$B$98,'caseload data'!$B:$B,"community")</f>
        <v>0</v>
      </c>
      <c r="F103" s="107">
        <f>SUMIFS('caseload data'!H:H,'caseload data'!$D:$D,"SPO",'caseload data'!$A:$A,'divisional &amp; regional overview'!$B$98,'caseload data'!$B:$B,"community")</f>
        <v>0</v>
      </c>
      <c r="G103" s="107">
        <f>SUMIFS('caseload data'!I:I,'caseload data'!$D:$D,"SPO",'caseload data'!$A:$A,'divisional &amp; regional overview'!$B$98,'caseload data'!$B:$B,"community")</f>
        <v>0</v>
      </c>
      <c r="H103" s="107">
        <f>SUMIFS('caseload data'!J:J,'caseload data'!$D:$D,"SPO",'caseload data'!$A:$A,'divisional &amp; regional overview'!$B$98,'caseload data'!$B:$B,"community")</f>
        <v>0</v>
      </c>
      <c r="I103" s="107">
        <f>SUMIFS('caseload data'!K:K,'caseload data'!$D:$D,"SPO",'caseload data'!$A:$A,'divisional &amp; regional overview'!$B$98,'caseload data'!$B:$B,"community")</f>
        <v>0</v>
      </c>
      <c r="J103" s="107">
        <f>SUMIFS('caseload data'!L:L,'caseload data'!$D:$D,"SPO",'caseload data'!$A:$A,'divisional &amp; regional overview'!$B$98,'caseload data'!$B:$B,"community")</f>
        <v>0</v>
      </c>
      <c r="K103" s="107">
        <f>SUMIFS('caseload data'!M:M,'caseload data'!$D:$D,"SPO",'caseload data'!$A:$A,'divisional &amp; regional overview'!$B$98,'caseload data'!$B:$B,"community")</f>
        <v>0</v>
      </c>
      <c r="L103" s="107">
        <f>SUMIFS('caseload data'!N:N,'caseload data'!$D:$D,"SPO",'caseload data'!$A:$A,'divisional &amp; regional overview'!$B$98,'caseload data'!$B:$B,"community")</f>
        <v>0</v>
      </c>
      <c r="M103" s="107">
        <f>SUMIFS('caseload data'!O:O,'caseload data'!$D:$D,"SPO",'caseload data'!$A:$A,'divisional &amp; regional overview'!$B$98,'caseload data'!$B:$B,"community")</f>
        <v>0</v>
      </c>
      <c r="N103" s="107">
        <f>SUMIFS('caseload data'!P:P,'caseload data'!$D:$D,"SPO",'caseload data'!$A:$A,'divisional &amp; regional overview'!$B$98,'caseload data'!$B:$B,"community")</f>
        <v>0</v>
      </c>
      <c r="O103" s="107">
        <f>SUMIFS('caseload data'!Q:Q,'caseload data'!$D:$D,"SPO",'caseload data'!$A:$A,'divisional &amp; regional overview'!$B$98,'caseload data'!$B:$B,"community")</f>
        <v>0</v>
      </c>
      <c r="P103" s="107">
        <f>SUMIFS('caseload data'!R:R,'caseload data'!$D:$D,"SPO",'caseload data'!$A:$A,'divisional &amp; regional overview'!$B$98,'caseload data'!$B:$B,"community")</f>
        <v>0</v>
      </c>
      <c r="Q103" s="107">
        <f>SUMIFS('caseload data'!S:S,'caseload data'!$D:$D,"SPO",'caseload data'!$A:$A,'divisional &amp; regional overview'!$B$98,'caseload data'!$B:$B,"community")</f>
        <v>0</v>
      </c>
      <c r="R103" s="107">
        <f>SUMIFS('caseload data'!T:T,'caseload data'!$D:$D,"SPO",'caseload data'!$A:$A,'divisional &amp; regional overview'!$B$98,'caseload data'!$B:$B,"community")</f>
        <v>0</v>
      </c>
      <c r="U103" s="111" t="s">
        <v>1040</v>
      </c>
      <c r="V103" s="187" t="e">
        <f>C$103/SUM(C$100:C$103)</f>
        <v>#DIV/0!</v>
      </c>
      <c r="W103" s="187" t="e">
        <f t="shared" ref="W103:AK103" si="7">D$103/SUM(D$100:D$103)</f>
        <v>#DIV/0!</v>
      </c>
      <c r="X103" s="187" t="e">
        <f t="shared" si="7"/>
        <v>#DIV/0!</v>
      </c>
      <c r="Y103" s="187" t="e">
        <f t="shared" si="7"/>
        <v>#DIV/0!</v>
      </c>
      <c r="Z103" s="187" t="e">
        <f t="shared" si="7"/>
        <v>#DIV/0!</v>
      </c>
      <c r="AA103" s="187" t="e">
        <f t="shared" si="7"/>
        <v>#DIV/0!</v>
      </c>
      <c r="AB103" s="187" t="e">
        <f t="shared" si="7"/>
        <v>#DIV/0!</v>
      </c>
      <c r="AC103" s="187" t="e">
        <f t="shared" si="7"/>
        <v>#DIV/0!</v>
      </c>
      <c r="AD103" s="187" t="e">
        <f t="shared" si="7"/>
        <v>#DIV/0!</v>
      </c>
      <c r="AE103" s="187" t="e">
        <f t="shared" si="7"/>
        <v>#DIV/0!</v>
      </c>
      <c r="AF103" s="187" t="e">
        <f t="shared" si="7"/>
        <v>#DIV/0!</v>
      </c>
      <c r="AG103" s="187" t="e">
        <f t="shared" si="7"/>
        <v>#DIV/0!</v>
      </c>
      <c r="AH103" s="187" t="e">
        <f t="shared" si="7"/>
        <v>#DIV/0!</v>
      </c>
      <c r="AI103" s="187" t="e">
        <f t="shared" si="7"/>
        <v>#DIV/0!</v>
      </c>
      <c r="AJ103" s="187" t="e">
        <f t="shared" si="7"/>
        <v>#DIV/0!</v>
      </c>
      <c r="AK103" s="187" t="e">
        <f t="shared" si="7"/>
        <v>#DIV/0!</v>
      </c>
    </row>
    <row r="104" spans="2:37" x14ac:dyDescent="0.15">
      <c r="B104" s="23"/>
    </row>
    <row r="105" spans="2:37" x14ac:dyDescent="0.15">
      <c r="B105" s="59" t="str">
        <f>B5</f>
        <v>Wales</v>
      </c>
      <c r="C105" s="265" t="s">
        <v>1200</v>
      </c>
      <c r="D105" s="266"/>
      <c r="E105" s="266"/>
      <c r="F105" s="266"/>
      <c r="G105" s="266"/>
      <c r="H105" s="266"/>
      <c r="I105" s="266"/>
      <c r="J105" s="266"/>
      <c r="K105" s="266"/>
      <c r="L105" s="266"/>
      <c r="M105" s="266"/>
      <c r="N105" s="266"/>
      <c r="O105" s="266"/>
      <c r="P105" s="266"/>
      <c r="Q105" s="266"/>
      <c r="R105" s="266"/>
      <c r="S105" s="44"/>
      <c r="U105" s="59" t="str">
        <f>B5</f>
        <v>Wales</v>
      </c>
      <c r="V105" s="265" t="s">
        <v>1201</v>
      </c>
      <c r="W105" s="266"/>
      <c r="X105" s="266"/>
      <c r="Y105" s="266"/>
      <c r="Z105" s="266"/>
      <c r="AA105" s="266"/>
      <c r="AB105" s="266"/>
      <c r="AC105" s="266"/>
      <c r="AD105" s="266"/>
      <c r="AE105" s="266"/>
      <c r="AF105" s="266"/>
      <c r="AG105" s="266"/>
      <c r="AH105" s="266"/>
      <c r="AI105" s="266"/>
      <c r="AJ105" s="266"/>
      <c r="AK105" s="266"/>
    </row>
    <row r="106" spans="2:37" x14ac:dyDescent="0.15">
      <c r="B106" s="108" t="s">
        <v>1199</v>
      </c>
      <c r="C106" s="42" t="s">
        <v>1019</v>
      </c>
      <c r="D106" s="42" t="s">
        <v>1020</v>
      </c>
      <c r="E106" s="42" t="s">
        <v>1021</v>
      </c>
      <c r="F106" s="42" t="s">
        <v>1022</v>
      </c>
      <c r="G106" s="42" t="s">
        <v>1023</v>
      </c>
      <c r="H106" s="42" t="s">
        <v>1024</v>
      </c>
      <c r="I106" s="42" t="s">
        <v>1025</v>
      </c>
      <c r="J106" s="42" t="s">
        <v>1026</v>
      </c>
      <c r="K106" s="42" t="s">
        <v>1027</v>
      </c>
      <c r="L106" s="42" t="s">
        <v>1028</v>
      </c>
      <c r="M106" s="42" t="s">
        <v>1029</v>
      </c>
      <c r="N106" s="42" t="s">
        <v>1030</v>
      </c>
      <c r="O106" s="42" t="s">
        <v>1031</v>
      </c>
      <c r="P106" s="42" t="s">
        <v>1032</v>
      </c>
      <c r="Q106" s="42" t="s">
        <v>1033</v>
      </c>
      <c r="R106" s="42" t="s">
        <v>1034</v>
      </c>
      <c r="S106" s="44"/>
      <c r="U106" s="108" t="s">
        <v>1199</v>
      </c>
      <c r="V106" s="42" t="s">
        <v>1019</v>
      </c>
      <c r="W106" s="42" t="s">
        <v>1020</v>
      </c>
      <c r="X106" s="42" t="s">
        <v>1021</v>
      </c>
      <c r="Y106" s="42" t="s">
        <v>1022</v>
      </c>
      <c r="Z106" s="42" t="s">
        <v>1023</v>
      </c>
      <c r="AA106" s="42" t="s">
        <v>1024</v>
      </c>
      <c r="AB106" s="42" t="s">
        <v>1025</v>
      </c>
      <c r="AC106" s="42" t="s">
        <v>1026</v>
      </c>
      <c r="AD106" s="42" t="s">
        <v>1027</v>
      </c>
      <c r="AE106" s="42" t="s">
        <v>1028</v>
      </c>
      <c r="AF106" s="42" t="s">
        <v>1029</v>
      </c>
      <c r="AG106" s="42" t="s">
        <v>1030</v>
      </c>
      <c r="AH106" s="42" t="s">
        <v>1031</v>
      </c>
      <c r="AI106" s="42" t="s">
        <v>1032</v>
      </c>
      <c r="AJ106" s="42" t="s">
        <v>1033</v>
      </c>
      <c r="AK106" s="42" t="s">
        <v>1034</v>
      </c>
    </row>
    <row r="107" spans="2:37" x14ac:dyDescent="0.15">
      <c r="B107" s="109" t="s">
        <v>1037</v>
      </c>
      <c r="C107" s="107">
        <f>SUMIFS('caseload data'!E:E,'caseload data'!$D:$D,"PO",'caseload data'!$A:$A,'divisional &amp; regional overview'!$B$98,'caseload data'!$B:$B,"licence")</f>
        <v>0</v>
      </c>
      <c r="D107" s="107">
        <f>SUMIFS('caseload data'!F:F,'caseload data'!$D:$D,"PO",'caseload data'!$A:$A,'divisional &amp; regional overview'!$B$98,'caseload data'!$B:$B,"licence")</f>
        <v>0</v>
      </c>
      <c r="E107" s="107">
        <f>SUMIFS('caseload data'!G:G,'caseload data'!$D:$D,"PO",'caseload data'!$A:$A,'divisional &amp; regional overview'!$B$98,'caseload data'!$B:$B,"licence")</f>
        <v>0</v>
      </c>
      <c r="F107" s="107">
        <f>SUMIFS('caseload data'!H:H,'caseload data'!$D:$D,"PO",'caseload data'!$A:$A,'divisional &amp; regional overview'!$B$98,'caseload data'!$B:$B,"licence")</f>
        <v>0</v>
      </c>
      <c r="G107" s="107">
        <f>SUMIFS('caseload data'!I:I,'caseload data'!$D:$D,"PO",'caseload data'!$A:$A,'divisional &amp; regional overview'!$B$98,'caseload data'!$B:$B,"licence")</f>
        <v>0</v>
      </c>
      <c r="H107" s="107">
        <f>SUMIFS('caseload data'!J:J,'caseload data'!$D:$D,"PO",'caseload data'!$A:$A,'divisional &amp; regional overview'!$B$98,'caseload data'!$B:$B,"licence")</f>
        <v>0</v>
      </c>
      <c r="I107" s="107">
        <f>SUMIFS('caseload data'!K:K,'caseload data'!$D:$D,"PO",'caseload data'!$A:$A,'divisional &amp; regional overview'!$B$98,'caseload data'!$B:$B,"licence")</f>
        <v>0</v>
      </c>
      <c r="J107" s="107">
        <f>SUMIFS('caseload data'!L:L,'caseload data'!$D:$D,"PO",'caseload data'!$A:$A,'divisional &amp; regional overview'!$B$98,'caseload data'!$B:$B,"licence")</f>
        <v>0</v>
      </c>
      <c r="K107" s="107">
        <f>SUMIFS('caseload data'!M:M,'caseload data'!$D:$D,"PO",'caseload data'!$A:$A,'divisional &amp; regional overview'!$B$98,'caseload data'!$B:$B,"licence")</f>
        <v>0</v>
      </c>
      <c r="L107" s="107">
        <f>SUMIFS('caseload data'!N:N,'caseload data'!$D:$D,"PO",'caseload data'!$A:$A,'divisional &amp; regional overview'!$B$98,'caseload data'!$B:$B,"licence")</f>
        <v>0</v>
      </c>
      <c r="M107" s="107">
        <f>SUMIFS('caseload data'!O:O,'caseload data'!$D:$D,"PO",'caseload data'!$A:$A,'divisional &amp; regional overview'!$B$98,'caseload data'!$B:$B,"licence")</f>
        <v>0</v>
      </c>
      <c r="N107" s="107">
        <f>SUMIFS('caseload data'!P:P,'caseload data'!$D:$D,"PO",'caseload data'!$A:$A,'divisional &amp; regional overview'!$B$98,'caseload data'!$B:$B,"licence")</f>
        <v>0</v>
      </c>
      <c r="O107" s="107">
        <f>SUMIFS('caseload data'!Q:Q,'caseload data'!$D:$D,"PO",'caseload data'!$A:$A,'divisional &amp; regional overview'!$B$98,'caseload data'!$B:$B,"licence")</f>
        <v>0</v>
      </c>
      <c r="P107" s="107">
        <f>SUMIFS('caseload data'!R:R,'caseload data'!$D:$D,"PO",'caseload data'!$A:$A,'divisional &amp; regional overview'!$B$98,'caseload data'!$B:$B,"licence")</f>
        <v>0</v>
      </c>
      <c r="Q107" s="107">
        <f>SUMIFS('caseload data'!S:S,'caseload data'!$D:$D,"PO",'caseload data'!$A:$A,'divisional &amp; regional overview'!$B$98,'caseload data'!$B:$B,"licence")</f>
        <v>0</v>
      </c>
      <c r="R107" s="107">
        <f>SUMIFS('caseload data'!T:T,'caseload data'!$D:$D,"PO",'caseload data'!$A:$A,'divisional &amp; regional overview'!$B$98,'caseload data'!$B:$B,"licence")</f>
        <v>0</v>
      </c>
      <c r="U107" s="109" t="s">
        <v>1037</v>
      </c>
      <c r="V107" s="187" t="e">
        <f>C$107/SUM(C$107:C$110)</f>
        <v>#DIV/0!</v>
      </c>
      <c r="W107" s="187" t="e">
        <f t="shared" ref="W107:AK107" si="8">D$107/SUM(D$107:D$110)</f>
        <v>#DIV/0!</v>
      </c>
      <c r="X107" s="187" t="e">
        <f t="shared" si="8"/>
        <v>#DIV/0!</v>
      </c>
      <c r="Y107" s="187" t="e">
        <f t="shared" si="8"/>
        <v>#DIV/0!</v>
      </c>
      <c r="Z107" s="187" t="e">
        <f t="shared" si="8"/>
        <v>#DIV/0!</v>
      </c>
      <c r="AA107" s="187" t="e">
        <f t="shared" si="8"/>
        <v>#DIV/0!</v>
      </c>
      <c r="AB107" s="187" t="e">
        <f t="shared" si="8"/>
        <v>#DIV/0!</v>
      </c>
      <c r="AC107" s="187" t="e">
        <f t="shared" si="8"/>
        <v>#DIV/0!</v>
      </c>
      <c r="AD107" s="187" t="e">
        <f t="shared" si="8"/>
        <v>#DIV/0!</v>
      </c>
      <c r="AE107" s="187" t="e">
        <f t="shared" si="8"/>
        <v>#DIV/0!</v>
      </c>
      <c r="AF107" s="187" t="e">
        <f t="shared" si="8"/>
        <v>#DIV/0!</v>
      </c>
      <c r="AG107" s="187" t="e">
        <f t="shared" si="8"/>
        <v>#DIV/0!</v>
      </c>
      <c r="AH107" s="187" t="e">
        <f t="shared" si="8"/>
        <v>#DIV/0!</v>
      </c>
      <c r="AI107" s="187" t="e">
        <f t="shared" si="8"/>
        <v>#DIV/0!</v>
      </c>
      <c r="AJ107" s="187" t="e">
        <f t="shared" si="8"/>
        <v>#DIV/0!</v>
      </c>
      <c r="AK107" s="187" t="e">
        <f t="shared" si="8"/>
        <v>#DIV/0!</v>
      </c>
    </row>
    <row r="108" spans="2:37" x14ac:dyDescent="0.15">
      <c r="B108" s="110" t="s">
        <v>1038</v>
      </c>
      <c r="C108" s="107">
        <f>SUMIFS('caseload data'!E:E,'caseload data'!$D:$D,"PSO",'caseload data'!$A:$A,'divisional &amp; regional overview'!$B$98,'caseload data'!$B:$B,"licence")</f>
        <v>0</v>
      </c>
      <c r="D108" s="107">
        <f>SUMIFS('caseload data'!F:F,'caseload data'!$D:$D,"PSO",'caseload data'!$A:$A,'divisional &amp; regional overview'!$B$98,'caseload data'!$B:$B,"licence")</f>
        <v>0</v>
      </c>
      <c r="E108" s="107">
        <f>SUMIFS('caseload data'!G:G,'caseload data'!$D:$D,"PSO",'caseload data'!$A:$A,'divisional &amp; regional overview'!$B$98,'caseload data'!$B:$B,"licence")</f>
        <v>0</v>
      </c>
      <c r="F108" s="107">
        <f>SUMIFS('caseload data'!H:H,'caseload data'!$D:$D,"PSO",'caseload data'!$A:$A,'divisional &amp; regional overview'!$B$98,'caseload data'!$B:$B,"licence")</f>
        <v>0</v>
      </c>
      <c r="G108" s="107">
        <f>SUMIFS('caseload data'!I:I,'caseload data'!$D:$D,"PSO",'caseload data'!$A:$A,'divisional &amp; regional overview'!$B$98,'caseload data'!$B:$B,"licence")</f>
        <v>0</v>
      </c>
      <c r="H108" s="107">
        <f>SUMIFS('caseload data'!J:J,'caseload data'!$D:$D,"PSO",'caseload data'!$A:$A,'divisional &amp; regional overview'!$B$98,'caseload data'!$B:$B,"licence")</f>
        <v>0</v>
      </c>
      <c r="I108" s="107">
        <f>SUMIFS('caseload data'!K:K,'caseload data'!$D:$D,"PSO",'caseload data'!$A:$A,'divisional &amp; regional overview'!$B$98,'caseload data'!$B:$B,"licence")</f>
        <v>0</v>
      </c>
      <c r="J108" s="107">
        <f>SUMIFS('caseload data'!L:L,'caseload data'!$D:$D,"PSO",'caseload data'!$A:$A,'divisional &amp; regional overview'!$B$98,'caseload data'!$B:$B,"licence")</f>
        <v>0</v>
      </c>
      <c r="K108" s="107">
        <f>SUMIFS('caseload data'!M:M,'caseload data'!$D:$D,"PSO",'caseload data'!$A:$A,'divisional &amp; regional overview'!$B$98,'caseload data'!$B:$B,"licence")</f>
        <v>0</v>
      </c>
      <c r="L108" s="107">
        <f>SUMIFS('caseload data'!N:N,'caseload data'!$D:$D,"PSO",'caseload data'!$A:$A,'divisional &amp; regional overview'!$B$98,'caseload data'!$B:$B,"licence")</f>
        <v>0</v>
      </c>
      <c r="M108" s="107">
        <f>SUMIFS('caseload data'!O:O,'caseload data'!$D:$D,"PSO",'caseload data'!$A:$A,'divisional &amp; regional overview'!$B$98,'caseload data'!$B:$B,"licence")</f>
        <v>0</v>
      </c>
      <c r="N108" s="107">
        <f>SUMIFS('caseload data'!P:P,'caseload data'!$D:$D,"PSO",'caseload data'!$A:$A,'divisional &amp; regional overview'!$B$98,'caseload data'!$B:$B,"licence")</f>
        <v>0</v>
      </c>
      <c r="O108" s="107">
        <f>SUMIFS('caseload data'!Q:Q,'caseload data'!$D:$D,"PSO",'caseload data'!$A:$A,'divisional &amp; regional overview'!$B$98,'caseload data'!$B:$B,"licence")</f>
        <v>0</v>
      </c>
      <c r="P108" s="107">
        <f>SUMIFS('caseload data'!R:R,'caseload data'!$D:$D,"PSO",'caseload data'!$A:$A,'divisional &amp; regional overview'!$B$98,'caseload data'!$B:$B,"licence")</f>
        <v>0</v>
      </c>
      <c r="Q108" s="107">
        <f>SUMIFS('caseload data'!S:S,'caseload data'!$D:$D,"PSO",'caseload data'!$A:$A,'divisional &amp; regional overview'!$B$98,'caseload data'!$B:$B,"licence")</f>
        <v>0</v>
      </c>
      <c r="R108" s="107">
        <f>SUMIFS('caseload data'!T:T,'caseload data'!$D:$D,"PSO",'caseload data'!$A:$A,'divisional &amp; regional overview'!$B$98,'caseload data'!$B:$B,"licence")</f>
        <v>0</v>
      </c>
      <c r="U108" s="110" t="s">
        <v>1038</v>
      </c>
      <c r="V108" s="187" t="e">
        <f>C$108/SUM(C$107:C$110)</f>
        <v>#DIV/0!</v>
      </c>
      <c r="W108" s="187" t="e">
        <f t="shared" ref="W108:AK108" si="9">D$108/SUM(D$107:D$110)</f>
        <v>#DIV/0!</v>
      </c>
      <c r="X108" s="187" t="e">
        <f t="shared" si="9"/>
        <v>#DIV/0!</v>
      </c>
      <c r="Y108" s="187" t="e">
        <f t="shared" si="9"/>
        <v>#DIV/0!</v>
      </c>
      <c r="Z108" s="187" t="e">
        <f t="shared" si="9"/>
        <v>#DIV/0!</v>
      </c>
      <c r="AA108" s="187" t="e">
        <f t="shared" si="9"/>
        <v>#DIV/0!</v>
      </c>
      <c r="AB108" s="187" t="e">
        <f t="shared" si="9"/>
        <v>#DIV/0!</v>
      </c>
      <c r="AC108" s="187" t="e">
        <f t="shared" si="9"/>
        <v>#DIV/0!</v>
      </c>
      <c r="AD108" s="187" t="e">
        <f t="shared" si="9"/>
        <v>#DIV/0!</v>
      </c>
      <c r="AE108" s="187" t="e">
        <f t="shared" si="9"/>
        <v>#DIV/0!</v>
      </c>
      <c r="AF108" s="187" t="e">
        <f t="shared" si="9"/>
        <v>#DIV/0!</v>
      </c>
      <c r="AG108" s="187" t="e">
        <f t="shared" si="9"/>
        <v>#DIV/0!</v>
      </c>
      <c r="AH108" s="187" t="e">
        <f t="shared" si="9"/>
        <v>#DIV/0!</v>
      </c>
      <c r="AI108" s="187" t="e">
        <f t="shared" si="9"/>
        <v>#DIV/0!</v>
      </c>
      <c r="AJ108" s="187" t="e">
        <f t="shared" si="9"/>
        <v>#DIV/0!</v>
      </c>
      <c r="AK108" s="187" t="e">
        <f t="shared" si="9"/>
        <v>#DIV/0!</v>
      </c>
    </row>
    <row r="109" spans="2:37" x14ac:dyDescent="0.15">
      <c r="B109" s="110" t="s">
        <v>1039</v>
      </c>
      <c r="C109" s="107">
        <f>SUMIFS('caseload data'!E:E,'caseload data'!$D:$D,"TPO",'caseload data'!$A:$A,'divisional &amp; regional overview'!$B$98,'caseload data'!$B:$B,"licence")</f>
        <v>0</v>
      </c>
      <c r="D109" s="107">
        <f>SUMIFS('caseload data'!F:F,'caseload data'!$D:$D,"TPO",'caseload data'!$A:$A,'divisional &amp; regional overview'!$B$98,'caseload data'!$B:$B,"licence")</f>
        <v>0</v>
      </c>
      <c r="E109" s="107">
        <f>SUMIFS('caseload data'!G:G,'caseload data'!$D:$D,"TPO",'caseload data'!$A:$A,'divisional &amp; regional overview'!$B$98,'caseload data'!$B:$B,"licence")</f>
        <v>0</v>
      </c>
      <c r="F109" s="107">
        <f>SUMIFS('caseload data'!H:H,'caseload data'!$D:$D,"TPO",'caseload data'!$A:$A,'divisional &amp; regional overview'!$B$98,'caseload data'!$B:$B,"licence")</f>
        <v>0</v>
      </c>
      <c r="G109" s="107">
        <f>SUMIFS('caseload data'!I:I,'caseload data'!$D:$D,"TPO",'caseload data'!$A:$A,'divisional &amp; regional overview'!$B$98,'caseload data'!$B:$B,"licence")</f>
        <v>0</v>
      </c>
      <c r="H109" s="107">
        <f>SUMIFS('caseload data'!J:J,'caseload data'!$D:$D,"TPO",'caseload data'!$A:$A,'divisional &amp; regional overview'!$B$98,'caseload data'!$B:$B,"licence")</f>
        <v>0</v>
      </c>
      <c r="I109" s="107">
        <f>SUMIFS('caseload data'!K:K,'caseload data'!$D:$D,"TPO",'caseload data'!$A:$A,'divisional &amp; regional overview'!$B$98,'caseload data'!$B:$B,"licence")</f>
        <v>0</v>
      </c>
      <c r="J109" s="107">
        <f>SUMIFS('caseload data'!L:L,'caseload data'!$D:$D,"TPO",'caseload data'!$A:$A,'divisional &amp; regional overview'!$B$98,'caseload data'!$B:$B,"licence")</f>
        <v>0</v>
      </c>
      <c r="K109" s="107">
        <f>SUMIFS('caseload data'!M:M,'caseload data'!$D:$D,"TPO",'caseload data'!$A:$A,'divisional &amp; regional overview'!$B$98,'caseload data'!$B:$B,"licence")</f>
        <v>0</v>
      </c>
      <c r="L109" s="107">
        <f>SUMIFS('caseload data'!N:N,'caseload data'!$D:$D,"TPO",'caseload data'!$A:$A,'divisional &amp; regional overview'!$B$98,'caseload data'!$B:$B,"licence")</f>
        <v>0</v>
      </c>
      <c r="M109" s="107">
        <f>SUMIFS('caseload data'!O:O,'caseload data'!$D:$D,"TPO",'caseload data'!$A:$A,'divisional &amp; regional overview'!$B$98,'caseload data'!$B:$B,"licence")</f>
        <v>0</v>
      </c>
      <c r="N109" s="107">
        <f>SUMIFS('caseload data'!P:P,'caseload data'!$D:$D,"TPO",'caseload data'!$A:$A,'divisional &amp; regional overview'!$B$98,'caseload data'!$B:$B,"licence")</f>
        <v>0</v>
      </c>
      <c r="O109" s="107">
        <f>SUMIFS('caseload data'!Q:Q,'caseload data'!$D:$D,"TPO",'caseload data'!$A:$A,'divisional &amp; regional overview'!$B$98,'caseload data'!$B:$B,"licence")</f>
        <v>0</v>
      </c>
      <c r="P109" s="107">
        <f>SUMIFS('caseload data'!R:R,'caseload data'!$D:$D,"TPO",'caseload data'!$A:$A,'divisional &amp; regional overview'!$B$98,'caseload data'!$B:$B,"licence")</f>
        <v>0</v>
      </c>
      <c r="Q109" s="107">
        <f>SUMIFS('caseload data'!S:S,'caseload data'!$D:$D,"TPO",'caseload data'!$A:$A,'divisional &amp; regional overview'!$B$98,'caseload data'!$B:$B,"licence")</f>
        <v>0</v>
      </c>
      <c r="R109" s="107">
        <f>SUMIFS('caseload data'!T:T,'caseload data'!$D:$D,"TPO",'caseload data'!$A:$A,'divisional &amp; regional overview'!$B$98,'caseload data'!$B:$B,"licence")</f>
        <v>0</v>
      </c>
      <c r="U109" s="110" t="s">
        <v>1039</v>
      </c>
      <c r="V109" s="187" t="e">
        <f>C$109/SUM(C$107:C$110)</f>
        <v>#DIV/0!</v>
      </c>
      <c r="W109" s="187" t="e">
        <f t="shared" ref="W109:AK109" si="10">D$109/SUM(D$107:D$110)</f>
        <v>#DIV/0!</v>
      </c>
      <c r="X109" s="187" t="e">
        <f t="shared" si="10"/>
        <v>#DIV/0!</v>
      </c>
      <c r="Y109" s="187" t="e">
        <f t="shared" si="10"/>
        <v>#DIV/0!</v>
      </c>
      <c r="Z109" s="187" t="e">
        <f t="shared" si="10"/>
        <v>#DIV/0!</v>
      </c>
      <c r="AA109" s="187" t="e">
        <f t="shared" si="10"/>
        <v>#DIV/0!</v>
      </c>
      <c r="AB109" s="187" t="e">
        <f t="shared" si="10"/>
        <v>#DIV/0!</v>
      </c>
      <c r="AC109" s="187" t="e">
        <f t="shared" si="10"/>
        <v>#DIV/0!</v>
      </c>
      <c r="AD109" s="187" t="e">
        <f t="shared" si="10"/>
        <v>#DIV/0!</v>
      </c>
      <c r="AE109" s="187" t="e">
        <f t="shared" si="10"/>
        <v>#DIV/0!</v>
      </c>
      <c r="AF109" s="187" t="e">
        <f t="shared" si="10"/>
        <v>#DIV/0!</v>
      </c>
      <c r="AG109" s="187" t="e">
        <f t="shared" si="10"/>
        <v>#DIV/0!</v>
      </c>
      <c r="AH109" s="187" t="e">
        <f t="shared" si="10"/>
        <v>#DIV/0!</v>
      </c>
      <c r="AI109" s="187" t="e">
        <f t="shared" si="10"/>
        <v>#DIV/0!</v>
      </c>
      <c r="AJ109" s="187" t="e">
        <f t="shared" si="10"/>
        <v>#DIV/0!</v>
      </c>
      <c r="AK109" s="187" t="e">
        <f t="shared" si="10"/>
        <v>#DIV/0!</v>
      </c>
    </row>
    <row r="110" spans="2:37" x14ac:dyDescent="0.15">
      <c r="B110" s="111" t="s">
        <v>1040</v>
      </c>
      <c r="C110" s="107">
        <f>SUMIFS('caseload data'!E:E,'caseload data'!$D:$D,"SPO",'caseload data'!$A:$A,'divisional &amp; regional overview'!$B$98,'caseload data'!$B:$B,"licence")</f>
        <v>0</v>
      </c>
      <c r="D110" s="107">
        <f>SUMIFS('caseload data'!F:F,'caseload data'!$D:$D,"SPO",'caseload data'!$A:$A,'divisional &amp; regional overview'!$B$98,'caseload data'!$B:$B,"licence")</f>
        <v>0</v>
      </c>
      <c r="E110" s="107">
        <f>SUMIFS('caseload data'!G:G,'caseload data'!$D:$D,"SPO",'caseload data'!$A:$A,'divisional &amp; regional overview'!$B$98,'caseload data'!$B:$B,"licence")</f>
        <v>0</v>
      </c>
      <c r="F110" s="107">
        <f>SUMIFS('caseload data'!H:H,'caseload data'!$D:$D,"SPO",'caseload data'!$A:$A,'divisional &amp; regional overview'!$B$98,'caseload data'!$B:$B,"licence")</f>
        <v>0</v>
      </c>
      <c r="G110" s="107">
        <f>SUMIFS('caseload data'!I:I,'caseload data'!$D:$D,"SPO",'caseload data'!$A:$A,'divisional &amp; regional overview'!$B$98,'caseload data'!$B:$B,"licence")</f>
        <v>0</v>
      </c>
      <c r="H110" s="107">
        <f>SUMIFS('caseload data'!J:J,'caseload data'!$D:$D,"SPO",'caseload data'!$A:$A,'divisional &amp; regional overview'!$B$98,'caseload data'!$B:$B,"licence")</f>
        <v>0</v>
      </c>
      <c r="I110" s="107">
        <f>SUMIFS('caseload data'!K:K,'caseload data'!$D:$D,"SPO",'caseload data'!$A:$A,'divisional &amp; regional overview'!$B$98,'caseload data'!$B:$B,"licence")</f>
        <v>0</v>
      </c>
      <c r="J110" s="107">
        <f>SUMIFS('caseload data'!L:L,'caseload data'!$D:$D,"SPO",'caseload data'!$A:$A,'divisional &amp; regional overview'!$B$98,'caseload data'!$B:$B,"licence")</f>
        <v>0</v>
      </c>
      <c r="K110" s="107">
        <f>SUMIFS('caseload data'!M:M,'caseload data'!$D:$D,"SPO",'caseload data'!$A:$A,'divisional &amp; regional overview'!$B$98,'caseload data'!$B:$B,"licence")</f>
        <v>0</v>
      </c>
      <c r="L110" s="107">
        <f>SUMIFS('caseload data'!N:N,'caseload data'!$D:$D,"SPO",'caseload data'!$A:$A,'divisional &amp; regional overview'!$B$98,'caseload data'!$B:$B,"licence")</f>
        <v>0</v>
      </c>
      <c r="M110" s="107">
        <f>SUMIFS('caseload data'!O:O,'caseload data'!$D:$D,"SPO",'caseload data'!$A:$A,'divisional &amp; regional overview'!$B$98,'caseload data'!$B:$B,"licence")</f>
        <v>0</v>
      </c>
      <c r="N110" s="107">
        <f>SUMIFS('caseload data'!P:P,'caseload data'!$D:$D,"SPO",'caseload data'!$A:$A,'divisional &amp; regional overview'!$B$98,'caseload data'!$B:$B,"licence")</f>
        <v>0</v>
      </c>
      <c r="O110" s="107">
        <f>SUMIFS('caseload data'!Q:Q,'caseload data'!$D:$D,"SPO",'caseload data'!$A:$A,'divisional &amp; regional overview'!$B$98,'caseload data'!$B:$B,"licence")</f>
        <v>0</v>
      </c>
      <c r="P110" s="107">
        <f>SUMIFS('caseload data'!R:R,'caseload data'!$D:$D,"SPO",'caseload data'!$A:$A,'divisional &amp; regional overview'!$B$98,'caseload data'!$B:$B,"licence")</f>
        <v>0</v>
      </c>
      <c r="Q110" s="107">
        <f>SUMIFS('caseload data'!S:S,'caseload data'!$D:$D,"SPO",'caseload data'!$A:$A,'divisional &amp; regional overview'!$B$98,'caseload data'!$B:$B,"licence")</f>
        <v>0</v>
      </c>
      <c r="R110" s="107">
        <f>SUMIFS('caseload data'!T:T,'caseload data'!$D:$D,"SPO",'caseload data'!$A:$A,'divisional &amp; regional overview'!$B$98,'caseload data'!$B:$B,"licence")</f>
        <v>0</v>
      </c>
      <c r="U110" s="111" t="s">
        <v>1040</v>
      </c>
      <c r="V110" s="187" t="e">
        <f>C$110/SUM(C$107:C$110)</f>
        <v>#DIV/0!</v>
      </c>
      <c r="W110" s="187" t="e">
        <f t="shared" ref="W110:AK110" si="11">D$110/SUM(D$107:D$110)</f>
        <v>#DIV/0!</v>
      </c>
      <c r="X110" s="187" t="e">
        <f t="shared" si="11"/>
        <v>#DIV/0!</v>
      </c>
      <c r="Y110" s="187" t="e">
        <f t="shared" si="11"/>
        <v>#DIV/0!</v>
      </c>
      <c r="Z110" s="187" t="e">
        <f t="shared" si="11"/>
        <v>#DIV/0!</v>
      </c>
      <c r="AA110" s="187" t="e">
        <f t="shared" si="11"/>
        <v>#DIV/0!</v>
      </c>
      <c r="AB110" s="187" t="e">
        <f t="shared" si="11"/>
        <v>#DIV/0!</v>
      </c>
      <c r="AC110" s="187" t="e">
        <f t="shared" si="11"/>
        <v>#DIV/0!</v>
      </c>
      <c r="AD110" s="187" t="e">
        <f t="shared" si="11"/>
        <v>#DIV/0!</v>
      </c>
      <c r="AE110" s="187" t="e">
        <f t="shared" si="11"/>
        <v>#DIV/0!</v>
      </c>
      <c r="AF110" s="187" t="e">
        <f t="shared" si="11"/>
        <v>#DIV/0!</v>
      </c>
      <c r="AG110" s="187" t="e">
        <f t="shared" si="11"/>
        <v>#DIV/0!</v>
      </c>
      <c r="AH110" s="187" t="e">
        <f t="shared" si="11"/>
        <v>#DIV/0!</v>
      </c>
      <c r="AI110" s="187" t="e">
        <f t="shared" si="11"/>
        <v>#DIV/0!</v>
      </c>
      <c r="AJ110" s="187" t="e">
        <f t="shared" si="11"/>
        <v>#DIV/0!</v>
      </c>
      <c r="AK110" s="187" t="e">
        <f t="shared" si="11"/>
        <v>#DIV/0!</v>
      </c>
    </row>
    <row r="111" spans="2:37" x14ac:dyDescent="0.15">
      <c r="B111" s="23"/>
    </row>
    <row r="112" spans="2:37" x14ac:dyDescent="0.15">
      <c r="B112" s="59" t="str">
        <f>B5</f>
        <v>Wales</v>
      </c>
      <c r="C112" s="265" t="s">
        <v>1202</v>
      </c>
      <c r="D112" s="266"/>
      <c r="E112" s="266"/>
      <c r="F112" s="266"/>
      <c r="G112" s="266"/>
      <c r="H112" s="266"/>
      <c r="I112" s="266"/>
      <c r="J112" s="266"/>
      <c r="K112" s="266"/>
      <c r="L112" s="266"/>
      <c r="M112" s="266"/>
      <c r="N112" s="266"/>
      <c r="O112" s="266"/>
      <c r="P112" s="266"/>
      <c r="Q112" s="266"/>
      <c r="R112" s="266"/>
      <c r="U112" s="59" t="str">
        <f>B5</f>
        <v>Wales</v>
      </c>
      <c r="V112" s="265" t="s">
        <v>1203</v>
      </c>
      <c r="W112" s="266"/>
      <c r="X112" s="266"/>
      <c r="Y112" s="266"/>
      <c r="Z112" s="266"/>
      <c r="AA112" s="266"/>
      <c r="AB112" s="266"/>
      <c r="AC112" s="266"/>
      <c r="AD112" s="266"/>
      <c r="AE112" s="266"/>
      <c r="AF112" s="266"/>
      <c r="AG112" s="266"/>
      <c r="AH112" s="266"/>
      <c r="AI112" s="266"/>
      <c r="AJ112" s="266"/>
      <c r="AK112" s="266"/>
    </row>
    <row r="113" spans="2:37" x14ac:dyDescent="0.15">
      <c r="B113" s="108" t="s">
        <v>1199</v>
      </c>
      <c r="C113" s="42" t="s">
        <v>1019</v>
      </c>
      <c r="D113" s="42" t="s">
        <v>1020</v>
      </c>
      <c r="E113" s="42" t="s">
        <v>1021</v>
      </c>
      <c r="F113" s="42" t="s">
        <v>1022</v>
      </c>
      <c r="G113" s="42" t="s">
        <v>1023</v>
      </c>
      <c r="H113" s="42" t="s">
        <v>1024</v>
      </c>
      <c r="I113" s="42" t="s">
        <v>1025</v>
      </c>
      <c r="J113" s="42" t="s">
        <v>1026</v>
      </c>
      <c r="K113" s="42" t="s">
        <v>1027</v>
      </c>
      <c r="L113" s="42" t="s">
        <v>1028</v>
      </c>
      <c r="M113" s="42" t="s">
        <v>1029</v>
      </c>
      <c r="N113" s="42" t="s">
        <v>1030</v>
      </c>
      <c r="O113" s="42" t="s">
        <v>1031</v>
      </c>
      <c r="P113" s="42" t="s">
        <v>1032</v>
      </c>
      <c r="Q113" s="42" t="s">
        <v>1033</v>
      </c>
      <c r="R113" s="42" t="s">
        <v>1034</v>
      </c>
      <c r="U113" s="108" t="s">
        <v>1199</v>
      </c>
      <c r="V113" s="42" t="s">
        <v>1019</v>
      </c>
      <c r="W113" s="42" t="s">
        <v>1020</v>
      </c>
      <c r="X113" s="42" t="s">
        <v>1021</v>
      </c>
      <c r="Y113" s="42" t="s">
        <v>1022</v>
      </c>
      <c r="Z113" s="42" t="s">
        <v>1023</v>
      </c>
      <c r="AA113" s="42" t="s">
        <v>1024</v>
      </c>
      <c r="AB113" s="42" t="s">
        <v>1025</v>
      </c>
      <c r="AC113" s="42" t="s">
        <v>1026</v>
      </c>
      <c r="AD113" s="42" t="s">
        <v>1027</v>
      </c>
      <c r="AE113" s="42" t="s">
        <v>1028</v>
      </c>
      <c r="AF113" s="42" t="s">
        <v>1029</v>
      </c>
      <c r="AG113" s="42" t="s">
        <v>1030</v>
      </c>
      <c r="AH113" s="42" t="s">
        <v>1031</v>
      </c>
      <c r="AI113" s="42" t="s">
        <v>1032</v>
      </c>
      <c r="AJ113" s="42" t="s">
        <v>1033</v>
      </c>
      <c r="AK113" s="42" t="s">
        <v>1034</v>
      </c>
    </row>
    <row r="114" spans="2:37" x14ac:dyDescent="0.15">
      <c r="B114" s="109" t="s">
        <v>1037</v>
      </c>
      <c r="C114" s="107">
        <f>SUMIFS('caseload data'!E:E,'caseload data'!$D:$D,"PO",'caseload data'!$A:$A,'divisional &amp; regional overview'!$B$98,'caseload data'!$B:$B,"custody")</f>
        <v>0</v>
      </c>
      <c r="D114" s="107">
        <f>SUMIFS('caseload data'!F:F,'caseload data'!$D:$D,"PO",'caseload data'!$A:$A,'divisional &amp; regional overview'!$B$98,'caseload data'!$B:$B,"custody")</f>
        <v>0</v>
      </c>
      <c r="E114" s="107">
        <f>SUMIFS('caseload data'!G:G,'caseload data'!$D:$D,"PO",'caseload data'!$A:$A,'divisional &amp; regional overview'!$B$98,'caseload data'!$B:$B,"custody")</f>
        <v>0</v>
      </c>
      <c r="F114" s="107">
        <f>SUMIFS('caseload data'!H:H,'caseload data'!$D:$D,"PO",'caseload data'!$A:$A,'divisional &amp; regional overview'!$B$98,'caseload data'!$B:$B,"custody")</f>
        <v>0</v>
      </c>
      <c r="G114" s="107">
        <f>SUMIFS('caseload data'!I:I,'caseload data'!$D:$D,"PO",'caseload data'!$A:$A,'divisional &amp; regional overview'!$B$98,'caseload data'!$B:$B,"custody")</f>
        <v>0</v>
      </c>
      <c r="H114" s="107">
        <f>SUMIFS('caseload data'!J:J,'caseload data'!$D:$D,"PO",'caseload data'!$A:$A,'divisional &amp; regional overview'!$B$98,'caseload data'!$B:$B,"custody")</f>
        <v>0</v>
      </c>
      <c r="I114" s="107">
        <f>SUMIFS('caseload data'!K:K,'caseload data'!$D:$D,"PO",'caseload data'!$A:$A,'divisional &amp; regional overview'!$B$98,'caseload data'!$B:$B,"custody")</f>
        <v>0</v>
      </c>
      <c r="J114" s="107">
        <f>SUMIFS('caseload data'!L:L,'caseload data'!$D:$D,"PO",'caseload data'!$A:$A,'divisional &amp; regional overview'!$B$98,'caseload data'!$B:$B,"custody")</f>
        <v>0</v>
      </c>
      <c r="K114" s="107">
        <f>SUMIFS('caseload data'!M:M,'caseload data'!$D:$D,"PO",'caseload data'!$A:$A,'divisional &amp; regional overview'!$B$98,'caseload data'!$B:$B,"custody")</f>
        <v>0</v>
      </c>
      <c r="L114" s="107">
        <f>SUMIFS('caseload data'!N:N,'caseload data'!$D:$D,"PO",'caseload data'!$A:$A,'divisional &amp; regional overview'!$B$98,'caseload data'!$B:$B,"custody")</f>
        <v>0</v>
      </c>
      <c r="M114" s="107">
        <f>SUMIFS('caseload data'!O:O,'caseload data'!$D:$D,"PO",'caseload data'!$A:$A,'divisional &amp; regional overview'!$B$98,'caseload data'!$B:$B,"custody")</f>
        <v>0</v>
      </c>
      <c r="N114" s="107">
        <f>SUMIFS('caseload data'!P:P,'caseload data'!$D:$D,"PO",'caseload data'!$A:$A,'divisional &amp; regional overview'!$B$98,'caseload data'!$B:$B,"custody")</f>
        <v>0</v>
      </c>
      <c r="O114" s="107">
        <f>SUMIFS('caseload data'!Q:Q,'caseload data'!$D:$D,"PO",'caseload data'!$A:$A,'divisional &amp; regional overview'!$B$98,'caseload data'!$B:$B,"custody")</f>
        <v>0</v>
      </c>
      <c r="P114" s="107">
        <f>SUMIFS('caseload data'!R:R,'caseload data'!$D:$D,"PO",'caseload data'!$A:$A,'divisional &amp; regional overview'!$B$98,'caseload data'!$B:$B,"custody")</f>
        <v>0</v>
      </c>
      <c r="Q114" s="107">
        <f>SUMIFS('caseload data'!S:S,'caseload data'!$D:$D,"PO",'caseload data'!$A:$A,'divisional &amp; regional overview'!$B$98,'caseload data'!$B:$B,"custody")</f>
        <v>0</v>
      </c>
      <c r="R114" s="107">
        <f>SUMIFS('caseload data'!T:T,'caseload data'!$D:$D,"PO",'caseload data'!$A:$A,'divisional &amp; regional overview'!$B$98,'caseload data'!$B:$B,"custody")</f>
        <v>0</v>
      </c>
      <c r="U114" s="109" t="s">
        <v>1037</v>
      </c>
      <c r="V114" s="187" t="e">
        <f>C$114/SUM(C$114:C$117)</f>
        <v>#DIV/0!</v>
      </c>
      <c r="W114" s="187" t="e">
        <f t="shared" ref="W114:AK114" si="12">D$114/SUM(D$114:D$117)</f>
        <v>#DIV/0!</v>
      </c>
      <c r="X114" s="187" t="e">
        <f t="shared" si="12"/>
        <v>#DIV/0!</v>
      </c>
      <c r="Y114" s="187" t="e">
        <f t="shared" si="12"/>
        <v>#DIV/0!</v>
      </c>
      <c r="Z114" s="187" t="e">
        <f t="shared" si="12"/>
        <v>#DIV/0!</v>
      </c>
      <c r="AA114" s="187" t="e">
        <f t="shared" si="12"/>
        <v>#DIV/0!</v>
      </c>
      <c r="AB114" s="187" t="e">
        <f t="shared" si="12"/>
        <v>#DIV/0!</v>
      </c>
      <c r="AC114" s="187" t="e">
        <f t="shared" si="12"/>
        <v>#DIV/0!</v>
      </c>
      <c r="AD114" s="187" t="e">
        <f t="shared" si="12"/>
        <v>#DIV/0!</v>
      </c>
      <c r="AE114" s="187" t="e">
        <f t="shared" si="12"/>
        <v>#DIV/0!</v>
      </c>
      <c r="AF114" s="187" t="e">
        <f t="shared" si="12"/>
        <v>#DIV/0!</v>
      </c>
      <c r="AG114" s="187" t="e">
        <f t="shared" si="12"/>
        <v>#DIV/0!</v>
      </c>
      <c r="AH114" s="187" t="e">
        <f t="shared" si="12"/>
        <v>#DIV/0!</v>
      </c>
      <c r="AI114" s="187" t="e">
        <f t="shared" si="12"/>
        <v>#DIV/0!</v>
      </c>
      <c r="AJ114" s="187" t="e">
        <f t="shared" si="12"/>
        <v>#DIV/0!</v>
      </c>
      <c r="AK114" s="187" t="e">
        <f t="shared" si="12"/>
        <v>#DIV/0!</v>
      </c>
    </row>
    <row r="115" spans="2:37" x14ac:dyDescent="0.15">
      <c r="B115" s="110" t="s">
        <v>1038</v>
      </c>
      <c r="C115" s="107">
        <f>SUMIFS('caseload data'!E:E,'caseload data'!$D:$D,"PSO",'caseload data'!$A:$A,'divisional &amp; regional overview'!$B$98,'caseload data'!$B:$B,"custody")</f>
        <v>0</v>
      </c>
      <c r="D115" s="107">
        <f>SUMIFS('caseload data'!F:F,'caseload data'!$D:$D,"PSO",'caseload data'!$A:$A,'divisional &amp; regional overview'!$B$98,'caseload data'!$B:$B,"custody")</f>
        <v>0</v>
      </c>
      <c r="E115" s="107">
        <f>SUMIFS('caseload data'!G:G,'caseload data'!$D:$D,"PSO",'caseload data'!$A:$A,'divisional &amp; regional overview'!$B$98,'caseload data'!$B:$B,"custody")</f>
        <v>0</v>
      </c>
      <c r="F115" s="107">
        <f>SUMIFS('caseload data'!H:H,'caseload data'!$D:$D,"PSO",'caseload data'!$A:$A,'divisional &amp; regional overview'!$B$98,'caseload data'!$B:$B,"custody")</f>
        <v>0</v>
      </c>
      <c r="G115" s="107">
        <f>SUMIFS('caseload data'!I:I,'caseload data'!$D:$D,"PSO",'caseload data'!$A:$A,'divisional &amp; regional overview'!$B$98,'caseload data'!$B:$B,"custody")</f>
        <v>0</v>
      </c>
      <c r="H115" s="107">
        <f>SUMIFS('caseload data'!J:J,'caseload data'!$D:$D,"PSO",'caseload data'!$A:$A,'divisional &amp; regional overview'!$B$98,'caseload data'!$B:$B,"custody")</f>
        <v>0</v>
      </c>
      <c r="I115" s="107">
        <f>SUMIFS('caseload data'!K:K,'caseload data'!$D:$D,"PSO",'caseload data'!$A:$A,'divisional &amp; regional overview'!$B$98,'caseload data'!$B:$B,"custody")</f>
        <v>0</v>
      </c>
      <c r="J115" s="107">
        <f>SUMIFS('caseload data'!L:L,'caseload data'!$D:$D,"PSO",'caseload data'!$A:$A,'divisional &amp; regional overview'!$B$98,'caseload data'!$B:$B,"custody")</f>
        <v>0</v>
      </c>
      <c r="K115" s="107">
        <f>SUMIFS('caseload data'!M:M,'caseload data'!$D:$D,"PSO",'caseload data'!$A:$A,'divisional &amp; regional overview'!$B$98,'caseload data'!$B:$B,"custody")</f>
        <v>0</v>
      </c>
      <c r="L115" s="107">
        <f>SUMIFS('caseload data'!N:N,'caseload data'!$D:$D,"PSO",'caseload data'!$A:$A,'divisional &amp; regional overview'!$B$98,'caseload data'!$B:$B,"custody")</f>
        <v>0</v>
      </c>
      <c r="M115" s="107">
        <f>SUMIFS('caseload data'!O:O,'caseload data'!$D:$D,"PSO",'caseload data'!$A:$A,'divisional &amp; regional overview'!$B$98,'caseload data'!$B:$B,"custody")</f>
        <v>0</v>
      </c>
      <c r="N115" s="107">
        <f>SUMIFS('caseload data'!P:P,'caseload data'!$D:$D,"PSO",'caseload data'!$A:$A,'divisional &amp; regional overview'!$B$98,'caseload data'!$B:$B,"custody")</f>
        <v>0</v>
      </c>
      <c r="O115" s="107">
        <f>SUMIFS('caseload data'!Q:Q,'caseload data'!$D:$D,"PSO",'caseload data'!$A:$A,'divisional &amp; regional overview'!$B$98,'caseload data'!$B:$B,"custody")</f>
        <v>0</v>
      </c>
      <c r="P115" s="107">
        <f>SUMIFS('caseload data'!R:R,'caseload data'!$D:$D,"PSO",'caseload data'!$A:$A,'divisional &amp; regional overview'!$B$98,'caseload data'!$B:$B,"custody")</f>
        <v>0</v>
      </c>
      <c r="Q115" s="107">
        <f>SUMIFS('caseload data'!S:S,'caseload data'!$D:$D,"PSO",'caseload data'!$A:$A,'divisional &amp; regional overview'!$B$98,'caseload data'!$B:$B,"custody")</f>
        <v>0</v>
      </c>
      <c r="R115" s="107">
        <f>SUMIFS('caseload data'!T:T,'caseload data'!$D:$D,"PSO",'caseload data'!$A:$A,'divisional &amp; regional overview'!$B$98,'caseload data'!$B:$B,"custody")</f>
        <v>0</v>
      </c>
      <c r="U115" s="110" t="s">
        <v>1038</v>
      </c>
      <c r="V115" s="187" t="e">
        <f>C$115/SUM(C$114:C$117)</f>
        <v>#DIV/0!</v>
      </c>
      <c r="W115" s="187" t="e">
        <f t="shared" ref="W115:AK115" si="13">D$115/SUM(D$114:D$117)</f>
        <v>#DIV/0!</v>
      </c>
      <c r="X115" s="187" t="e">
        <f t="shared" si="13"/>
        <v>#DIV/0!</v>
      </c>
      <c r="Y115" s="187" t="e">
        <f t="shared" si="13"/>
        <v>#DIV/0!</v>
      </c>
      <c r="Z115" s="187" t="e">
        <f t="shared" si="13"/>
        <v>#DIV/0!</v>
      </c>
      <c r="AA115" s="187" t="e">
        <f t="shared" si="13"/>
        <v>#DIV/0!</v>
      </c>
      <c r="AB115" s="187" t="e">
        <f t="shared" si="13"/>
        <v>#DIV/0!</v>
      </c>
      <c r="AC115" s="187" t="e">
        <f t="shared" si="13"/>
        <v>#DIV/0!</v>
      </c>
      <c r="AD115" s="187" t="e">
        <f t="shared" si="13"/>
        <v>#DIV/0!</v>
      </c>
      <c r="AE115" s="187" t="e">
        <f t="shared" si="13"/>
        <v>#DIV/0!</v>
      </c>
      <c r="AF115" s="187" t="e">
        <f t="shared" si="13"/>
        <v>#DIV/0!</v>
      </c>
      <c r="AG115" s="187" t="e">
        <f t="shared" si="13"/>
        <v>#DIV/0!</v>
      </c>
      <c r="AH115" s="187" t="e">
        <f t="shared" si="13"/>
        <v>#DIV/0!</v>
      </c>
      <c r="AI115" s="187" t="e">
        <f t="shared" si="13"/>
        <v>#DIV/0!</v>
      </c>
      <c r="AJ115" s="187" t="e">
        <f t="shared" si="13"/>
        <v>#DIV/0!</v>
      </c>
      <c r="AK115" s="187" t="e">
        <f t="shared" si="13"/>
        <v>#DIV/0!</v>
      </c>
    </row>
    <row r="116" spans="2:37" x14ac:dyDescent="0.15">
      <c r="B116" s="110" t="s">
        <v>1039</v>
      </c>
      <c r="C116" s="107">
        <f>SUMIFS('caseload data'!E:E,'caseload data'!$D:$D,"TPO",'caseload data'!$A:$A,'divisional &amp; regional overview'!$B$98,'caseload data'!$B:$B,"custody")</f>
        <v>0</v>
      </c>
      <c r="D116" s="107">
        <f>SUMIFS('caseload data'!F:F,'caseload data'!$D:$D,"TPO",'caseload data'!$A:$A,'divisional &amp; regional overview'!$B$98,'caseload data'!$B:$B,"custody")</f>
        <v>0</v>
      </c>
      <c r="E116" s="107">
        <f>SUMIFS('caseload data'!G:G,'caseload data'!$D:$D,"TPO",'caseload data'!$A:$A,'divisional &amp; regional overview'!$B$98,'caseload data'!$B:$B,"custody")</f>
        <v>0</v>
      </c>
      <c r="F116" s="107">
        <f>SUMIFS('caseload data'!H:H,'caseload data'!$D:$D,"TPO",'caseload data'!$A:$A,'divisional &amp; regional overview'!$B$98,'caseload data'!$B:$B,"custody")</f>
        <v>0</v>
      </c>
      <c r="G116" s="107">
        <f>SUMIFS('caseload data'!I:I,'caseload data'!$D:$D,"TPO",'caseload data'!$A:$A,'divisional &amp; regional overview'!$B$98,'caseload data'!$B:$B,"custody")</f>
        <v>0</v>
      </c>
      <c r="H116" s="107">
        <f>SUMIFS('caseload data'!J:J,'caseload data'!$D:$D,"TPO",'caseload data'!$A:$A,'divisional &amp; regional overview'!$B$98,'caseload data'!$B:$B,"custody")</f>
        <v>0</v>
      </c>
      <c r="I116" s="107">
        <f>SUMIFS('caseload data'!K:K,'caseload data'!$D:$D,"TPO",'caseload data'!$A:$A,'divisional &amp; regional overview'!$B$98,'caseload data'!$B:$B,"custody")</f>
        <v>0</v>
      </c>
      <c r="J116" s="107">
        <f>SUMIFS('caseload data'!L:L,'caseload data'!$D:$D,"TPO",'caseload data'!$A:$A,'divisional &amp; regional overview'!$B$98,'caseload data'!$B:$B,"custody")</f>
        <v>0</v>
      </c>
      <c r="K116" s="107">
        <f>SUMIFS('caseload data'!M:M,'caseload data'!$D:$D,"TPO",'caseload data'!$A:$A,'divisional &amp; regional overview'!$B$98,'caseload data'!$B:$B,"custody")</f>
        <v>0</v>
      </c>
      <c r="L116" s="107">
        <f>SUMIFS('caseload data'!N:N,'caseload data'!$D:$D,"TPO",'caseload data'!$A:$A,'divisional &amp; regional overview'!$B$98,'caseload data'!$B:$B,"custody")</f>
        <v>0</v>
      </c>
      <c r="M116" s="107">
        <f>SUMIFS('caseload data'!O:O,'caseload data'!$D:$D,"TPO",'caseload data'!$A:$A,'divisional &amp; regional overview'!$B$98,'caseload data'!$B:$B,"custody")</f>
        <v>0</v>
      </c>
      <c r="N116" s="107">
        <f>SUMIFS('caseload data'!P:P,'caseload data'!$D:$D,"TPO",'caseload data'!$A:$A,'divisional &amp; regional overview'!$B$98,'caseload data'!$B:$B,"custody")</f>
        <v>0</v>
      </c>
      <c r="O116" s="107">
        <f>SUMIFS('caseload data'!Q:Q,'caseload data'!$D:$D,"TPO",'caseload data'!$A:$A,'divisional &amp; regional overview'!$B$98,'caseload data'!$B:$B,"custody")</f>
        <v>0</v>
      </c>
      <c r="P116" s="107">
        <f>SUMIFS('caseload data'!R:R,'caseload data'!$D:$D,"TPO",'caseload data'!$A:$A,'divisional &amp; regional overview'!$B$98,'caseload data'!$B:$B,"custody")</f>
        <v>0</v>
      </c>
      <c r="Q116" s="107">
        <f>SUMIFS('caseload data'!S:S,'caseload data'!$D:$D,"TPO",'caseload data'!$A:$A,'divisional &amp; regional overview'!$B$98,'caseload data'!$B:$B,"custody")</f>
        <v>0</v>
      </c>
      <c r="R116" s="107">
        <f>SUMIFS('caseload data'!T:T,'caseload data'!$D:$D,"TPO",'caseload data'!$A:$A,'divisional &amp; regional overview'!$B$98,'caseload data'!$B:$B,"custody")</f>
        <v>0</v>
      </c>
      <c r="U116" s="110" t="s">
        <v>1039</v>
      </c>
      <c r="V116" s="187" t="e">
        <f>C$116/SUM(C$114:C$117)</f>
        <v>#DIV/0!</v>
      </c>
      <c r="W116" s="187" t="e">
        <f t="shared" ref="W116:AK116" si="14">D$116/SUM(D$114:D$117)</f>
        <v>#DIV/0!</v>
      </c>
      <c r="X116" s="187" t="e">
        <f t="shared" si="14"/>
        <v>#DIV/0!</v>
      </c>
      <c r="Y116" s="187" t="e">
        <f t="shared" si="14"/>
        <v>#DIV/0!</v>
      </c>
      <c r="Z116" s="187" t="e">
        <f t="shared" si="14"/>
        <v>#DIV/0!</v>
      </c>
      <c r="AA116" s="187" t="e">
        <f t="shared" si="14"/>
        <v>#DIV/0!</v>
      </c>
      <c r="AB116" s="187" t="e">
        <f t="shared" si="14"/>
        <v>#DIV/0!</v>
      </c>
      <c r="AC116" s="187" t="e">
        <f t="shared" si="14"/>
        <v>#DIV/0!</v>
      </c>
      <c r="AD116" s="187" t="e">
        <f t="shared" si="14"/>
        <v>#DIV/0!</v>
      </c>
      <c r="AE116" s="187" t="e">
        <f t="shared" si="14"/>
        <v>#DIV/0!</v>
      </c>
      <c r="AF116" s="187" t="e">
        <f t="shared" si="14"/>
        <v>#DIV/0!</v>
      </c>
      <c r="AG116" s="187" t="e">
        <f t="shared" si="14"/>
        <v>#DIV/0!</v>
      </c>
      <c r="AH116" s="187" t="e">
        <f t="shared" si="14"/>
        <v>#DIV/0!</v>
      </c>
      <c r="AI116" s="187" t="e">
        <f t="shared" si="14"/>
        <v>#DIV/0!</v>
      </c>
      <c r="AJ116" s="187" t="e">
        <f t="shared" si="14"/>
        <v>#DIV/0!</v>
      </c>
      <c r="AK116" s="187" t="e">
        <f t="shared" si="14"/>
        <v>#DIV/0!</v>
      </c>
    </row>
    <row r="117" spans="2:37" x14ac:dyDescent="0.15">
      <c r="B117" s="111" t="s">
        <v>1040</v>
      </c>
      <c r="C117" s="107">
        <f>SUMIFS('caseload data'!E:E,'caseload data'!$D:$D,"SPO",'caseload data'!$A:$A,'divisional &amp; regional overview'!$B$98,'caseload data'!$B:$B,"custody")</f>
        <v>0</v>
      </c>
      <c r="D117" s="107">
        <f>SUMIFS('caseload data'!F:F,'caseload data'!$D:$D,"SPO",'caseload data'!$A:$A,'divisional &amp; regional overview'!$B$98,'caseload data'!$B:$B,"custody")</f>
        <v>0</v>
      </c>
      <c r="E117" s="107">
        <f>SUMIFS('caseload data'!G:G,'caseload data'!$D:$D,"SPO",'caseload data'!$A:$A,'divisional &amp; regional overview'!$B$98,'caseload data'!$B:$B,"custody")</f>
        <v>0</v>
      </c>
      <c r="F117" s="107">
        <f>SUMIFS('caseload data'!H:H,'caseload data'!$D:$D,"SPO",'caseload data'!$A:$A,'divisional &amp; regional overview'!$B$98,'caseload data'!$B:$B,"custody")</f>
        <v>0</v>
      </c>
      <c r="G117" s="107">
        <f>SUMIFS('caseload data'!I:I,'caseload data'!$D:$D,"SPO",'caseload data'!$A:$A,'divisional &amp; regional overview'!$B$98,'caseload data'!$B:$B,"custody")</f>
        <v>0</v>
      </c>
      <c r="H117" s="107">
        <f>SUMIFS('caseload data'!J:J,'caseload data'!$D:$D,"SPO",'caseload data'!$A:$A,'divisional &amp; regional overview'!$B$98,'caseload data'!$B:$B,"custody")</f>
        <v>0</v>
      </c>
      <c r="I117" s="107">
        <f>SUMIFS('caseload data'!K:K,'caseload data'!$D:$D,"SPO",'caseload data'!$A:$A,'divisional &amp; regional overview'!$B$98,'caseload data'!$B:$B,"custody")</f>
        <v>0</v>
      </c>
      <c r="J117" s="107">
        <f>SUMIFS('caseload data'!L:L,'caseload data'!$D:$D,"SPO",'caseload data'!$A:$A,'divisional &amp; regional overview'!$B$98,'caseload data'!$B:$B,"custody")</f>
        <v>0</v>
      </c>
      <c r="K117" s="107">
        <f>SUMIFS('caseload data'!M:M,'caseload data'!$D:$D,"SPO",'caseload data'!$A:$A,'divisional &amp; regional overview'!$B$98,'caseload data'!$B:$B,"custody")</f>
        <v>0</v>
      </c>
      <c r="L117" s="107">
        <f>SUMIFS('caseload data'!N:N,'caseload data'!$D:$D,"SPO",'caseload data'!$A:$A,'divisional &amp; regional overview'!$B$98,'caseload data'!$B:$B,"custody")</f>
        <v>0</v>
      </c>
      <c r="M117" s="107">
        <f>SUMIFS('caseload data'!O:O,'caseload data'!$D:$D,"SPO",'caseload data'!$A:$A,'divisional &amp; regional overview'!$B$98,'caseload data'!$B:$B,"custody")</f>
        <v>0</v>
      </c>
      <c r="N117" s="107">
        <f>SUMIFS('caseload data'!P:P,'caseload data'!$D:$D,"SPO",'caseload data'!$A:$A,'divisional &amp; regional overview'!$B$98,'caseload data'!$B:$B,"custody")</f>
        <v>0</v>
      </c>
      <c r="O117" s="107">
        <f>SUMIFS('caseload data'!Q:Q,'caseload data'!$D:$D,"SPO",'caseload data'!$A:$A,'divisional &amp; regional overview'!$B$98,'caseload data'!$B:$B,"custody")</f>
        <v>0</v>
      </c>
      <c r="P117" s="107">
        <f>SUMIFS('caseload data'!R:R,'caseload data'!$D:$D,"SPO",'caseload data'!$A:$A,'divisional &amp; regional overview'!$B$98,'caseload data'!$B:$B,"custody")</f>
        <v>0</v>
      </c>
      <c r="Q117" s="107">
        <f>SUMIFS('caseload data'!S:S,'caseload data'!$D:$D,"SPO",'caseload data'!$A:$A,'divisional &amp; regional overview'!$B$98,'caseload data'!$B:$B,"custody")</f>
        <v>0</v>
      </c>
      <c r="R117" s="107">
        <f>SUMIFS('caseload data'!T:T,'caseload data'!$D:$D,"SPO",'caseload data'!$A:$A,'divisional &amp; regional overview'!$B$98,'caseload data'!$B:$B,"custody")</f>
        <v>0</v>
      </c>
      <c r="U117" s="111" t="s">
        <v>1040</v>
      </c>
      <c r="V117" s="187" t="e">
        <f>C$117/SUM(C$114:C$117)</f>
        <v>#DIV/0!</v>
      </c>
      <c r="W117" s="187" t="e">
        <f t="shared" ref="W117:AK117" si="15">D$117/SUM(D$114:D$117)</f>
        <v>#DIV/0!</v>
      </c>
      <c r="X117" s="187" t="e">
        <f t="shared" si="15"/>
        <v>#DIV/0!</v>
      </c>
      <c r="Y117" s="187" t="e">
        <f t="shared" si="15"/>
        <v>#DIV/0!</v>
      </c>
      <c r="Z117" s="187" t="e">
        <f t="shared" si="15"/>
        <v>#DIV/0!</v>
      </c>
      <c r="AA117" s="187" t="e">
        <f t="shared" si="15"/>
        <v>#DIV/0!</v>
      </c>
      <c r="AB117" s="187" t="e">
        <f t="shared" si="15"/>
        <v>#DIV/0!</v>
      </c>
      <c r="AC117" s="187" t="e">
        <f t="shared" si="15"/>
        <v>#DIV/0!</v>
      </c>
      <c r="AD117" s="187" t="e">
        <f t="shared" si="15"/>
        <v>#DIV/0!</v>
      </c>
      <c r="AE117" s="187" t="e">
        <f t="shared" si="15"/>
        <v>#DIV/0!</v>
      </c>
      <c r="AF117" s="187" t="e">
        <f t="shared" si="15"/>
        <v>#DIV/0!</v>
      </c>
      <c r="AG117" s="187" t="e">
        <f t="shared" si="15"/>
        <v>#DIV/0!</v>
      </c>
      <c r="AH117" s="187" t="e">
        <f t="shared" si="15"/>
        <v>#DIV/0!</v>
      </c>
      <c r="AI117" s="187" t="e">
        <f t="shared" si="15"/>
        <v>#DIV/0!</v>
      </c>
      <c r="AJ117" s="187" t="e">
        <f t="shared" si="15"/>
        <v>#DIV/0!</v>
      </c>
      <c r="AK117" s="187" t="e">
        <f t="shared" si="15"/>
        <v>#DIV/0!</v>
      </c>
    </row>
    <row r="118" spans="2:37" x14ac:dyDescent="0.15">
      <c r="B118" s="23"/>
    </row>
    <row r="119" spans="2:37" x14ac:dyDescent="0.15">
      <c r="B119" s="59" t="str">
        <f>B5</f>
        <v>Wales</v>
      </c>
      <c r="C119" s="265" t="s">
        <v>1204</v>
      </c>
      <c r="D119" s="266"/>
      <c r="E119" s="266"/>
      <c r="F119" s="266"/>
      <c r="G119" s="266"/>
      <c r="H119" s="266"/>
      <c r="I119" s="266"/>
      <c r="J119" s="266"/>
      <c r="K119" s="266"/>
      <c r="L119" s="266"/>
      <c r="M119" s="266"/>
      <c r="N119" s="266"/>
      <c r="O119" s="266"/>
      <c r="P119" s="266"/>
      <c r="Q119" s="266"/>
      <c r="R119" s="266"/>
      <c r="U119" s="59" t="str">
        <f>B5</f>
        <v>Wales</v>
      </c>
      <c r="V119" s="265" t="s">
        <v>1205</v>
      </c>
      <c r="W119" s="266"/>
      <c r="X119" s="266"/>
      <c r="Y119" s="266"/>
      <c r="Z119" s="266"/>
      <c r="AA119" s="266"/>
      <c r="AB119" s="266"/>
      <c r="AC119" s="266"/>
      <c r="AD119" s="266"/>
      <c r="AE119" s="266"/>
      <c r="AF119" s="266"/>
      <c r="AG119" s="266"/>
      <c r="AH119" s="266"/>
      <c r="AI119" s="266"/>
      <c r="AJ119" s="266"/>
      <c r="AK119" s="266"/>
    </row>
    <row r="120" spans="2:37" x14ac:dyDescent="0.15">
      <c r="B120" s="108" t="s">
        <v>1199</v>
      </c>
      <c r="C120" s="42" t="s">
        <v>1019</v>
      </c>
      <c r="D120" s="42" t="s">
        <v>1020</v>
      </c>
      <c r="E120" s="42" t="s">
        <v>1021</v>
      </c>
      <c r="F120" s="42" t="s">
        <v>1022</v>
      </c>
      <c r="G120" s="42" t="s">
        <v>1023</v>
      </c>
      <c r="H120" s="42" t="s">
        <v>1024</v>
      </c>
      <c r="I120" s="42" t="s">
        <v>1025</v>
      </c>
      <c r="J120" s="42" t="s">
        <v>1026</v>
      </c>
      <c r="K120" s="42" t="s">
        <v>1027</v>
      </c>
      <c r="L120" s="42" t="s">
        <v>1028</v>
      </c>
      <c r="M120" s="42" t="s">
        <v>1029</v>
      </c>
      <c r="N120" s="42" t="s">
        <v>1030</v>
      </c>
      <c r="O120" s="42" t="s">
        <v>1031</v>
      </c>
      <c r="P120" s="42" t="s">
        <v>1032</v>
      </c>
      <c r="Q120" s="42" t="s">
        <v>1033</v>
      </c>
      <c r="R120" s="42" t="s">
        <v>1034</v>
      </c>
      <c r="U120" s="108" t="s">
        <v>1199</v>
      </c>
      <c r="V120" s="42" t="s">
        <v>1019</v>
      </c>
      <c r="W120" s="42" t="s">
        <v>1020</v>
      </c>
      <c r="X120" s="42" t="s">
        <v>1021</v>
      </c>
      <c r="Y120" s="42" t="s">
        <v>1022</v>
      </c>
      <c r="Z120" s="42" t="s">
        <v>1023</v>
      </c>
      <c r="AA120" s="42" t="s">
        <v>1024</v>
      </c>
      <c r="AB120" s="42" t="s">
        <v>1025</v>
      </c>
      <c r="AC120" s="42" t="s">
        <v>1026</v>
      </c>
      <c r="AD120" s="42" t="s">
        <v>1027</v>
      </c>
      <c r="AE120" s="42" t="s">
        <v>1028</v>
      </c>
      <c r="AF120" s="42" t="s">
        <v>1029</v>
      </c>
      <c r="AG120" s="42" t="s">
        <v>1030</v>
      </c>
      <c r="AH120" s="42" t="s">
        <v>1031</v>
      </c>
      <c r="AI120" s="42" t="s">
        <v>1032</v>
      </c>
      <c r="AJ120" s="42" t="s">
        <v>1033</v>
      </c>
      <c r="AK120" s="42" t="s">
        <v>1034</v>
      </c>
    </row>
    <row r="121" spans="2:37" x14ac:dyDescent="0.15">
      <c r="B121" s="109" t="s">
        <v>1037</v>
      </c>
      <c r="C121" s="107">
        <f>SUMIFS('caseload data'!E:E,'caseload data'!$D:$D,"PO",'caseload data'!$A:$A,'divisional &amp; regional overview'!$B$105)</f>
        <v>0</v>
      </c>
      <c r="D121" s="107">
        <f>SUMIFS('caseload data'!F:F,'caseload data'!$D:$D,"PO",'caseload data'!$A:$A,'divisional &amp; regional overview'!$B$105)</f>
        <v>0</v>
      </c>
      <c r="E121" s="107">
        <f>SUMIFS('caseload data'!G:G,'caseload data'!$D:$D,"PO",'caseload data'!$A:$A,'divisional &amp; regional overview'!$B$105)</f>
        <v>0</v>
      </c>
      <c r="F121" s="107">
        <f>SUMIFS('caseload data'!H:H,'caseload data'!$D:$D,"PO",'caseload data'!$A:$A,'divisional &amp; regional overview'!$B$105)</f>
        <v>0</v>
      </c>
      <c r="G121" s="107">
        <f>SUMIFS('caseload data'!I:I,'caseload data'!$D:$D,"PO",'caseload data'!$A:$A,'divisional &amp; regional overview'!$B$105)</f>
        <v>0</v>
      </c>
      <c r="H121" s="107">
        <f>SUMIFS('caseload data'!J:J,'caseload data'!$D:$D,"PO",'caseload data'!$A:$A,'divisional &amp; regional overview'!$B$105)</f>
        <v>0</v>
      </c>
      <c r="I121" s="107">
        <f>SUMIFS('caseload data'!K:K,'caseload data'!$D:$D,"PO",'caseload data'!$A:$A,'divisional &amp; regional overview'!$B$105)</f>
        <v>0</v>
      </c>
      <c r="J121" s="107">
        <f>SUMIFS('caseload data'!L:L,'caseload data'!$D:$D,"PO",'caseload data'!$A:$A,'divisional &amp; regional overview'!$B$105)</f>
        <v>0</v>
      </c>
      <c r="K121" s="107">
        <f>SUMIFS('caseload data'!M:M,'caseload data'!$D:$D,"PO",'caseload data'!$A:$A,'divisional &amp; regional overview'!$B$105)</f>
        <v>0</v>
      </c>
      <c r="L121" s="107">
        <f>SUMIFS('caseload data'!N:N,'caseload data'!$D:$D,"PO",'caseload data'!$A:$A,'divisional &amp; regional overview'!$B$105)</f>
        <v>0</v>
      </c>
      <c r="M121" s="107">
        <f>SUMIFS('caseload data'!O:O,'caseload data'!$D:$D,"PO",'caseload data'!$A:$A,'divisional &amp; regional overview'!$B$105)</f>
        <v>0</v>
      </c>
      <c r="N121" s="107">
        <f>SUMIFS('caseload data'!P:P,'caseload data'!$D:$D,"PO",'caseload data'!$A:$A,'divisional &amp; regional overview'!$B$105)</f>
        <v>0</v>
      </c>
      <c r="O121" s="107">
        <f>SUMIFS('caseload data'!Q:Q,'caseload data'!$D:$D,"PO",'caseload data'!$A:$A,'divisional &amp; regional overview'!$B$105)</f>
        <v>0</v>
      </c>
      <c r="P121" s="107">
        <f>SUMIFS('caseload data'!R:R,'caseload data'!$D:$D,"PO",'caseload data'!$A:$A,'divisional &amp; regional overview'!$B$105)</f>
        <v>0</v>
      </c>
      <c r="Q121" s="107">
        <f>SUMIFS('caseload data'!S:S,'caseload data'!$D:$D,"PO",'caseload data'!$A:$A,'divisional &amp; regional overview'!$B$105)</f>
        <v>0</v>
      </c>
      <c r="R121" s="107">
        <f>SUMIFS('caseload data'!T:T,'caseload data'!$D:$D,"PO",'caseload data'!$A:$A,'divisional &amp; regional overview'!$B$105)</f>
        <v>0</v>
      </c>
      <c r="U121" s="109" t="s">
        <v>1037</v>
      </c>
      <c r="V121" s="187" t="e">
        <f>C$121/SUM(C$121:C$124)</f>
        <v>#DIV/0!</v>
      </c>
      <c r="W121" s="187" t="e">
        <f t="shared" ref="W121:AK121" si="16">D$121/SUM(D$121:D$124)</f>
        <v>#DIV/0!</v>
      </c>
      <c r="X121" s="187" t="e">
        <f t="shared" si="16"/>
        <v>#DIV/0!</v>
      </c>
      <c r="Y121" s="187" t="e">
        <f t="shared" si="16"/>
        <v>#DIV/0!</v>
      </c>
      <c r="Z121" s="187" t="e">
        <f t="shared" si="16"/>
        <v>#DIV/0!</v>
      </c>
      <c r="AA121" s="187" t="e">
        <f t="shared" si="16"/>
        <v>#DIV/0!</v>
      </c>
      <c r="AB121" s="187" t="e">
        <f t="shared" si="16"/>
        <v>#DIV/0!</v>
      </c>
      <c r="AC121" s="187" t="e">
        <f t="shared" si="16"/>
        <v>#DIV/0!</v>
      </c>
      <c r="AD121" s="187" t="e">
        <f t="shared" si="16"/>
        <v>#DIV/0!</v>
      </c>
      <c r="AE121" s="187" t="e">
        <f t="shared" si="16"/>
        <v>#DIV/0!</v>
      </c>
      <c r="AF121" s="187" t="e">
        <f t="shared" si="16"/>
        <v>#DIV/0!</v>
      </c>
      <c r="AG121" s="187" t="e">
        <f t="shared" si="16"/>
        <v>#DIV/0!</v>
      </c>
      <c r="AH121" s="187" t="e">
        <f t="shared" si="16"/>
        <v>#DIV/0!</v>
      </c>
      <c r="AI121" s="187" t="e">
        <f t="shared" si="16"/>
        <v>#DIV/0!</v>
      </c>
      <c r="AJ121" s="187" t="e">
        <f t="shared" si="16"/>
        <v>#DIV/0!</v>
      </c>
      <c r="AK121" s="187" t="e">
        <f t="shared" si="16"/>
        <v>#DIV/0!</v>
      </c>
    </row>
    <row r="122" spans="2:37" x14ac:dyDescent="0.15">
      <c r="B122" s="110" t="s">
        <v>1038</v>
      </c>
      <c r="C122" s="107">
        <f>SUMIFS('caseload data'!E:E,'caseload data'!$D:$D,"PSO",'caseload data'!$A:$A,'divisional &amp; regional overview'!$B$105)</f>
        <v>0</v>
      </c>
      <c r="D122" s="107">
        <f>SUMIFS('caseload data'!F:F,'caseload data'!$D:$D,"PSO",'caseload data'!$A:$A,'divisional &amp; regional overview'!$B$105)</f>
        <v>0</v>
      </c>
      <c r="E122" s="107">
        <f>SUMIFS('caseload data'!G:G,'caseload data'!$D:$D,"PSO",'caseload data'!$A:$A,'divisional &amp; regional overview'!$B$105)</f>
        <v>0</v>
      </c>
      <c r="F122" s="107">
        <f>SUMIFS('caseload data'!H:H,'caseload data'!$D:$D,"PSO",'caseload data'!$A:$A,'divisional &amp; regional overview'!$B$105)</f>
        <v>0</v>
      </c>
      <c r="G122" s="107">
        <f>SUMIFS('caseload data'!I:I,'caseload data'!$D:$D,"PSO",'caseload data'!$A:$A,'divisional &amp; regional overview'!$B$105)</f>
        <v>0</v>
      </c>
      <c r="H122" s="107">
        <f>SUMIFS('caseload data'!J:J,'caseload data'!$D:$D,"PSO",'caseload data'!$A:$A,'divisional &amp; regional overview'!$B$105)</f>
        <v>0</v>
      </c>
      <c r="I122" s="107">
        <f>SUMIFS('caseload data'!K:K,'caseload data'!$D:$D,"PSO",'caseload data'!$A:$A,'divisional &amp; regional overview'!$B$105)</f>
        <v>0</v>
      </c>
      <c r="J122" s="107">
        <f>SUMIFS('caseload data'!L:L,'caseload data'!$D:$D,"PSO",'caseload data'!$A:$A,'divisional &amp; regional overview'!$B$105)</f>
        <v>0</v>
      </c>
      <c r="K122" s="107">
        <f>SUMIFS('caseload data'!M:M,'caseload data'!$D:$D,"PSO",'caseload data'!$A:$A,'divisional &amp; regional overview'!$B$105)</f>
        <v>0</v>
      </c>
      <c r="L122" s="107">
        <f>SUMIFS('caseload data'!N:N,'caseload data'!$D:$D,"PSO",'caseload data'!$A:$A,'divisional &amp; regional overview'!$B$105)</f>
        <v>0</v>
      </c>
      <c r="M122" s="107">
        <f>SUMIFS('caseload data'!O:O,'caseload data'!$D:$D,"PSO",'caseload data'!$A:$A,'divisional &amp; regional overview'!$B$105)</f>
        <v>0</v>
      </c>
      <c r="N122" s="107">
        <f>SUMIFS('caseload data'!P:P,'caseload data'!$D:$D,"PSO",'caseload data'!$A:$A,'divisional &amp; regional overview'!$B$105)</f>
        <v>0</v>
      </c>
      <c r="O122" s="107">
        <f>SUMIFS('caseload data'!Q:Q,'caseload data'!$D:$D,"PSO",'caseload data'!$A:$A,'divisional &amp; regional overview'!$B$105)</f>
        <v>0</v>
      </c>
      <c r="P122" s="107">
        <f>SUMIFS('caseload data'!R:R,'caseload data'!$D:$D,"PSO",'caseload data'!$A:$A,'divisional &amp; regional overview'!$B$105)</f>
        <v>0</v>
      </c>
      <c r="Q122" s="107">
        <f>SUMIFS('caseload data'!S:S,'caseload data'!$D:$D,"PSO",'caseload data'!$A:$A,'divisional &amp; regional overview'!$B$105)</f>
        <v>0</v>
      </c>
      <c r="R122" s="107">
        <f>SUMIFS('caseload data'!T:T,'caseload data'!$D:$D,"PSO",'caseload data'!$A:$A,'divisional &amp; regional overview'!$B$105)</f>
        <v>0</v>
      </c>
      <c r="U122" s="110" t="s">
        <v>1038</v>
      </c>
      <c r="V122" s="187" t="e">
        <f>C$122/SUM(C$121:C$124)</f>
        <v>#DIV/0!</v>
      </c>
      <c r="W122" s="187" t="e">
        <f t="shared" ref="W122:AK122" si="17">D$122/SUM(D$121:D$124)</f>
        <v>#DIV/0!</v>
      </c>
      <c r="X122" s="187" t="e">
        <f t="shared" si="17"/>
        <v>#DIV/0!</v>
      </c>
      <c r="Y122" s="187" t="e">
        <f t="shared" si="17"/>
        <v>#DIV/0!</v>
      </c>
      <c r="Z122" s="187" t="e">
        <f t="shared" si="17"/>
        <v>#DIV/0!</v>
      </c>
      <c r="AA122" s="187" t="e">
        <f t="shared" si="17"/>
        <v>#DIV/0!</v>
      </c>
      <c r="AB122" s="187" t="e">
        <f t="shared" si="17"/>
        <v>#DIV/0!</v>
      </c>
      <c r="AC122" s="187" t="e">
        <f t="shared" si="17"/>
        <v>#DIV/0!</v>
      </c>
      <c r="AD122" s="187" t="e">
        <f t="shared" si="17"/>
        <v>#DIV/0!</v>
      </c>
      <c r="AE122" s="187" t="e">
        <f t="shared" si="17"/>
        <v>#DIV/0!</v>
      </c>
      <c r="AF122" s="187" t="e">
        <f t="shared" si="17"/>
        <v>#DIV/0!</v>
      </c>
      <c r="AG122" s="187" t="e">
        <f t="shared" si="17"/>
        <v>#DIV/0!</v>
      </c>
      <c r="AH122" s="187" t="e">
        <f t="shared" si="17"/>
        <v>#DIV/0!</v>
      </c>
      <c r="AI122" s="187" t="e">
        <f t="shared" si="17"/>
        <v>#DIV/0!</v>
      </c>
      <c r="AJ122" s="187" t="e">
        <f t="shared" si="17"/>
        <v>#DIV/0!</v>
      </c>
      <c r="AK122" s="187" t="e">
        <f t="shared" si="17"/>
        <v>#DIV/0!</v>
      </c>
    </row>
    <row r="123" spans="2:37" x14ac:dyDescent="0.15">
      <c r="B123" s="110" t="s">
        <v>1039</v>
      </c>
      <c r="C123" s="107">
        <f>SUMIFS('caseload data'!E:E,'caseload data'!$D:$D,"TPO",'caseload data'!$A:$A,'divisional &amp; regional overview'!$B$105)</f>
        <v>0</v>
      </c>
      <c r="D123" s="107">
        <f>SUMIFS('caseload data'!F:F,'caseload data'!$D:$D,"TPO",'caseload data'!$A:$A,'divisional &amp; regional overview'!$B$105)</f>
        <v>0</v>
      </c>
      <c r="E123" s="107">
        <f>SUMIFS('caseload data'!G:G,'caseload data'!$D:$D,"TPO",'caseload data'!$A:$A,'divisional &amp; regional overview'!$B$105)</f>
        <v>0</v>
      </c>
      <c r="F123" s="107">
        <f>SUMIFS('caseload data'!H:H,'caseload data'!$D:$D,"TPO",'caseload data'!$A:$A,'divisional &amp; regional overview'!$B$105)</f>
        <v>0</v>
      </c>
      <c r="G123" s="107">
        <f>SUMIFS('caseload data'!I:I,'caseload data'!$D:$D,"TPO",'caseload data'!$A:$A,'divisional &amp; regional overview'!$B$105)</f>
        <v>0</v>
      </c>
      <c r="H123" s="107">
        <f>SUMIFS('caseload data'!J:J,'caseload data'!$D:$D,"TPO",'caseload data'!$A:$A,'divisional &amp; regional overview'!$B$105)</f>
        <v>0</v>
      </c>
      <c r="I123" s="107">
        <f>SUMIFS('caseload data'!K:K,'caseload data'!$D:$D,"TPO",'caseload data'!$A:$A,'divisional &amp; regional overview'!$B$105)</f>
        <v>0</v>
      </c>
      <c r="J123" s="107">
        <f>SUMIFS('caseload data'!L:L,'caseload data'!$D:$D,"TPO",'caseload data'!$A:$A,'divisional &amp; regional overview'!$B$105)</f>
        <v>0</v>
      </c>
      <c r="K123" s="107">
        <f>SUMIFS('caseload data'!M:M,'caseload data'!$D:$D,"TPO",'caseload data'!$A:$A,'divisional &amp; regional overview'!$B$105)</f>
        <v>0</v>
      </c>
      <c r="L123" s="107">
        <f>SUMIFS('caseload data'!N:N,'caseload data'!$D:$D,"TPO",'caseload data'!$A:$A,'divisional &amp; regional overview'!$B$105)</f>
        <v>0</v>
      </c>
      <c r="M123" s="107">
        <f>SUMIFS('caseload data'!O:O,'caseload data'!$D:$D,"TPO",'caseload data'!$A:$A,'divisional &amp; regional overview'!$B$105)</f>
        <v>0</v>
      </c>
      <c r="N123" s="107">
        <f>SUMIFS('caseload data'!P:P,'caseload data'!$D:$D,"TPO",'caseload data'!$A:$A,'divisional &amp; regional overview'!$B$105)</f>
        <v>0</v>
      </c>
      <c r="O123" s="107">
        <f>SUMIFS('caseload data'!Q:Q,'caseload data'!$D:$D,"TPO",'caseload data'!$A:$A,'divisional &amp; regional overview'!$B$105)</f>
        <v>0</v>
      </c>
      <c r="P123" s="107">
        <f>SUMIFS('caseload data'!R:R,'caseload data'!$D:$D,"TPO",'caseload data'!$A:$A,'divisional &amp; regional overview'!$B$105)</f>
        <v>0</v>
      </c>
      <c r="Q123" s="107">
        <f>SUMIFS('caseload data'!S:S,'caseload data'!$D:$D,"TPO",'caseload data'!$A:$A,'divisional &amp; regional overview'!$B$105)</f>
        <v>0</v>
      </c>
      <c r="R123" s="107">
        <f>SUMIFS('caseload data'!T:T,'caseload data'!$D:$D,"TPO",'caseload data'!$A:$A,'divisional &amp; regional overview'!$B$105)</f>
        <v>0</v>
      </c>
      <c r="U123" s="110" t="s">
        <v>1039</v>
      </c>
      <c r="V123" s="187" t="e">
        <f>C$123/SUM(C$121:C$124)</f>
        <v>#DIV/0!</v>
      </c>
      <c r="W123" s="187" t="e">
        <f t="shared" ref="W123:AK123" si="18">D$123/SUM(D$121:D$124)</f>
        <v>#DIV/0!</v>
      </c>
      <c r="X123" s="187" t="e">
        <f t="shared" si="18"/>
        <v>#DIV/0!</v>
      </c>
      <c r="Y123" s="187" t="e">
        <f t="shared" si="18"/>
        <v>#DIV/0!</v>
      </c>
      <c r="Z123" s="187" t="e">
        <f t="shared" si="18"/>
        <v>#DIV/0!</v>
      </c>
      <c r="AA123" s="187" t="e">
        <f t="shared" si="18"/>
        <v>#DIV/0!</v>
      </c>
      <c r="AB123" s="187" t="e">
        <f t="shared" si="18"/>
        <v>#DIV/0!</v>
      </c>
      <c r="AC123" s="187" t="e">
        <f t="shared" si="18"/>
        <v>#DIV/0!</v>
      </c>
      <c r="AD123" s="187" t="e">
        <f t="shared" si="18"/>
        <v>#DIV/0!</v>
      </c>
      <c r="AE123" s="187" t="e">
        <f t="shared" si="18"/>
        <v>#DIV/0!</v>
      </c>
      <c r="AF123" s="187" t="e">
        <f t="shared" si="18"/>
        <v>#DIV/0!</v>
      </c>
      <c r="AG123" s="187" t="e">
        <f t="shared" si="18"/>
        <v>#DIV/0!</v>
      </c>
      <c r="AH123" s="187" t="e">
        <f t="shared" si="18"/>
        <v>#DIV/0!</v>
      </c>
      <c r="AI123" s="187" t="e">
        <f t="shared" si="18"/>
        <v>#DIV/0!</v>
      </c>
      <c r="AJ123" s="187" t="e">
        <f t="shared" si="18"/>
        <v>#DIV/0!</v>
      </c>
      <c r="AK123" s="187" t="e">
        <f t="shared" si="18"/>
        <v>#DIV/0!</v>
      </c>
    </row>
    <row r="124" spans="2:37" x14ac:dyDescent="0.15">
      <c r="B124" s="111" t="s">
        <v>1040</v>
      </c>
      <c r="C124" s="107">
        <f>SUMIFS('caseload data'!E:E,'caseload data'!$D:$D,"SPO",'caseload data'!$A:$A,$B$98)</f>
        <v>0</v>
      </c>
      <c r="D124" s="107">
        <f>SUMIFS('caseload data'!F:F,'caseload data'!$D:$D,"SPO",'caseload data'!$A:$A,$B$98)</f>
        <v>0</v>
      </c>
      <c r="E124" s="107">
        <f>SUMIFS('caseload data'!G:G,'caseload data'!$D:$D,"SPO",'caseload data'!$A:$A,$B$98)</f>
        <v>0</v>
      </c>
      <c r="F124" s="107">
        <f>SUMIFS('caseload data'!H:H,'caseload data'!$D:$D,"SPO",'caseload data'!$A:$A,$B$98)</f>
        <v>0</v>
      </c>
      <c r="G124" s="107">
        <f>SUMIFS('caseload data'!I:I,'caseload data'!$D:$D,"SPO",'caseload data'!$A:$A,$B$98)</f>
        <v>0</v>
      </c>
      <c r="H124" s="107">
        <f>SUMIFS('caseload data'!J:J,'caseload data'!$D:$D,"SPO",'caseload data'!$A:$A,$B$98)</f>
        <v>0</v>
      </c>
      <c r="I124" s="107">
        <f>SUMIFS('caseload data'!K:K,'caseload data'!$D:$D,"SPO",'caseload data'!$A:$A,$B$98)</f>
        <v>0</v>
      </c>
      <c r="J124" s="107">
        <f>SUMIFS('caseload data'!L:L,'caseload data'!$D:$D,"SPO",'caseload data'!$A:$A,$B$98)</f>
        <v>0</v>
      </c>
      <c r="K124" s="107">
        <f>SUMIFS('caseload data'!M:M,'caseload data'!$D:$D,"SPO",'caseload data'!$A:$A,$B$98)</f>
        <v>0</v>
      </c>
      <c r="L124" s="107">
        <f>SUMIFS('caseload data'!N:N,'caseload data'!$D:$D,"SPO",'caseload data'!$A:$A,$B$98)</f>
        <v>0</v>
      </c>
      <c r="M124" s="107">
        <f>SUMIFS('caseload data'!O:O,'caseload data'!$D:$D,"SPO",'caseload data'!$A:$A,$B$98)</f>
        <v>0</v>
      </c>
      <c r="N124" s="107">
        <f>SUMIFS('caseload data'!P:P,'caseload data'!$D:$D,"SPO",'caseload data'!$A:$A,$B$98)</f>
        <v>0</v>
      </c>
      <c r="O124" s="107">
        <f>SUMIFS('caseload data'!Q:Q,'caseload data'!$D:$D,"SPO",'caseload data'!$A:$A,$B$98)</f>
        <v>0</v>
      </c>
      <c r="P124" s="107">
        <f>SUMIFS('caseload data'!R:R,'caseload data'!$D:$D,"SPO",'caseload data'!$A:$A,$B$98)</f>
        <v>0</v>
      </c>
      <c r="Q124" s="107">
        <f>SUMIFS('caseload data'!S:S,'caseload data'!$D:$D,"SPO",'caseload data'!$A:$A,$B$98)</f>
        <v>0</v>
      </c>
      <c r="R124" s="107">
        <f>SUMIFS('caseload data'!T:T,'caseload data'!$D:$D,"SPO",'caseload data'!$A:$A,$B$98)</f>
        <v>0</v>
      </c>
      <c r="U124" s="111" t="s">
        <v>1040</v>
      </c>
      <c r="V124" s="187" t="e">
        <f>C$124/SUM(C$121:C$124)</f>
        <v>#DIV/0!</v>
      </c>
      <c r="W124" s="187" t="e">
        <f t="shared" ref="W124:AK124" si="19">D$124/SUM(D$121:D$124)</f>
        <v>#DIV/0!</v>
      </c>
      <c r="X124" s="187" t="e">
        <f t="shared" si="19"/>
        <v>#DIV/0!</v>
      </c>
      <c r="Y124" s="187" t="e">
        <f t="shared" si="19"/>
        <v>#DIV/0!</v>
      </c>
      <c r="Z124" s="187" t="e">
        <f t="shared" si="19"/>
        <v>#DIV/0!</v>
      </c>
      <c r="AA124" s="187" t="e">
        <f t="shared" si="19"/>
        <v>#DIV/0!</v>
      </c>
      <c r="AB124" s="187" t="e">
        <f t="shared" si="19"/>
        <v>#DIV/0!</v>
      </c>
      <c r="AC124" s="187" t="e">
        <f t="shared" si="19"/>
        <v>#DIV/0!</v>
      </c>
      <c r="AD124" s="187" t="e">
        <f t="shared" si="19"/>
        <v>#DIV/0!</v>
      </c>
      <c r="AE124" s="187" t="e">
        <f t="shared" si="19"/>
        <v>#DIV/0!</v>
      </c>
      <c r="AF124" s="187" t="e">
        <f t="shared" si="19"/>
        <v>#DIV/0!</v>
      </c>
      <c r="AG124" s="187" t="e">
        <f t="shared" si="19"/>
        <v>#DIV/0!</v>
      </c>
      <c r="AH124" s="187" t="e">
        <f t="shared" si="19"/>
        <v>#DIV/0!</v>
      </c>
      <c r="AI124" s="187" t="e">
        <f t="shared" si="19"/>
        <v>#DIV/0!</v>
      </c>
      <c r="AJ124" s="187" t="e">
        <f t="shared" si="19"/>
        <v>#DIV/0!</v>
      </c>
      <c r="AK124" s="187" t="e">
        <f t="shared" si="19"/>
        <v>#DIV/0!</v>
      </c>
    </row>
  </sheetData>
  <mergeCells count="19">
    <mergeCell ref="F37:F40"/>
    <mergeCell ref="G37:G40"/>
    <mergeCell ref="C80:S80"/>
    <mergeCell ref="C87:R87"/>
    <mergeCell ref="A1:S1"/>
    <mergeCell ref="A2:S2"/>
    <mergeCell ref="B26:K26"/>
    <mergeCell ref="B32:D32"/>
    <mergeCell ref="F32:G32"/>
    <mergeCell ref="B19:H19"/>
    <mergeCell ref="B13:M13"/>
    <mergeCell ref="V98:AK98"/>
    <mergeCell ref="V105:AK105"/>
    <mergeCell ref="V112:AK112"/>
    <mergeCell ref="V119:AK119"/>
    <mergeCell ref="C98:R98"/>
    <mergeCell ref="C105:R105"/>
    <mergeCell ref="C112:R112"/>
    <mergeCell ref="C119:R119"/>
  </mergeCells>
  <conditionalFormatting sqref="C9:F10">
    <cfRule type="cellIs" dxfId="5697" priority="351" operator="lessThan">
      <formula>0.9</formula>
    </cfRule>
    <cfRule type="cellIs" dxfId="5696" priority="352" operator="greaterThanOrEqual">
      <formula>1.1</formula>
    </cfRule>
  </conditionalFormatting>
  <conditionalFormatting sqref="C101:F102">
    <cfRule type="cellIs" dxfId="5695" priority="337" operator="equal">
      <formula>0</formula>
    </cfRule>
    <cfRule type="cellIs" dxfId="5694" priority="338" operator="notEqual">
      <formula>0</formula>
    </cfRule>
  </conditionalFormatting>
  <conditionalFormatting sqref="G101:G102">
    <cfRule type="cellIs" dxfId="5693" priority="255" operator="equal">
      <formula>0</formula>
    </cfRule>
    <cfRule type="cellIs" dxfId="5692" priority="256" operator="notEqual">
      <formula>0</formula>
    </cfRule>
  </conditionalFormatting>
  <conditionalFormatting sqref="H101:H102">
    <cfRule type="cellIs" dxfId="5691" priority="253" operator="equal">
      <formula>0</formula>
    </cfRule>
    <cfRule type="cellIs" dxfId="5690" priority="254" operator="notEqual">
      <formula>0</formula>
    </cfRule>
  </conditionalFormatting>
  <conditionalFormatting sqref="I101:I102">
    <cfRule type="cellIs" dxfId="5689" priority="251" operator="equal">
      <formula>0</formula>
    </cfRule>
    <cfRule type="cellIs" dxfId="5688" priority="252" operator="notEqual">
      <formula>0</formula>
    </cfRule>
  </conditionalFormatting>
  <conditionalFormatting sqref="J101:J102">
    <cfRule type="cellIs" dxfId="5687" priority="249" operator="equal">
      <formula>0</formula>
    </cfRule>
    <cfRule type="cellIs" dxfId="5686" priority="250" operator="notEqual">
      <formula>0</formula>
    </cfRule>
  </conditionalFormatting>
  <conditionalFormatting sqref="O100">
    <cfRule type="cellIs" dxfId="5685" priority="247" operator="equal">
      <formula>0</formula>
    </cfRule>
    <cfRule type="cellIs" dxfId="5684" priority="248" operator="notEqual">
      <formula>0</formula>
    </cfRule>
  </conditionalFormatting>
  <conditionalFormatting sqref="O103">
    <cfRule type="cellIs" dxfId="5683" priority="245" operator="equal">
      <formula>0</formula>
    </cfRule>
    <cfRule type="cellIs" dxfId="5682" priority="246" operator="notEqual">
      <formula>0</formula>
    </cfRule>
  </conditionalFormatting>
  <conditionalFormatting sqref="P100">
    <cfRule type="cellIs" dxfId="5681" priority="243" operator="equal">
      <formula>0</formula>
    </cfRule>
    <cfRule type="cellIs" dxfId="5680" priority="244" operator="notEqual">
      <formula>0</formula>
    </cfRule>
  </conditionalFormatting>
  <conditionalFormatting sqref="P103">
    <cfRule type="cellIs" dxfId="5679" priority="241" operator="equal">
      <formula>0</formula>
    </cfRule>
    <cfRule type="cellIs" dxfId="5678" priority="242" operator="notEqual">
      <formula>0</formula>
    </cfRule>
  </conditionalFormatting>
  <conditionalFormatting sqref="Q100">
    <cfRule type="cellIs" dxfId="5677" priority="239" operator="equal">
      <formula>0</formula>
    </cfRule>
    <cfRule type="cellIs" dxfId="5676" priority="240" operator="notEqual">
      <formula>0</formula>
    </cfRule>
  </conditionalFormatting>
  <conditionalFormatting sqref="Q103">
    <cfRule type="cellIs" dxfId="5675" priority="237" operator="equal">
      <formula>0</formula>
    </cfRule>
    <cfRule type="cellIs" dxfId="5674" priority="238" operator="notEqual">
      <formula>0</formula>
    </cfRule>
  </conditionalFormatting>
  <conditionalFormatting sqref="R100">
    <cfRule type="cellIs" dxfId="5673" priority="235" operator="equal">
      <formula>0</formula>
    </cfRule>
    <cfRule type="cellIs" dxfId="5672" priority="236" operator="notEqual">
      <formula>0</formula>
    </cfRule>
  </conditionalFormatting>
  <conditionalFormatting sqref="R103">
    <cfRule type="cellIs" dxfId="5671" priority="233" operator="equal">
      <formula>0</formula>
    </cfRule>
    <cfRule type="cellIs" dxfId="5670" priority="234" operator="notEqual">
      <formula>0</formula>
    </cfRule>
  </conditionalFormatting>
  <conditionalFormatting sqref="C115:F116">
    <cfRule type="cellIs" dxfId="5669" priority="205" operator="equal">
      <formula>0</formula>
    </cfRule>
    <cfRule type="cellIs" dxfId="5668" priority="206" operator="notEqual">
      <formula>0</formula>
    </cfRule>
  </conditionalFormatting>
  <conditionalFormatting sqref="G115:G116">
    <cfRule type="cellIs" dxfId="5667" priority="203" operator="equal">
      <formula>0</formula>
    </cfRule>
    <cfRule type="cellIs" dxfId="5666" priority="204" operator="notEqual">
      <formula>0</formula>
    </cfRule>
  </conditionalFormatting>
  <conditionalFormatting sqref="H115:H116">
    <cfRule type="cellIs" dxfId="5665" priority="201" operator="equal">
      <formula>0</formula>
    </cfRule>
    <cfRule type="cellIs" dxfId="5664" priority="202" operator="notEqual">
      <formula>0</formula>
    </cfRule>
  </conditionalFormatting>
  <conditionalFormatting sqref="I115:I116">
    <cfRule type="cellIs" dxfId="5663" priority="199" operator="equal">
      <formula>0</formula>
    </cfRule>
    <cfRule type="cellIs" dxfId="5662" priority="200" operator="notEqual">
      <formula>0</formula>
    </cfRule>
  </conditionalFormatting>
  <conditionalFormatting sqref="J115:J116">
    <cfRule type="cellIs" dxfId="5661" priority="197" operator="equal">
      <formula>0</formula>
    </cfRule>
    <cfRule type="cellIs" dxfId="5660" priority="198" operator="notEqual">
      <formula>0</formula>
    </cfRule>
  </conditionalFormatting>
  <conditionalFormatting sqref="O114">
    <cfRule type="cellIs" dxfId="5659" priority="195" operator="equal">
      <formula>0</formula>
    </cfRule>
    <cfRule type="cellIs" dxfId="5658" priority="196" operator="notEqual">
      <formula>0</formula>
    </cfRule>
  </conditionalFormatting>
  <conditionalFormatting sqref="O117">
    <cfRule type="cellIs" dxfId="5657" priority="193" operator="equal">
      <formula>0</formula>
    </cfRule>
    <cfRule type="cellIs" dxfId="5656" priority="194" operator="notEqual">
      <formula>0</formula>
    </cfRule>
  </conditionalFormatting>
  <conditionalFormatting sqref="P114">
    <cfRule type="cellIs" dxfId="5655" priority="191" operator="equal">
      <formula>0</formula>
    </cfRule>
    <cfRule type="cellIs" dxfId="5654" priority="192" operator="notEqual">
      <formula>0</formula>
    </cfRule>
  </conditionalFormatting>
  <conditionalFormatting sqref="P117">
    <cfRule type="cellIs" dxfId="5653" priority="189" operator="equal">
      <formula>0</formula>
    </cfRule>
    <cfRule type="cellIs" dxfId="5652" priority="190" operator="notEqual">
      <formula>0</formula>
    </cfRule>
  </conditionalFormatting>
  <conditionalFormatting sqref="Q114">
    <cfRule type="cellIs" dxfId="5651" priority="187" operator="equal">
      <formula>0</formula>
    </cfRule>
    <cfRule type="cellIs" dxfId="5650" priority="188" operator="notEqual">
      <formula>0</formula>
    </cfRule>
  </conditionalFormatting>
  <conditionalFormatting sqref="Q117">
    <cfRule type="cellIs" dxfId="5649" priority="185" operator="equal">
      <formula>0</formula>
    </cfRule>
    <cfRule type="cellIs" dxfId="5648" priority="186" operator="notEqual">
      <formula>0</formula>
    </cfRule>
  </conditionalFormatting>
  <conditionalFormatting sqref="R114">
    <cfRule type="cellIs" dxfId="5647" priority="183" operator="equal">
      <formula>0</formula>
    </cfRule>
    <cfRule type="cellIs" dxfId="5646" priority="184" operator="notEqual">
      <formula>0</formula>
    </cfRule>
  </conditionalFormatting>
  <conditionalFormatting sqref="R117">
    <cfRule type="cellIs" dxfId="5645" priority="181" operator="equal">
      <formula>0</formula>
    </cfRule>
    <cfRule type="cellIs" dxfId="5644" priority="182" operator="notEqual">
      <formula>0</formula>
    </cfRule>
  </conditionalFormatting>
  <conditionalFormatting sqref="C122:F123">
    <cfRule type="cellIs" dxfId="5643" priority="179" operator="equal">
      <formula>0</formula>
    </cfRule>
    <cfRule type="cellIs" dxfId="5642" priority="180" operator="notEqual">
      <formula>0</formula>
    </cfRule>
  </conditionalFormatting>
  <conditionalFormatting sqref="G122:G123">
    <cfRule type="cellIs" dxfId="5641" priority="177" operator="equal">
      <formula>0</formula>
    </cfRule>
    <cfRule type="cellIs" dxfId="5640" priority="178" operator="notEqual">
      <formula>0</formula>
    </cfRule>
  </conditionalFormatting>
  <conditionalFormatting sqref="H122:H123">
    <cfRule type="cellIs" dxfId="5639" priority="175" operator="equal">
      <formula>0</formula>
    </cfRule>
    <cfRule type="cellIs" dxfId="5638" priority="176" operator="notEqual">
      <formula>0</formula>
    </cfRule>
  </conditionalFormatting>
  <conditionalFormatting sqref="I122:I123">
    <cfRule type="cellIs" dxfId="5637" priority="173" operator="equal">
      <formula>0</formula>
    </cfRule>
    <cfRule type="cellIs" dxfId="5636" priority="174" operator="notEqual">
      <formula>0</formula>
    </cfRule>
  </conditionalFormatting>
  <conditionalFormatting sqref="J122:J123">
    <cfRule type="cellIs" dxfId="5635" priority="171" operator="equal">
      <formula>0</formula>
    </cfRule>
    <cfRule type="cellIs" dxfId="5634" priority="172" operator="notEqual">
      <formula>0</formula>
    </cfRule>
  </conditionalFormatting>
  <conditionalFormatting sqref="O121">
    <cfRule type="cellIs" dxfId="5633" priority="169" operator="equal">
      <formula>0</formula>
    </cfRule>
    <cfRule type="cellIs" dxfId="5632" priority="170" operator="notEqual">
      <formula>0</formula>
    </cfRule>
  </conditionalFormatting>
  <conditionalFormatting sqref="O124">
    <cfRule type="cellIs" dxfId="5631" priority="167" operator="equal">
      <formula>0</formula>
    </cfRule>
    <cfRule type="cellIs" dxfId="5630" priority="168" operator="notEqual">
      <formula>0</formula>
    </cfRule>
  </conditionalFormatting>
  <conditionalFormatting sqref="P121">
    <cfRule type="cellIs" dxfId="5629" priority="165" operator="equal">
      <formula>0</formula>
    </cfRule>
    <cfRule type="cellIs" dxfId="5628" priority="166" operator="notEqual">
      <formula>0</formula>
    </cfRule>
  </conditionalFormatting>
  <conditionalFormatting sqref="P124">
    <cfRule type="cellIs" dxfId="5627" priority="163" operator="equal">
      <formula>0</formula>
    </cfRule>
    <cfRule type="cellIs" dxfId="5626" priority="164" operator="notEqual">
      <formula>0</formula>
    </cfRule>
  </conditionalFormatting>
  <conditionalFormatting sqref="Q121">
    <cfRule type="cellIs" dxfId="5625" priority="161" operator="equal">
      <formula>0</formula>
    </cfRule>
    <cfRule type="cellIs" dxfId="5624" priority="162" operator="notEqual">
      <formula>0</formula>
    </cfRule>
  </conditionalFormatting>
  <conditionalFormatting sqref="Q124">
    <cfRule type="cellIs" dxfId="5623" priority="159" operator="equal">
      <formula>0</formula>
    </cfRule>
    <cfRule type="cellIs" dxfId="5622" priority="160" operator="notEqual">
      <formula>0</formula>
    </cfRule>
  </conditionalFormatting>
  <conditionalFormatting sqref="R121">
    <cfRule type="cellIs" dxfId="5621" priority="157" operator="equal">
      <formula>0</formula>
    </cfRule>
    <cfRule type="cellIs" dxfId="5620" priority="158" operator="notEqual">
      <formula>0</formula>
    </cfRule>
  </conditionalFormatting>
  <conditionalFormatting sqref="R124">
    <cfRule type="cellIs" dxfId="5619" priority="155" operator="equal">
      <formula>0</formula>
    </cfRule>
    <cfRule type="cellIs" dxfId="5618" priority="156" operator="notEqual">
      <formula>0</formula>
    </cfRule>
  </conditionalFormatting>
  <conditionalFormatting sqref="V101:V102">
    <cfRule type="cellIs" dxfId="5617" priority="153" operator="equal">
      <formula>0</formula>
    </cfRule>
    <cfRule type="cellIs" dxfId="5616" priority="154" operator="notEqual">
      <formula>0</formula>
    </cfRule>
  </conditionalFormatting>
  <conditionalFormatting sqref="W101:W102">
    <cfRule type="cellIs" dxfId="5615" priority="151" operator="equal">
      <formula>0</formula>
    </cfRule>
    <cfRule type="cellIs" dxfId="5614" priority="152" operator="notEqual">
      <formula>0</formula>
    </cfRule>
  </conditionalFormatting>
  <conditionalFormatting sqref="X101:X102">
    <cfRule type="cellIs" dxfId="5613" priority="149" operator="equal">
      <formula>0</formula>
    </cfRule>
    <cfRule type="cellIs" dxfId="5612" priority="150" operator="notEqual">
      <formula>0</formula>
    </cfRule>
  </conditionalFormatting>
  <conditionalFormatting sqref="Y101:Y102">
    <cfRule type="cellIs" dxfId="5611" priority="147" operator="equal">
      <formula>0</formula>
    </cfRule>
    <cfRule type="cellIs" dxfId="5610" priority="148" operator="notEqual">
      <formula>0</formula>
    </cfRule>
  </conditionalFormatting>
  <conditionalFormatting sqref="Z101:Z102">
    <cfRule type="cellIs" dxfId="5609" priority="145" operator="equal">
      <formula>0</formula>
    </cfRule>
    <cfRule type="cellIs" dxfId="5608" priority="146" operator="notEqual">
      <formula>0</formula>
    </cfRule>
  </conditionalFormatting>
  <conditionalFormatting sqref="AA101:AA102">
    <cfRule type="cellIs" dxfId="5607" priority="143" operator="equal">
      <formula>0</formula>
    </cfRule>
    <cfRule type="cellIs" dxfId="5606" priority="144" operator="notEqual">
      <formula>0</formula>
    </cfRule>
  </conditionalFormatting>
  <conditionalFormatting sqref="AB101:AB102">
    <cfRule type="cellIs" dxfId="5605" priority="141" operator="equal">
      <formula>0</formula>
    </cfRule>
    <cfRule type="cellIs" dxfId="5604" priority="142" operator="notEqual">
      <formula>0</formula>
    </cfRule>
  </conditionalFormatting>
  <conditionalFormatting sqref="AC101:AC102">
    <cfRule type="cellIs" dxfId="5603" priority="139" operator="equal">
      <formula>0</formula>
    </cfRule>
    <cfRule type="cellIs" dxfId="5602" priority="140" operator="notEqual">
      <formula>0</formula>
    </cfRule>
  </conditionalFormatting>
  <conditionalFormatting sqref="AH100">
    <cfRule type="cellIs" dxfId="5601" priority="137" operator="equal">
      <formula>0</formula>
    </cfRule>
    <cfRule type="cellIs" dxfId="5600" priority="138" operator="notEqual">
      <formula>0</formula>
    </cfRule>
  </conditionalFormatting>
  <conditionalFormatting sqref="AH103">
    <cfRule type="cellIs" dxfId="5599" priority="135" operator="equal">
      <formula>0</formula>
    </cfRule>
    <cfRule type="cellIs" dxfId="5598" priority="136" operator="notEqual">
      <formula>0</formula>
    </cfRule>
  </conditionalFormatting>
  <conditionalFormatting sqref="AI100">
    <cfRule type="cellIs" dxfId="5597" priority="133" operator="equal">
      <formula>0</formula>
    </cfRule>
    <cfRule type="cellIs" dxfId="5596" priority="134" operator="notEqual">
      <formula>0</formula>
    </cfRule>
  </conditionalFormatting>
  <conditionalFormatting sqref="AI103">
    <cfRule type="cellIs" dxfId="5595" priority="131" operator="equal">
      <formula>0</formula>
    </cfRule>
    <cfRule type="cellIs" dxfId="5594" priority="132" operator="notEqual">
      <formula>0</formula>
    </cfRule>
  </conditionalFormatting>
  <conditionalFormatting sqref="AJ100">
    <cfRule type="cellIs" dxfId="5593" priority="129" operator="equal">
      <formula>0</formula>
    </cfRule>
    <cfRule type="cellIs" dxfId="5592" priority="130" operator="notEqual">
      <formula>0</formula>
    </cfRule>
  </conditionalFormatting>
  <conditionalFormatting sqref="AJ103">
    <cfRule type="cellIs" dxfId="5591" priority="127" operator="equal">
      <formula>0</formula>
    </cfRule>
    <cfRule type="cellIs" dxfId="5590" priority="128" operator="notEqual">
      <formula>0</formula>
    </cfRule>
  </conditionalFormatting>
  <conditionalFormatting sqref="AK100">
    <cfRule type="cellIs" dxfId="5589" priority="125" operator="equal">
      <formula>0</formula>
    </cfRule>
    <cfRule type="cellIs" dxfId="5588" priority="126" operator="notEqual">
      <formula>0</formula>
    </cfRule>
  </conditionalFormatting>
  <conditionalFormatting sqref="AK103">
    <cfRule type="cellIs" dxfId="5587" priority="123" operator="equal">
      <formula>0</formula>
    </cfRule>
    <cfRule type="cellIs" dxfId="5586" priority="124" operator="notEqual">
      <formula>0</formula>
    </cfRule>
  </conditionalFormatting>
  <conditionalFormatting sqref="V108:V109">
    <cfRule type="cellIs" dxfId="5585" priority="121" operator="equal">
      <formula>0</formula>
    </cfRule>
    <cfRule type="cellIs" dxfId="5584" priority="122" operator="notEqual">
      <formula>0</formula>
    </cfRule>
  </conditionalFormatting>
  <conditionalFormatting sqref="W108:W109">
    <cfRule type="cellIs" dxfId="5583" priority="119" operator="equal">
      <formula>0</formula>
    </cfRule>
    <cfRule type="cellIs" dxfId="5582" priority="120" operator="notEqual">
      <formula>0</formula>
    </cfRule>
  </conditionalFormatting>
  <conditionalFormatting sqref="X108:X109">
    <cfRule type="cellIs" dxfId="5581" priority="117" operator="equal">
      <formula>0</formula>
    </cfRule>
    <cfRule type="cellIs" dxfId="5580" priority="118" operator="notEqual">
      <formula>0</formula>
    </cfRule>
  </conditionalFormatting>
  <conditionalFormatting sqref="Y108:Y109">
    <cfRule type="cellIs" dxfId="5579" priority="115" operator="equal">
      <formula>0</formula>
    </cfRule>
    <cfRule type="cellIs" dxfId="5578" priority="116" operator="notEqual">
      <formula>0</formula>
    </cfRule>
  </conditionalFormatting>
  <conditionalFormatting sqref="Z108:Z109">
    <cfRule type="cellIs" dxfId="5577" priority="113" operator="equal">
      <formula>0</formula>
    </cfRule>
    <cfRule type="cellIs" dxfId="5576" priority="114" operator="notEqual">
      <formula>0</formula>
    </cfRule>
  </conditionalFormatting>
  <conditionalFormatting sqref="AA108:AA109">
    <cfRule type="cellIs" dxfId="5575" priority="111" operator="equal">
      <formula>0</formula>
    </cfRule>
    <cfRule type="cellIs" dxfId="5574" priority="112" operator="notEqual">
      <formula>0</formula>
    </cfRule>
  </conditionalFormatting>
  <conditionalFormatting sqref="AB108:AB109">
    <cfRule type="cellIs" dxfId="5573" priority="109" operator="equal">
      <formula>0</formula>
    </cfRule>
    <cfRule type="cellIs" dxfId="5572" priority="110" operator="notEqual">
      <formula>0</formula>
    </cfRule>
  </conditionalFormatting>
  <conditionalFormatting sqref="AC108:AC109">
    <cfRule type="cellIs" dxfId="5571" priority="107" operator="equal">
      <formula>0</formula>
    </cfRule>
    <cfRule type="cellIs" dxfId="5570" priority="108" operator="notEqual">
      <formula>0</formula>
    </cfRule>
  </conditionalFormatting>
  <conditionalFormatting sqref="AH107">
    <cfRule type="cellIs" dxfId="5569" priority="105" operator="equal">
      <formula>0</formula>
    </cfRule>
    <cfRule type="cellIs" dxfId="5568" priority="106" operator="notEqual">
      <formula>0</formula>
    </cfRule>
  </conditionalFormatting>
  <conditionalFormatting sqref="AH110">
    <cfRule type="cellIs" dxfId="5567" priority="103" operator="equal">
      <formula>0</formula>
    </cfRule>
    <cfRule type="cellIs" dxfId="5566" priority="104" operator="notEqual">
      <formula>0</formula>
    </cfRule>
  </conditionalFormatting>
  <conditionalFormatting sqref="AI107">
    <cfRule type="cellIs" dxfId="5565" priority="101" operator="equal">
      <formula>0</formula>
    </cfRule>
    <cfRule type="cellIs" dxfId="5564" priority="102" operator="notEqual">
      <formula>0</formula>
    </cfRule>
  </conditionalFormatting>
  <conditionalFormatting sqref="AI110">
    <cfRule type="cellIs" dxfId="5563" priority="99" operator="equal">
      <formula>0</formula>
    </cfRule>
    <cfRule type="cellIs" dxfId="5562" priority="100" operator="notEqual">
      <formula>0</formula>
    </cfRule>
  </conditionalFormatting>
  <conditionalFormatting sqref="AJ107">
    <cfRule type="cellIs" dxfId="5561" priority="97" operator="equal">
      <formula>0</formula>
    </cfRule>
    <cfRule type="cellIs" dxfId="5560" priority="98" operator="notEqual">
      <formula>0</formula>
    </cfRule>
  </conditionalFormatting>
  <conditionalFormatting sqref="AJ110">
    <cfRule type="cellIs" dxfId="5559" priority="95" operator="equal">
      <formula>0</formula>
    </cfRule>
    <cfRule type="cellIs" dxfId="5558" priority="96" operator="notEqual">
      <formula>0</formula>
    </cfRule>
  </conditionalFormatting>
  <conditionalFormatting sqref="AK107">
    <cfRule type="cellIs" dxfId="5557" priority="93" operator="equal">
      <formula>0</formula>
    </cfRule>
    <cfRule type="cellIs" dxfId="5556" priority="94" operator="notEqual">
      <formula>0</formula>
    </cfRule>
  </conditionalFormatting>
  <conditionalFormatting sqref="AK110">
    <cfRule type="cellIs" dxfId="5555" priority="91" operator="equal">
      <formula>0</formula>
    </cfRule>
    <cfRule type="cellIs" dxfId="5554" priority="92" operator="notEqual">
      <formula>0</formula>
    </cfRule>
  </conditionalFormatting>
  <conditionalFormatting sqref="V115:V116">
    <cfRule type="cellIs" dxfId="5553" priority="89" operator="equal">
      <formula>0</formula>
    </cfRule>
    <cfRule type="cellIs" dxfId="5552" priority="90" operator="notEqual">
      <formula>0</formula>
    </cfRule>
  </conditionalFormatting>
  <conditionalFormatting sqref="W115:W116">
    <cfRule type="cellIs" dxfId="5551" priority="87" operator="equal">
      <formula>0</formula>
    </cfRule>
    <cfRule type="cellIs" dxfId="5550" priority="88" operator="notEqual">
      <formula>0</formula>
    </cfRule>
  </conditionalFormatting>
  <conditionalFormatting sqref="X115:X116">
    <cfRule type="cellIs" dxfId="5549" priority="85" operator="equal">
      <formula>0</formula>
    </cfRule>
    <cfRule type="cellIs" dxfId="5548" priority="86" operator="notEqual">
      <formula>0</formula>
    </cfRule>
  </conditionalFormatting>
  <conditionalFormatting sqref="Y115:Y116">
    <cfRule type="cellIs" dxfId="5547" priority="83" operator="equal">
      <formula>0</formula>
    </cfRule>
    <cfRule type="cellIs" dxfId="5546" priority="84" operator="notEqual">
      <formula>0</formula>
    </cfRule>
  </conditionalFormatting>
  <conditionalFormatting sqref="Z115:Z116">
    <cfRule type="cellIs" dxfId="5545" priority="81" operator="equal">
      <formula>0</formula>
    </cfRule>
    <cfRule type="cellIs" dxfId="5544" priority="82" operator="notEqual">
      <formula>0</formula>
    </cfRule>
  </conditionalFormatting>
  <conditionalFormatting sqref="AA115:AA116">
    <cfRule type="cellIs" dxfId="5543" priority="79" operator="equal">
      <formula>0</formula>
    </cfRule>
    <cfRule type="cellIs" dxfId="5542" priority="80" operator="notEqual">
      <formula>0</formula>
    </cfRule>
  </conditionalFormatting>
  <conditionalFormatting sqref="AB115:AB116">
    <cfRule type="cellIs" dxfId="5541" priority="77" operator="equal">
      <formula>0</formula>
    </cfRule>
    <cfRule type="cellIs" dxfId="5540" priority="78" operator="notEqual">
      <formula>0</formula>
    </cfRule>
  </conditionalFormatting>
  <conditionalFormatting sqref="AC115:AC116">
    <cfRule type="cellIs" dxfId="5539" priority="75" operator="equal">
      <formula>0</formula>
    </cfRule>
    <cfRule type="cellIs" dxfId="5538" priority="76" operator="notEqual">
      <formula>0</formula>
    </cfRule>
  </conditionalFormatting>
  <conditionalFormatting sqref="AH114">
    <cfRule type="cellIs" dxfId="5537" priority="73" operator="equal">
      <formula>0</formula>
    </cfRule>
    <cfRule type="cellIs" dxfId="5536" priority="74" operator="notEqual">
      <formula>0</formula>
    </cfRule>
  </conditionalFormatting>
  <conditionalFormatting sqref="AH117">
    <cfRule type="cellIs" dxfId="5535" priority="71" operator="equal">
      <formula>0</formula>
    </cfRule>
    <cfRule type="cellIs" dxfId="5534" priority="72" operator="notEqual">
      <formula>0</formula>
    </cfRule>
  </conditionalFormatting>
  <conditionalFormatting sqref="AI114">
    <cfRule type="cellIs" dxfId="5533" priority="69" operator="equal">
      <formula>0</formula>
    </cfRule>
    <cfRule type="cellIs" dxfId="5532" priority="70" operator="notEqual">
      <formula>0</formula>
    </cfRule>
  </conditionalFormatting>
  <conditionalFormatting sqref="AI117">
    <cfRule type="cellIs" dxfId="5531" priority="67" operator="equal">
      <formula>0</formula>
    </cfRule>
    <cfRule type="cellIs" dxfId="5530" priority="68" operator="notEqual">
      <formula>0</formula>
    </cfRule>
  </conditionalFormatting>
  <conditionalFormatting sqref="AJ114">
    <cfRule type="cellIs" dxfId="5529" priority="65" operator="equal">
      <formula>0</formula>
    </cfRule>
    <cfRule type="cellIs" dxfId="5528" priority="66" operator="notEqual">
      <formula>0</formula>
    </cfRule>
  </conditionalFormatting>
  <conditionalFormatting sqref="AJ117">
    <cfRule type="cellIs" dxfId="5527" priority="63" operator="equal">
      <formula>0</formula>
    </cfRule>
    <cfRule type="cellIs" dxfId="5526" priority="64" operator="notEqual">
      <formula>0</formula>
    </cfRule>
  </conditionalFormatting>
  <conditionalFormatting sqref="AK114">
    <cfRule type="cellIs" dxfId="5525" priority="61" operator="equal">
      <formula>0</formula>
    </cfRule>
    <cfRule type="cellIs" dxfId="5524" priority="62" operator="notEqual">
      <formula>0</formula>
    </cfRule>
  </conditionalFormatting>
  <conditionalFormatting sqref="AK117">
    <cfRule type="cellIs" dxfId="5523" priority="59" operator="equal">
      <formula>0</formula>
    </cfRule>
    <cfRule type="cellIs" dxfId="5522" priority="60" operator="notEqual">
      <formula>0</formula>
    </cfRule>
  </conditionalFormatting>
  <conditionalFormatting sqref="V122:V123">
    <cfRule type="cellIs" dxfId="5521" priority="57" operator="equal">
      <formula>0</formula>
    </cfRule>
    <cfRule type="cellIs" dxfId="5520" priority="58" operator="notEqual">
      <formula>0</formula>
    </cfRule>
  </conditionalFormatting>
  <conditionalFormatting sqref="W122:W123">
    <cfRule type="cellIs" dxfId="5519" priority="55" operator="equal">
      <formula>0</formula>
    </cfRule>
    <cfRule type="cellIs" dxfId="5518" priority="56" operator="notEqual">
      <formula>0</formula>
    </cfRule>
  </conditionalFormatting>
  <conditionalFormatting sqref="X122:X123">
    <cfRule type="cellIs" dxfId="5517" priority="53" operator="equal">
      <formula>0</formula>
    </cfRule>
    <cfRule type="cellIs" dxfId="5516" priority="54" operator="notEqual">
      <formula>0</formula>
    </cfRule>
  </conditionalFormatting>
  <conditionalFormatting sqref="Y122:Y123">
    <cfRule type="cellIs" dxfId="5515" priority="51" operator="equal">
      <formula>0</formula>
    </cfRule>
    <cfRule type="cellIs" dxfId="5514" priority="52" operator="notEqual">
      <formula>0</formula>
    </cfRule>
  </conditionalFormatting>
  <conditionalFormatting sqref="Z122:Z123">
    <cfRule type="cellIs" dxfId="5513" priority="49" operator="equal">
      <formula>0</formula>
    </cfRule>
    <cfRule type="cellIs" dxfId="5512" priority="50" operator="notEqual">
      <formula>0</formula>
    </cfRule>
  </conditionalFormatting>
  <conditionalFormatting sqref="AA122:AA123">
    <cfRule type="cellIs" dxfId="5511" priority="47" operator="equal">
      <formula>0</formula>
    </cfRule>
    <cfRule type="cellIs" dxfId="5510" priority="48" operator="notEqual">
      <formula>0</formula>
    </cfRule>
  </conditionalFormatting>
  <conditionalFormatting sqref="AB122:AB123">
    <cfRule type="cellIs" dxfId="5509" priority="45" operator="equal">
      <formula>0</formula>
    </cfRule>
    <cfRule type="cellIs" dxfId="5508" priority="46" operator="notEqual">
      <formula>0</formula>
    </cfRule>
  </conditionalFormatting>
  <conditionalFormatting sqref="AC122:AC123">
    <cfRule type="cellIs" dxfId="5507" priority="43" operator="equal">
      <formula>0</formula>
    </cfRule>
    <cfRule type="cellIs" dxfId="5506" priority="44" operator="notEqual">
      <formula>0</formula>
    </cfRule>
  </conditionalFormatting>
  <conditionalFormatting sqref="AH121">
    <cfRule type="cellIs" dxfId="5505" priority="41" operator="equal">
      <formula>0</formula>
    </cfRule>
    <cfRule type="cellIs" dxfId="5504" priority="42" operator="notEqual">
      <formula>0</formula>
    </cfRule>
  </conditionalFormatting>
  <conditionalFormatting sqref="AH124">
    <cfRule type="cellIs" dxfId="5503" priority="39" operator="equal">
      <formula>0</formula>
    </cfRule>
    <cfRule type="cellIs" dxfId="5502" priority="40" operator="notEqual">
      <formula>0</formula>
    </cfRule>
  </conditionalFormatting>
  <conditionalFormatting sqref="AI121">
    <cfRule type="cellIs" dxfId="5501" priority="37" operator="equal">
      <formula>0</formula>
    </cfRule>
    <cfRule type="cellIs" dxfId="5500" priority="38" operator="notEqual">
      <formula>0</formula>
    </cfRule>
  </conditionalFormatting>
  <conditionalFormatting sqref="AI124">
    <cfRule type="cellIs" dxfId="5499" priority="35" operator="equal">
      <formula>0</formula>
    </cfRule>
    <cfRule type="cellIs" dxfId="5498" priority="36" operator="notEqual">
      <formula>0</formula>
    </cfRule>
  </conditionalFormatting>
  <conditionalFormatting sqref="AJ121">
    <cfRule type="cellIs" dxfId="5497" priority="33" operator="equal">
      <formula>0</formula>
    </cfRule>
    <cfRule type="cellIs" dxfId="5496" priority="34" operator="notEqual">
      <formula>0</formula>
    </cfRule>
  </conditionalFormatting>
  <conditionalFormatting sqref="AJ124">
    <cfRule type="cellIs" dxfId="5495" priority="31" operator="equal">
      <formula>0</formula>
    </cfRule>
    <cfRule type="cellIs" dxfId="5494" priority="32" operator="notEqual">
      <formula>0</formula>
    </cfRule>
  </conditionalFormatting>
  <conditionalFormatting sqref="AK121">
    <cfRule type="cellIs" dxfId="5493" priority="29" operator="equal">
      <formula>0</formula>
    </cfRule>
    <cfRule type="cellIs" dxfId="5492" priority="30" operator="notEqual">
      <formula>0</formula>
    </cfRule>
  </conditionalFormatting>
  <conditionalFormatting sqref="AK124">
    <cfRule type="cellIs" dxfId="5491" priority="27" operator="equal">
      <formula>0</formula>
    </cfRule>
    <cfRule type="cellIs" dxfId="5490" priority="28" operator="notEqual">
      <formula>0</formula>
    </cfRule>
  </conditionalFormatting>
  <conditionalFormatting sqref="C108:F109">
    <cfRule type="cellIs" dxfId="5489" priority="25" operator="equal">
      <formula>0</formula>
    </cfRule>
    <cfRule type="cellIs" dxfId="5488" priority="26" operator="notEqual">
      <formula>0</formula>
    </cfRule>
  </conditionalFormatting>
  <conditionalFormatting sqref="G108:G109">
    <cfRule type="cellIs" dxfId="5487" priority="23" operator="equal">
      <formula>0</formula>
    </cfRule>
    <cfRule type="cellIs" dxfId="5486" priority="24" operator="notEqual">
      <formula>0</formula>
    </cfRule>
  </conditionalFormatting>
  <conditionalFormatting sqref="H108:H109">
    <cfRule type="cellIs" dxfId="5485" priority="21" operator="equal">
      <formula>0</formula>
    </cfRule>
    <cfRule type="cellIs" dxfId="5484" priority="22" operator="notEqual">
      <formula>0</formula>
    </cfRule>
  </conditionalFormatting>
  <conditionalFormatting sqref="I108:I109">
    <cfRule type="cellIs" dxfId="5483" priority="19" operator="equal">
      <formula>0</formula>
    </cfRule>
    <cfRule type="cellIs" dxfId="5482" priority="20" operator="notEqual">
      <formula>0</formula>
    </cfRule>
  </conditionalFormatting>
  <conditionalFormatting sqref="J108:J109">
    <cfRule type="cellIs" dxfId="5481" priority="17" operator="equal">
      <formula>0</formula>
    </cfRule>
    <cfRule type="cellIs" dxfId="5480" priority="18" operator="notEqual">
      <formula>0</formula>
    </cfRule>
  </conditionalFormatting>
  <conditionalFormatting sqref="O107">
    <cfRule type="cellIs" dxfId="5479" priority="15" operator="equal">
      <formula>0</formula>
    </cfRule>
    <cfRule type="cellIs" dxfId="5478" priority="16" operator="notEqual">
      <formula>0</formula>
    </cfRule>
  </conditionalFormatting>
  <conditionalFormatting sqref="O110">
    <cfRule type="cellIs" dxfId="5477" priority="13" operator="equal">
      <formula>0</formula>
    </cfRule>
    <cfRule type="cellIs" dxfId="5476" priority="14" operator="notEqual">
      <formula>0</formula>
    </cfRule>
  </conditionalFormatting>
  <conditionalFormatting sqref="P107">
    <cfRule type="cellIs" dxfId="5475" priority="11" operator="equal">
      <formula>0</formula>
    </cfRule>
    <cfRule type="cellIs" dxfId="5474" priority="12" operator="notEqual">
      <formula>0</formula>
    </cfRule>
  </conditionalFormatting>
  <conditionalFormatting sqref="P110">
    <cfRule type="cellIs" dxfId="5473" priority="9" operator="equal">
      <formula>0</formula>
    </cfRule>
    <cfRule type="cellIs" dxfId="5472" priority="10" operator="notEqual">
      <formula>0</formula>
    </cfRule>
  </conditionalFormatting>
  <conditionalFormatting sqref="Q107">
    <cfRule type="cellIs" dxfId="5471" priority="7" operator="equal">
      <formula>0</formula>
    </cfRule>
    <cfRule type="cellIs" dxfId="5470" priority="8" operator="notEqual">
      <formula>0</formula>
    </cfRule>
  </conditionalFormatting>
  <conditionalFormatting sqref="Q110">
    <cfRule type="cellIs" dxfId="5469" priority="5" operator="equal">
      <formula>0</formula>
    </cfRule>
    <cfRule type="cellIs" dxfId="5468" priority="6" operator="notEqual">
      <formula>0</formula>
    </cfRule>
  </conditionalFormatting>
  <conditionalFormatting sqref="R107">
    <cfRule type="cellIs" dxfId="5467" priority="3" operator="equal">
      <formula>0</formula>
    </cfRule>
    <cfRule type="cellIs" dxfId="5466" priority="4" operator="notEqual">
      <formula>0</formula>
    </cfRule>
  </conditionalFormatting>
  <conditionalFormatting sqref="R110">
    <cfRule type="cellIs" dxfId="5465" priority="1" operator="equal">
      <formula>0</formula>
    </cfRule>
    <cfRule type="cellIs" dxfId="5464" priority="2" operator="notEqual">
      <formula>0</formula>
    </cfRule>
  </conditionalFormatting>
  <dataValidations count="1">
    <dataValidation type="list" allowBlank="1" showInputMessage="1" showErrorMessage="1" sqref="B5" xr:uid="{00000000-0002-0000-0700-000000000000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autoPageBreaks="0"/>
  </sheetPr>
  <dimension ref="A1:AK123"/>
  <sheetViews>
    <sheetView showGridLines="0" topLeftCell="A45" zoomScale="85" zoomScaleNormal="85" workbookViewId="0">
      <selection activeCell="B42" sqref="B42:D59"/>
    </sheetView>
  </sheetViews>
  <sheetFormatPr baseColWidth="10" defaultColWidth="8.83203125" defaultRowHeight="14" x14ac:dyDescent="0.15"/>
  <cols>
    <col min="2" max="2" width="39.5" customWidth="1"/>
    <col min="3" max="3" width="19.1640625" customWidth="1"/>
    <col min="4" max="4" width="20.5" bestFit="1" customWidth="1"/>
    <col min="5" max="5" width="14.83203125" customWidth="1"/>
    <col min="6" max="6" width="17.1640625" customWidth="1"/>
    <col min="7" max="7" width="18.5" customWidth="1"/>
    <col min="8" max="8" width="19.1640625" customWidth="1"/>
    <col min="9" max="9" width="15.5" customWidth="1"/>
    <col min="10" max="10" width="20.5" customWidth="1"/>
    <col min="11" max="11" width="26.5" bestFit="1" customWidth="1"/>
    <col min="12" max="12" width="16.83203125" customWidth="1"/>
    <col min="13" max="13" width="17.83203125" bestFit="1" customWidth="1"/>
    <col min="14" max="14" width="8.5" bestFit="1" customWidth="1"/>
    <col min="17" max="17" width="10" bestFit="1" customWidth="1"/>
    <col min="21" max="21" width="11.1640625" bestFit="1" customWidth="1"/>
  </cols>
  <sheetData>
    <row r="1" spans="1:19" ht="45.75" customHeight="1" x14ac:dyDescent="0.15">
      <c r="A1" s="289" t="s">
        <v>1206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</row>
    <row r="2" spans="1:19" ht="37.5" customHeight="1" x14ac:dyDescent="0.15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</row>
    <row r="4" spans="1:19" ht="57" customHeight="1" x14ac:dyDescent="0.15">
      <c r="B4" s="40" t="s">
        <v>1207</v>
      </c>
    </row>
    <row r="5" spans="1:19" ht="24" customHeight="1" x14ac:dyDescent="0.15">
      <c r="B5" s="61" t="s">
        <v>27</v>
      </c>
      <c r="F5" s="44"/>
    </row>
    <row r="6" spans="1:19" ht="24" customHeight="1" x14ac:dyDescent="0.15">
      <c r="B6" s="62" t="s">
        <v>111</v>
      </c>
    </row>
    <row r="8" spans="1:19" ht="23" x14ac:dyDescent="0.15">
      <c r="B8" s="284" t="s">
        <v>1134</v>
      </c>
      <c r="C8" s="285"/>
      <c r="D8" s="285"/>
      <c r="E8" s="285"/>
      <c r="F8" s="288"/>
    </row>
    <row r="9" spans="1:19" ht="56" x14ac:dyDescent="0.15">
      <c r="B9" s="74"/>
      <c r="C9" s="244" t="s">
        <v>1135</v>
      </c>
      <c r="D9" s="75" t="s">
        <v>1136</v>
      </c>
      <c r="E9" s="75" t="s">
        <v>1137</v>
      </c>
      <c r="F9" s="75" t="s">
        <v>1138</v>
      </c>
      <c r="H9" s="244" t="s">
        <v>1208</v>
      </c>
      <c r="I9" s="244" t="s">
        <v>1140</v>
      </c>
      <c r="J9" s="76"/>
      <c r="K9" s="244" t="s">
        <v>1141</v>
      </c>
      <c r="L9" s="244" t="s">
        <v>1142</v>
      </c>
    </row>
    <row r="10" spans="1:19" x14ac:dyDescent="0.15">
      <c r="B10" s="77" t="str">
        <f>B6</f>
        <v>Dyfed Powys</v>
      </c>
      <c r="C10" s="135" t="str">
        <f>IFERROR(SUM((SUMIFS('capacity data'!$G:$G,'capacity data'!$E:$E,"PO",'capacity data'!$B:$B,B6))-SUMIFS('capacity data'!$H:$H,'capacity data'!$E:$E,"PO",'capacity data'!$B:$B,B6))/SUMIFS('capacity data'!$G:$G,'capacity data'!$E:$E,"PO",'capacity data'!$B:$B,B6),"")</f>
        <v/>
      </c>
      <c r="D10" s="136" t="str">
        <f>IFERROR(SUM((SUMIFS('capacity data'!$G:$G,'capacity data'!$E:$E,"PSO",'capacity data'!$B:$B,B6))-SUMIFS('capacity data'!$H:$H,'capacity data'!$E:$E,"PSO",'capacity data'!$B:$B,B6))/SUMIFS('capacity data'!$G:$G,'capacity data'!$E:$E,"PSO",'capacity data'!$B:$B,B6),"")</f>
        <v/>
      </c>
      <c r="E10" s="136" t="str">
        <f>IFERROR(SUM((SUMIFS('capacity data'!$G:$G,'capacity data'!$E:$E,"TPO",'capacity data'!$B:$B,B6))-SUMIFS('capacity data'!$H:$H,'capacity data'!$E:$E,"TPO",'capacity data'!$B:$B,B6))/SUMIFS('capacity data'!$G:$G,'capacity data'!$E:$E,"TPO",'capacity data'!$B:$B,B6),"")</f>
        <v/>
      </c>
      <c r="F10" s="136" t="str">
        <f>IFERROR(SUM((SUMIFS('capacity data'!G:G,'capacity data'!B:B,'cluster overview'!B6))-SUMIFS('capacity data'!H:H,'capacity data'!B:B,'cluster overview'!B6))/SUMIFS('capacity data'!G:G,'capacity data'!B:B,'cluster overview'!B6),"")</f>
        <v/>
      </c>
      <c r="H10" s="78" t="e">
        <f>SUMIFS('capacity data'!$L:$L,'capacity data'!$B:$B,$B$6,'capacity data'!$E:$E,"PSO")/SUM((SUMIFS('capacity data'!$G:$G,'capacity data'!$E:$E,"PSO",'capacity data'!$B:$B,$B$6))-SUMIFS('capacity data'!$H:$H,'capacity data'!$E:$E,"PSO",'capacity data'!$B:$B,$B$6))</f>
        <v>#DIV/0!</v>
      </c>
      <c r="I10" s="236" t="e">
        <f>SUMIFS('capacity data'!$L:$L,'capacity data'!$B:$B,$B$6,'capacity data'!$E:$E,"PSO")/SUMIFS('capacity data'!$G:$G,'capacity data'!$E:$E,"PSO",'capacity data'!$B:$B,$B$6)</f>
        <v>#DIV/0!</v>
      </c>
      <c r="J10" s="76"/>
      <c r="K10" s="78" t="e">
        <f>SUMIFS('capacity data'!$L:$L,'capacity data'!$B:$B,$B$6,'capacity data'!$E:$E,"TPO")/SUM((SUMIFS('capacity data'!$G:$G,'capacity data'!$E:$E,"TPO",'capacity data'!$B:$B,$B$6))-SUMIFS('capacity data'!$H:$H,'capacity data'!$E:$E,"TPO",'capacity data'!$B:$B,$B$6))</f>
        <v>#DIV/0!</v>
      </c>
      <c r="L10" s="236" t="e">
        <f>SUMIFS('capacity data'!$L:$L,'capacity data'!$B:$B,$B$6,'capacity data'!$E:$E,"TPO")/SUMIFS('capacity data'!$G:$G,'capacity data'!$E:$E,"TPO",'capacity data'!$B:$B,$B$6)</f>
        <v>#DIV/0!</v>
      </c>
    </row>
    <row r="11" spans="1:19" x14ac:dyDescent="0.15">
      <c r="B11" s="119" t="s">
        <v>1143</v>
      </c>
      <c r="C11" s="120" t="e">
        <f>SUM((SUMIF('capacity data'!E:E,"PO",'capacity data'!G:G))-SUMIF('capacity data'!E:E,"PO",'capacity data'!H:H))/SUMIF('capacity data'!E:E,"PO",'capacity data'!G:G)</f>
        <v>#DIV/0!</v>
      </c>
      <c r="D11" s="120" t="e">
        <f>SUM((SUMIF('capacity data'!E:E,"PSO",'capacity data'!G:G))-SUMIF('capacity data'!E:E,"PSO",'capacity data'!H:H))/SUMIF('capacity data'!E:E,"PSO",'capacity data'!G:G)</f>
        <v>#DIV/0!</v>
      </c>
      <c r="E11" s="120" t="e">
        <f>SUM((SUMIF('capacity data'!E:E,"PSO",'capacity data'!G:G))-SUMIF('capacity data'!E:E,"PSO",'capacity data'!H:H))/SUMIF('capacity data'!E:E,"PSO",'capacity data'!G:G)</f>
        <v>#DIV/0!</v>
      </c>
      <c r="F11" s="94" t="e">
        <f>SUM((SUM('capacity data'!G:G)-SUM('capacity data'!H:H))/SUM('capacity data'!G:G))</f>
        <v>#DIV/0!</v>
      </c>
      <c r="H11" s="130" t="e">
        <f>SUMIF('capacity data'!$E:$E,"PSO",'capacity data'!$L:$L)/SUM(SUMIF('capacity data'!$E:$E,"PSO",'capacity data'!$G:$G)-SUMIF('capacity data'!$E:$E,"PSO",'capacity data'!$H:$H))</f>
        <v>#DIV/0!</v>
      </c>
      <c r="I11" s="131" t="e">
        <f>SUMIF('capacity data'!$E:$E,"PSO",'capacity data'!$L:$L)/SUMIF('capacity data'!$E:$E,"PSO",'capacity data'!$G:$G)</f>
        <v>#DIV/0!</v>
      </c>
      <c r="J11" s="76"/>
      <c r="K11" s="130" t="e">
        <f>SUMIF('capacity data'!$E:$E,"TPO",'capacity data'!$L:$L)/SUM(SUMIF('capacity data'!$E:$E,"TPO",'capacity data'!$G:$G)-SUMIF('capacity data'!$E:$E,"TPO",'capacity data'!$H:$H))</f>
        <v>#DIV/0!</v>
      </c>
      <c r="L11" s="131" t="e">
        <f>SUMIF('capacity data'!$E:$E,"TPO",'capacity data'!$L:$L)/SUMIF('capacity data'!$E:$E,"TPO",'capacity data'!$G:$G)</f>
        <v>#DIV/0!</v>
      </c>
    </row>
    <row r="12" spans="1:19" x14ac:dyDescent="0.15">
      <c r="B12" s="132" t="s">
        <v>1144</v>
      </c>
      <c r="C12" s="133" t="e">
        <f>+C10-C11</f>
        <v>#VALUE!</v>
      </c>
      <c r="D12" s="116" t="str">
        <f>IFERROR(+D10-D11,"N/A")</f>
        <v>N/A</v>
      </c>
      <c r="E12" s="116" t="str">
        <f>IFERROR(+E10-E11,"N/A")</f>
        <v>N/A</v>
      </c>
      <c r="F12" s="116" t="e">
        <f>+F10-F11</f>
        <v>#VALUE!</v>
      </c>
      <c r="H12" s="112" t="e">
        <f>+H10-H11</f>
        <v>#DIV/0!</v>
      </c>
      <c r="I12" s="134" t="e">
        <f>+I10-I11</f>
        <v>#DIV/0!</v>
      </c>
      <c r="J12" s="76"/>
      <c r="K12" s="112" t="e">
        <f>+K10-K11</f>
        <v>#DIV/0!</v>
      </c>
      <c r="L12" s="134" t="e">
        <f>+L10-L11</f>
        <v>#DIV/0!</v>
      </c>
    </row>
    <row r="14" spans="1:19" ht="63.75" customHeight="1" x14ac:dyDescent="0.15">
      <c r="B14" s="81"/>
      <c r="C14" s="82" t="s">
        <v>1146</v>
      </c>
      <c r="D14" s="82" t="s">
        <v>1147</v>
      </c>
      <c r="E14" s="82" t="s">
        <v>1148</v>
      </c>
      <c r="F14" s="82" t="s">
        <v>1149</v>
      </c>
      <c r="G14" s="82" t="s">
        <v>1150</v>
      </c>
      <c r="H14" s="82" t="s">
        <v>1151</v>
      </c>
      <c r="I14" s="82" t="s">
        <v>1152</v>
      </c>
      <c r="J14" s="83" t="s">
        <v>1153</v>
      </c>
      <c r="K14" s="82" t="s">
        <v>1154</v>
      </c>
      <c r="L14" s="82" t="s">
        <v>1155</v>
      </c>
      <c r="M14" s="82" t="s">
        <v>1156</v>
      </c>
    </row>
    <row r="15" spans="1:19" ht="20.25" customHeight="1" x14ac:dyDescent="0.15">
      <c r="B15" s="84" t="str">
        <f>B6</f>
        <v>Dyfed Powys</v>
      </c>
      <c r="C15" s="238">
        <f>COUNTIFS('capacity data'!B:B,'cluster overview'!B6,'capacity data'!E:E,"PO")</f>
        <v>0</v>
      </c>
      <c r="D15" s="238">
        <f>COUNTIFS('capacity data'!B:B,B6,'capacity data'!E:E,"PO",'capacity data'!F:F,"&gt;110%")</f>
        <v>0</v>
      </c>
      <c r="E15" s="85" t="e">
        <f>D15/C15</f>
        <v>#DIV/0!</v>
      </c>
      <c r="F15" s="238">
        <f>COUNTIFS('capacity data'!B:B,'cluster overview'!B6,'capacity data'!E:E,"PSO")</f>
        <v>0</v>
      </c>
      <c r="G15" s="238">
        <f>COUNTIFS('capacity data'!B:B,B6,'capacity data'!E:E,"PSO",'capacity data'!F:F,"&gt;110%")</f>
        <v>0</v>
      </c>
      <c r="H15" s="86" t="str">
        <f>IFERROR(G15/F15,"N/A")</f>
        <v>N/A</v>
      </c>
      <c r="I15" s="238">
        <f>COUNTIFS('capacity data'!B:B,B6,'capacity data'!E:E,"PSO",'capacity data'!F:F,"&lt;910%")</f>
        <v>0</v>
      </c>
      <c r="J15" s="86" t="str">
        <f>IFERROR(I15/F15,"")</f>
        <v/>
      </c>
      <c r="K15" s="238">
        <f>COUNTIFS('capacity data'!B:B,'cluster overview'!B6,'capacity data'!E:E,"TPO")</f>
        <v>0</v>
      </c>
      <c r="L15" s="238">
        <f>COUNTIFS('capacity data'!B:B,B6,'capacity data'!E:E,"TPO",'capacity data'!F:F,"&gt;110%")</f>
        <v>0</v>
      </c>
      <c r="M15" s="79" t="str">
        <f>IFERROR(L15/K15,"N/A")</f>
        <v>N/A</v>
      </c>
    </row>
    <row r="16" spans="1:19" x14ac:dyDescent="0.15">
      <c r="B16" s="119" t="s">
        <v>1157</v>
      </c>
      <c r="C16" s="92">
        <f>COUNTIF('capacity data'!E:E,"PO")</f>
        <v>0</v>
      </c>
      <c r="D16" s="92">
        <f>COUNTIFS('capacity data'!E:E,"PO",'capacity data'!F:F,"&gt;110%")</f>
        <v>0</v>
      </c>
      <c r="E16" s="120" t="e">
        <f>D16/C16</f>
        <v>#DIV/0!</v>
      </c>
      <c r="F16" s="92">
        <f>COUNTIF('capacity data'!E:E,"PSO")</f>
        <v>0</v>
      </c>
      <c r="G16" s="92">
        <f>COUNTIFS('capacity data'!E:E,"PSO",'capacity data'!F:F,"&gt;110%")</f>
        <v>0</v>
      </c>
      <c r="H16" s="120" t="e">
        <f>G16/F16</f>
        <v>#DIV/0!</v>
      </c>
      <c r="I16" s="92">
        <f>COUNTIFS('capacity data'!E:E,"PSO",'capacity data'!F:F,"&lt;90%")</f>
        <v>0</v>
      </c>
      <c r="J16" s="120" t="e">
        <f>I16/F16</f>
        <v>#DIV/0!</v>
      </c>
      <c r="K16" s="92">
        <f>COUNTIF('capacity data'!E:E,"TPO")</f>
        <v>0</v>
      </c>
      <c r="L16" s="92">
        <f>COUNTIFS('capacity data'!E:E,"TPO",'capacity data'!F:F,"&gt;110%")</f>
        <v>0</v>
      </c>
      <c r="M16" s="120" t="e">
        <f>L16/K16</f>
        <v>#DIV/0!</v>
      </c>
    </row>
    <row r="17" spans="2:13" x14ac:dyDescent="0.15">
      <c r="B17" s="118" t="s">
        <v>1144</v>
      </c>
      <c r="C17" s="113" t="s">
        <v>1158</v>
      </c>
      <c r="D17" s="113" t="s">
        <v>1158</v>
      </c>
      <c r="E17" s="114" t="e">
        <f>+E15-E16</f>
        <v>#DIV/0!</v>
      </c>
      <c r="F17" s="113" t="s">
        <v>1158</v>
      </c>
      <c r="G17" s="113" t="s">
        <v>1158</v>
      </c>
      <c r="H17" s="114" t="str">
        <f>IFERROR(+H15-H16,"N/A")</f>
        <v>N/A</v>
      </c>
      <c r="I17" s="113" t="s">
        <v>1158</v>
      </c>
      <c r="J17" s="114" t="str">
        <f>IFERROR(+J15-J16,"N/A")</f>
        <v>N/A</v>
      </c>
      <c r="K17" s="113" t="s">
        <v>1158</v>
      </c>
      <c r="L17" s="113" t="s">
        <v>1158</v>
      </c>
      <c r="M17" s="114" t="str">
        <f>IFERROR(+M15-M16,"N/A")</f>
        <v>N/A</v>
      </c>
    </row>
    <row r="19" spans="2:13" ht="23" x14ac:dyDescent="0.25">
      <c r="B19" s="280" t="s">
        <v>1159</v>
      </c>
      <c r="C19" s="281"/>
      <c r="D19" s="281"/>
      <c r="E19" s="281"/>
      <c r="F19" s="281"/>
      <c r="G19" s="282"/>
      <c r="H19" s="283"/>
    </row>
    <row r="20" spans="2:13" ht="66" customHeight="1" x14ac:dyDescent="0.15">
      <c r="B20" s="88"/>
      <c r="C20" s="75" t="s">
        <v>1160</v>
      </c>
      <c r="D20" s="75" t="s">
        <v>1209</v>
      </c>
      <c r="E20" s="75" t="s">
        <v>1210</v>
      </c>
      <c r="F20" s="75" t="s">
        <v>1163</v>
      </c>
      <c r="G20" s="244" t="s">
        <v>1211</v>
      </c>
      <c r="H20" s="244" t="s">
        <v>1212</v>
      </c>
    </row>
    <row r="21" spans="2:13" x14ac:dyDescent="0.15">
      <c r="B21" s="74" t="str">
        <f>B6</f>
        <v>Dyfed Powys</v>
      </c>
      <c r="C21" s="87">
        <f>SUMIFS('capacity data'!K:K,'capacity data'!B:B,'cluster overview'!B6,'capacity data'!E:E,"SPO")</f>
        <v>0</v>
      </c>
      <c r="D21" s="87">
        <f>SUMIFS('capacity data'!K:K,'capacity data'!B:B,'cluster overview'!B6,'capacity data'!E:E,"DMY")</f>
        <v>0</v>
      </c>
      <c r="E21" s="87">
        <f>SUM(C21:D21)</f>
        <v>0</v>
      </c>
      <c r="F21" s="89">
        <f>SUMIF('capacity data'!B:B,'cluster overview'!B6,'capacity data'!K:K)</f>
        <v>0</v>
      </c>
      <c r="G21" s="78" t="e">
        <f>E21/F21</f>
        <v>#DIV/0!</v>
      </c>
      <c r="H21" s="90">
        <f>SUMIF('caseload data'!C:C,'cluster overview'!B97,'caseload data'!U:U)</f>
        <v>0</v>
      </c>
    </row>
    <row r="22" spans="2:13" x14ac:dyDescent="0.15">
      <c r="B22" s="91" t="s">
        <v>1157</v>
      </c>
      <c r="C22" s="92">
        <f>SUMIF('capacity data'!E:E,"SPO",'capacity data'!K:K)</f>
        <v>0</v>
      </c>
      <c r="D22" s="92">
        <f>SUMIF('capacity data'!E:E,"DMY",'capacity data'!K:K)</f>
        <v>0</v>
      </c>
      <c r="E22" s="92">
        <f>SUM(C22:D22)</f>
        <v>0</v>
      </c>
      <c r="F22" s="93">
        <f>SUM('capacity data'!K:K)</f>
        <v>0</v>
      </c>
      <c r="G22" s="94" t="e">
        <f>E22/F22</f>
        <v>#DIV/0!</v>
      </c>
      <c r="H22" s="92">
        <f>SUM('caseload data'!U:U)</f>
        <v>0</v>
      </c>
    </row>
    <row r="23" spans="2:13" x14ac:dyDescent="0.15">
      <c r="B23" s="129" t="s">
        <v>1144</v>
      </c>
      <c r="C23" s="113" t="s">
        <v>1158</v>
      </c>
      <c r="D23" s="113" t="s">
        <v>1158</v>
      </c>
      <c r="E23" s="113" t="s">
        <v>1158</v>
      </c>
      <c r="F23" s="117" t="s">
        <v>1158</v>
      </c>
      <c r="G23" s="117" t="e">
        <f>+G21-G22</f>
        <v>#DIV/0!</v>
      </c>
      <c r="H23" s="113" t="s">
        <v>1158</v>
      </c>
    </row>
    <row r="26" spans="2:13" ht="23" x14ac:dyDescent="0.25">
      <c r="B26" s="276" t="s">
        <v>1166</v>
      </c>
      <c r="C26" s="276"/>
      <c r="D26" s="276"/>
      <c r="E26" s="276"/>
      <c r="F26" s="276"/>
      <c r="G26" s="276"/>
      <c r="H26" s="276"/>
      <c r="I26" s="276"/>
      <c r="J26" s="276"/>
      <c r="K26" s="276"/>
    </row>
    <row r="27" spans="2:13" ht="83.25" customHeight="1" x14ac:dyDescent="0.15">
      <c r="B27" s="96"/>
      <c r="C27" s="244" t="s">
        <v>1167</v>
      </c>
      <c r="D27" s="244" t="s">
        <v>1168</v>
      </c>
      <c r="E27" s="244" t="s">
        <v>1169</v>
      </c>
      <c r="F27" s="244" t="s">
        <v>1170</v>
      </c>
      <c r="G27" s="244" t="s">
        <v>1171</v>
      </c>
      <c r="H27" s="244" t="s">
        <v>1172</v>
      </c>
      <c r="I27" s="244" t="s">
        <v>1173</v>
      </c>
      <c r="J27" s="244" t="s">
        <v>1174</v>
      </c>
      <c r="K27" s="244" t="s">
        <v>1175</v>
      </c>
    </row>
    <row r="28" spans="2:13" x14ac:dyDescent="0.15">
      <c r="B28" s="74" t="str">
        <f>B6</f>
        <v>Dyfed Powys</v>
      </c>
      <c r="C28" s="97">
        <f>SUMIFS('capacity data'!I:I,'capacity data'!B:B,'cluster overview'!B6,'capacity data'!E:E,"PO")</f>
        <v>0</v>
      </c>
      <c r="D28" s="98">
        <f>SUMIFS('capacity data'!J:J,'capacity data'!B:B,'cluster overview'!B6,'capacity data'!E:E,"PO")</f>
        <v>0</v>
      </c>
      <c r="E28" s="99" t="e">
        <f>D28/C28</f>
        <v>#DIV/0!</v>
      </c>
      <c r="F28" s="98">
        <f>SUMIFS('capacity data'!I:I,'capacity data'!B:B,'cluster overview'!B6,'capacity data'!E:E,"PSO")</f>
        <v>0</v>
      </c>
      <c r="G28" s="98">
        <f>SUMIFS('capacity data'!J:J,'capacity data'!B:B,'cluster overview'!B6,'capacity data'!E:E,"PSO")</f>
        <v>0</v>
      </c>
      <c r="H28" s="99" t="str">
        <f>IFERROR(G28/F28,"N/A")</f>
        <v>N/A</v>
      </c>
      <c r="I28" s="98">
        <f>SUMIFS('capacity data'!I:I,'capacity data'!B:B,'cluster overview'!B6,'capacity data'!E:E,"TPO")</f>
        <v>0</v>
      </c>
      <c r="J28" s="100">
        <f>SUMIFS('capacity data'!J:J,'capacity data'!B:B,'cluster overview'!B6,'capacity data'!E:E,"TPO")</f>
        <v>0</v>
      </c>
      <c r="K28" s="99" t="str">
        <f>IFERROR(J28/I28,"N/A")</f>
        <v>N/A</v>
      </c>
    </row>
    <row r="29" spans="2:13" x14ac:dyDescent="0.15">
      <c r="B29" s="119" t="s">
        <v>1176</v>
      </c>
      <c r="C29" s="121">
        <f>SUMIF('capacity data'!E:E,"PO",'capacity data'!I:I)</f>
        <v>0</v>
      </c>
      <c r="D29" s="121">
        <f>SUMIF('capacity data'!E:E,"PO",'capacity data'!J:J)</f>
        <v>0</v>
      </c>
      <c r="E29" s="122" t="e">
        <f>D29/C29</f>
        <v>#DIV/0!</v>
      </c>
      <c r="F29" s="121">
        <f>SUMIF('capacity data'!E:E,"PSO",'capacity data'!I:I)</f>
        <v>0</v>
      </c>
      <c r="G29" s="121">
        <f>SUMIF('capacity data'!E:E,"PSO",'capacity data'!J:J)</f>
        <v>0</v>
      </c>
      <c r="H29" s="122" t="e">
        <f>G29/F29</f>
        <v>#DIV/0!</v>
      </c>
      <c r="I29" s="121">
        <f>SUMIF('capacity data'!E:E,"TPO",'capacity data'!I:I)</f>
        <v>0</v>
      </c>
      <c r="J29" s="121">
        <f>SUMIF('capacity data'!E:E,"TPO",'capacity data'!J:J)</f>
        <v>0</v>
      </c>
      <c r="K29" s="122" t="e">
        <f>J29/I29</f>
        <v>#DIV/0!</v>
      </c>
    </row>
    <row r="30" spans="2:13" x14ac:dyDescent="0.15">
      <c r="B30" s="118" t="s">
        <v>1144</v>
      </c>
      <c r="C30" s="113" t="s">
        <v>1158</v>
      </c>
      <c r="D30" s="113" t="s">
        <v>1158</v>
      </c>
      <c r="E30" s="112" t="e">
        <f>+E28-E29</f>
        <v>#DIV/0!</v>
      </c>
      <c r="F30" s="113" t="s">
        <v>1158</v>
      </c>
      <c r="G30" s="113" t="s">
        <v>1158</v>
      </c>
      <c r="H30" s="112" t="str">
        <f>IFERROR(+H28-H29,"N/A")</f>
        <v>N/A</v>
      </c>
      <c r="I30" s="113" t="s">
        <v>1158</v>
      </c>
      <c r="J30" s="113" t="s">
        <v>1158</v>
      </c>
      <c r="K30" s="112" t="str">
        <f>IFERROR(+K28-K29,"N/A")</f>
        <v>N/A</v>
      </c>
    </row>
    <row r="32" spans="2:13" ht="37.5" customHeight="1" x14ac:dyDescent="0.2">
      <c r="B32" s="277" t="s">
        <v>1213</v>
      </c>
      <c r="C32" s="278"/>
      <c r="D32" s="278"/>
      <c r="F32" s="279" t="s">
        <v>1214</v>
      </c>
      <c r="G32" s="279"/>
    </row>
    <row r="33" spans="1:7" ht="60.75" customHeight="1" x14ac:dyDescent="0.15">
      <c r="B33" s="88" t="s">
        <v>1179</v>
      </c>
      <c r="C33" s="244" t="s">
        <v>1180</v>
      </c>
      <c r="D33" s="244" t="s">
        <v>1181</v>
      </c>
      <c r="E33" s="76"/>
      <c r="F33" s="240" t="s">
        <v>1215</v>
      </c>
      <c r="G33" s="239">
        <f>COUNTIFS('reductions data'!B:B,'cluster overview'!B6,'reductions data'!K:K,"ACTIVE")</f>
        <v>0</v>
      </c>
    </row>
    <row r="34" spans="1:7" x14ac:dyDescent="0.15">
      <c r="B34" s="125" t="s">
        <v>1115</v>
      </c>
      <c r="C34" s="101">
        <f>COUNTIFS('reductions data'!B:B,'cluster overview'!$B$6,'reductions data'!G:G,'cluster overview'!B34)</f>
        <v>0</v>
      </c>
      <c r="D34" s="102">
        <f>SUMIFS('reductions data'!H:H,'reductions data'!B:B,'cluster overview'!$B$6,'reductions data'!$G:$G,'cluster overview'!B34)</f>
        <v>0</v>
      </c>
      <c r="E34" s="76"/>
      <c r="F34" s="297" t="s">
        <v>1216</v>
      </c>
      <c r="G34" s="298">
        <f>SUMIF('reductions data'!B:B,'cluster overview'!B6,'reductions data'!H:H)</f>
        <v>0</v>
      </c>
    </row>
    <row r="35" spans="1:7" x14ac:dyDescent="0.15">
      <c r="B35" s="126" t="s">
        <v>1096</v>
      </c>
      <c r="C35" s="103">
        <f>COUNTIFS('reductions data'!B:B,'cluster overview'!$B$6,'reductions data'!G:G,'cluster overview'!B35)</f>
        <v>0</v>
      </c>
      <c r="D35" s="102">
        <f>SUMIFS('reductions data'!H:H,'reductions data'!B:B,'cluster overview'!$B$6,'reductions data'!$G:$G,'cluster overview'!B35)</f>
        <v>0</v>
      </c>
      <c r="E35" s="76"/>
      <c r="F35" s="269"/>
      <c r="G35" s="269"/>
    </row>
    <row r="36" spans="1:7" x14ac:dyDescent="0.15">
      <c r="B36" s="126" t="s">
        <v>1101</v>
      </c>
      <c r="C36" s="103">
        <f>COUNTIFS('reductions data'!B:B,'cluster overview'!$B$6,'reductions data'!G:G,'cluster overview'!B36)</f>
        <v>0</v>
      </c>
      <c r="D36" s="102">
        <f>SUMIFS('reductions data'!H:H,'reductions data'!B:B,'cluster overview'!$B$6,'reductions data'!$G:$G,'cluster overview'!B36)</f>
        <v>0</v>
      </c>
      <c r="E36" s="104"/>
      <c r="F36" s="269"/>
      <c r="G36" s="269"/>
    </row>
    <row r="37" spans="1:7" x14ac:dyDescent="0.15">
      <c r="B37" s="126" t="s">
        <v>1079</v>
      </c>
      <c r="C37" s="103">
        <f>COUNTIFS('reductions data'!B:B,'cluster overview'!$B$6,'reductions data'!G:G,'cluster overview'!B37)</f>
        <v>0</v>
      </c>
      <c r="D37" s="102">
        <f>SUMIFS('reductions data'!H:H,'reductions data'!B:B,'cluster overview'!$B$6,'reductions data'!$G:$G,'cluster overview'!B37)</f>
        <v>0</v>
      </c>
      <c r="E37" s="104"/>
      <c r="F37" s="299" t="s">
        <v>1217</v>
      </c>
      <c r="G37" s="298">
        <f>SUMIF('capacity data'!B:B,'cluster overview'!B6,'capacity data'!I:I)</f>
        <v>0</v>
      </c>
    </row>
    <row r="38" spans="1:7" x14ac:dyDescent="0.15">
      <c r="B38" s="126" t="s">
        <v>1116</v>
      </c>
      <c r="C38" s="103">
        <f>COUNTIFS('reductions data'!B:B,'cluster overview'!$B$6,'reductions data'!G:G,'cluster overview'!B38)</f>
        <v>0</v>
      </c>
      <c r="D38" s="102">
        <f>SUMIFS('reductions data'!H:H,'reductions data'!B:B,'cluster overview'!$B$6,'reductions data'!$G:$G,'cluster overview'!B38)</f>
        <v>0</v>
      </c>
      <c r="E38" s="104"/>
      <c r="F38" s="269"/>
      <c r="G38" s="269"/>
    </row>
    <row r="39" spans="1:7" x14ac:dyDescent="0.15">
      <c r="B39" s="126" t="s">
        <v>1109</v>
      </c>
      <c r="C39" s="103">
        <f>COUNTIFS('reductions data'!B:B,'cluster overview'!$B$6,'reductions data'!G:G,'cluster overview'!B39)</f>
        <v>0</v>
      </c>
      <c r="D39" s="102">
        <f>SUMIFS('reductions data'!H:H,'reductions data'!B:B,'cluster overview'!$B$6,'reductions data'!$G:$G,'cluster overview'!B39)</f>
        <v>0</v>
      </c>
      <c r="E39" s="104"/>
      <c r="F39" s="269"/>
      <c r="G39" s="269"/>
    </row>
    <row r="40" spans="1:7" x14ac:dyDescent="0.15">
      <c r="B40" s="126" t="s">
        <v>1089</v>
      </c>
      <c r="C40" s="103">
        <f>COUNTIFS('reductions data'!B:B,'cluster overview'!$B$6,'reductions data'!G:G,'cluster overview'!B40)</f>
        <v>0</v>
      </c>
      <c r="D40" s="102">
        <f>SUMIFS('reductions data'!H:H,'reductions data'!B:B,'cluster overview'!$B$6,'reductions data'!$G:$G,'cluster overview'!B40)</f>
        <v>0</v>
      </c>
      <c r="E40" s="104"/>
      <c r="F40" s="249"/>
      <c r="G40" s="249"/>
    </row>
    <row r="41" spans="1:7" ht="15.75" customHeight="1" x14ac:dyDescent="0.15">
      <c r="A41" s="104"/>
      <c r="B41" s="104"/>
      <c r="C41" s="104"/>
      <c r="D41" s="104"/>
      <c r="E41" s="104"/>
      <c r="F41" s="300" t="s">
        <v>1218</v>
      </c>
      <c r="G41" s="301" t="e">
        <f>G34/G37</f>
        <v>#DIV/0!</v>
      </c>
    </row>
    <row r="42" spans="1:7" x14ac:dyDescent="0.15">
      <c r="B42" s="126" t="s">
        <v>1117</v>
      </c>
      <c r="C42" s="103">
        <f>COUNTIFS('reductions data'!B:B,'cluster overview'!$B$6,'reductions data'!G:G,'cluster overview'!B42)</f>
        <v>0</v>
      </c>
      <c r="D42" s="102">
        <f>SUMIFS('reductions data'!H:H,'reductions data'!B:B,'cluster overview'!$B$6,'reductions data'!$G:$G,'cluster overview'!B42)</f>
        <v>0</v>
      </c>
      <c r="E42" s="104"/>
      <c r="F42" s="292"/>
      <c r="G42" s="295"/>
    </row>
    <row r="43" spans="1:7" x14ac:dyDescent="0.15">
      <c r="B43" s="126" t="s">
        <v>1086</v>
      </c>
      <c r="C43" s="103">
        <f>COUNTIFS('reductions data'!B:B,'cluster overview'!$B$6,'reductions data'!G:G,'cluster overview'!B43)</f>
        <v>0</v>
      </c>
      <c r="D43" s="102">
        <f>SUMIFS('reductions data'!H:H,'reductions data'!B:B,'cluster overview'!$B$6,'reductions data'!$G:$G,'cluster overview'!B43)</f>
        <v>0</v>
      </c>
      <c r="E43" s="104"/>
      <c r="F43" s="292"/>
      <c r="G43" s="295"/>
    </row>
    <row r="44" spans="1:7" x14ac:dyDescent="0.15">
      <c r="B44" s="126" t="s">
        <v>1091</v>
      </c>
      <c r="C44" s="103">
        <f>COUNTIFS('reductions data'!B:B,'cluster overview'!$B$6,'reductions data'!G:G,'cluster overview'!B44)</f>
        <v>0</v>
      </c>
      <c r="D44" s="102">
        <f>SUMIFS('reductions data'!H:H,'reductions data'!B:B,'cluster overview'!$B$6,'reductions data'!$G:$G,'cluster overview'!B44)</f>
        <v>0</v>
      </c>
      <c r="E44" s="104"/>
      <c r="F44" s="292"/>
      <c r="G44" s="295"/>
    </row>
    <row r="45" spans="1:7" x14ac:dyDescent="0.15">
      <c r="B45" s="126" t="s">
        <v>1102</v>
      </c>
      <c r="C45" s="103">
        <f>COUNTIFS('reductions data'!B:B,'cluster overview'!$B$6,'reductions data'!G:G,'cluster overview'!B45)</f>
        <v>0</v>
      </c>
      <c r="D45" s="102">
        <f>SUMIFS('reductions data'!H:H,'reductions data'!B:B,'cluster overview'!$B$6,'reductions data'!$G:$G,'cluster overview'!B45)</f>
        <v>0</v>
      </c>
      <c r="E45" s="104"/>
      <c r="F45" s="293"/>
      <c r="G45" s="296"/>
    </row>
    <row r="46" spans="1:7" ht="15.75" customHeight="1" x14ac:dyDescent="0.15">
      <c r="B46" s="126" t="s">
        <v>1085</v>
      </c>
      <c r="C46" s="103">
        <f>COUNTIFS('reductions data'!B:B,'cluster overview'!$B$6,'reductions data'!G:G,'cluster overview'!B46)</f>
        <v>0</v>
      </c>
      <c r="D46" s="102">
        <f>SUMIFS('reductions data'!H:H,'reductions data'!B:B,'cluster overview'!$B$6,'reductions data'!$G:$G,'cluster overview'!B46)</f>
        <v>0</v>
      </c>
      <c r="E46" s="104"/>
      <c r="F46" s="291" t="s">
        <v>1186</v>
      </c>
      <c r="G46" s="294" t="e">
        <f>+G41-'div &amp; regional reduction hours'!N21</f>
        <v>#DIV/0!</v>
      </c>
    </row>
    <row r="47" spans="1:7" x14ac:dyDescent="0.15">
      <c r="B47" s="126" t="s">
        <v>1092</v>
      </c>
      <c r="C47" s="103">
        <f>COUNTIFS('reductions data'!B:B,'cluster overview'!$B$6,'reductions data'!G:G,'cluster overview'!B47)</f>
        <v>0</v>
      </c>
      <c r="D47" s="102">
        <f>SUMIFS('reductions data'!H:H,'reductions data'!B:B,'cluster overview'!$B$6,'reductions data'!$G:$G,'cluster overview'!B47)</f>
        <v>0</v>
      </c>
      <c r="E47" s="104"/>
      <c r="F47" s="292"/>
      <c r="G47" s="295"/>
    </row>
    <row r="48" spans="1:7" x14ac:dyDescent="0.15">
      <c r="B48" s="126" t="s">
        <v>1118</v>
      </c>
      <c r="C48" s="103">
        <f>COUNTIFS('reductions data'!B:B,'cluster overview'!$B$6,'reductions data'!G:G,'cluster overview'!B48)</f>
        <v>0</v>
      </c>
      <c r="D48" s="102">
        <f>SUMIFS('reductions data'!H:H,'reductions data'!B:B,'cluster overview'!$B$6,'reductions data'!$G:$G,'cluster overview'!B48)</f>
        <v>0</v>
      </c>
      <c r="E48" s="104"/>
      <c r="F48" s="292"/>
      <c r="G48" s="295"/>
    </row>
    <row r="49" spans="2:7" x14ac:dyDescent="0.15">
      <c r="B49" s="126" t="s">
        <v>1187</v>
      </c>
      <c r="C49" s="103">
        <f>COUNTIFS('reductions data'!B:B,'cluster overview'!$B$6,'reductions data'!G:G,'cluster overview'!B49)</f>
        <v>0</v>
      </c>
      <c r="D49" s="102">
        <f>SUMIFS('reductions data'!H:H,'reductions data'!B:B,'cluster overview'!$B$6,'reductions data'!$G:$G,'cluster overview'!B49)</f>
        <v>0</v>
      </c>
      <c r="E49" s="104"/>
      <c r="F49" s="292"/>
      <c r="G49" s="295"/>
    </row>
    <row r="50" spans="2:7" x14ac:dyDescent="0.15">
      <c r="B50" s="126" t="s">
        <v>1120</v>
      </c>
      <c r="C50" s="103">
        <f>COUNTIFS('reductions data'!B:B,'cluster overview'!$B$6,'reductions data'!G:G,'cluster overview'!B50)</f>
        <v>0</v>
      </c>
      <c r="D50" s="102">
        <f>SUMIFS('reductions data'!H:H,'reductions data'!B:B,'cluster overview'!$B$6,'reductions data'!$G:$G,'cluster overview'!B50)</f>
        <v>0</v>
      </c>
      <c r="E50" s="104"/>
      <c r="F50" s="293"/>
      <c r="G50" s="296"/>
    </row>
    <row r="51" spans="2:7" x14ac:dyDescent="0.15">
      <c r="B51" s="126" t="s">
        <v>1121</v>
      </c>
      <c r="C51" s="103">
        <f>COUNTIFS('reductions data'!B:B,'cluster overview'!$B$6,'reductions data'!G:G,'cluster overview'!B51)</f>
        <v>0</v>
      </c>
      <c r="D51" s="102">
        <f>SUMIFS('reductions data'!H:H,'reductions data'!B:B,'cluster overview'!$B$6,'reductions data'!$G:$G,'cluster overview'!B51)</f>
        <v>0</v>
      </c>
      <c r="E51" s="104"/>
      <c r="F51" s="104"/>
      <c r="G51" s="76"/>
    </row>
    <row r="52" spans="2:7" x14ac:dyDescent="0.15">
      <c r="B52" s="126" t="s">
        <v>1081</v>
      </c>
      <c r="C52" s="103">
        <f>COUNTIFS('reductions data'!B:B,'cluster overview'!$B$6,'reductions data'!G:G,'cluster overview'!B52)</f>
        <v>0</v>
      </c>
      <c r="D52" s="102">
        <f>SUMIFS('reductions data'!H:H,'reductions data'!B:B,'cluster overview'!$B$6,'reductions data'!$G:$G,'cluster overview'!B52)</f>
        <v>0</v>
      </c>
      <c r="E52" s="104"/>
      <c r="F52" s="104"/>
      <c r="G52" s="76"/>
    </row>
    <row r="53" spans="2:7" x14ac:dyDescent="0.15">
      <c r="B53" s="126" t="s">
        <v>1122</v>
      </c>
      <c r="C53" s="103">
        <f>COUNTIFS('reductions data'!B:B,'cluster overview'!$B$6,'reductions data'!G:G,'cluster overview'!B53)</f>
        <v>0</v>
      </c>
      <c r="D53" s="102">
        <f>SUMIFS('reductions data'!H:H,'reductions data'!B:B,'cluster overview'!$B$6,'reductions data'!$G:$G,'cluster overview'!B53)</f>
        <v>0</v>
      </c>
      <c r="E53" s="104"/>
      <c r="F53" s="104"/>
      <c r="G53" s="76"/>
    </row>
    <row r="54" spans="2:7" x14ac:dyDescent="0.15">
      <c r="B54" s="126" t="s">
        <v>1093</v>
      </c>
      <c r="C54" s="103">
        <f>COUNTIFS('reductions data'!B:B,'cluster overview'!$B$6,'reductions data'!G:G,'cluster overview'!B54)</f>
        <v>0</v>
      </c>
      <c r="D54" s="102">
        <f>SUMIFS('reductions data'!H:H,'reductions data'!B:B,'cluster overview'!$B$6,'reductions data'!$G:$G,'cluster overview'!B54)</f>
        <v>0</v>
      </c>
      <c r="E54" s="104"/>
      <c r="F54" s="104"/>
      <c r="G54" s="76"/>
    </row>
    <row r="55" spans="2:7" x14ac:dyDescent="0.15">
      <c r="B55" s="126" t="s">
        <v>1123</v>
      </c>
      <c r="C55" s="103">
        <f>COUNTIFS('reductions data'!B:B,'cluster overview'!$B$6,'reductions data'!G:G,'cluster overview'!B55)</f>
        <v>0</v>
      </c>
      <c r="D55" s="102">
        <f>SUMIFS('reductions data'!H:H,'reductions data'!B:B,'cluster overview'!$B$6,'reductions data'!$G:$G,'cluster overview'!B55)</f>
        <v>0</v>
      </c>
      <c r="E55" s="104"/>
      <c r="F55" s="104"/>
      <c r="G55" s="76"/>
    </row>
    <row r="56" spans="2:7" x14ac:dyDescent="0.15">
      <c r="B56" s="126" t="s">
        <v>1124</v>
      </c>
      <c r="C56" s="103">
        <f>COUNTIFS('reductions data'!B:B,'cluster overview'!$B$6,'reductions data'!G:G,'cluster overview'!B56)</f>
        <v>0</v>
      </c>
      <c r="D56" s="102">
        <f>SUMIFS('reductions data'!H:H,'reductions data'!B:B,'cluster overview'!$B$6,'reductions data'!$G:$G,'cluster overview'!B56)</f>
        <v>0</v>
      </c>
      <c r="E56" s="104"/>
      <c r="F56" s="104"/>
      <c r="G56" s="76"/>
    </row>
    <row r="57" spans="2:7" x14ac:dyDescent="0.15">
      <c r="B57" s="126" t="s">
        <v>1088</v>
      </c>
      <c r="C57" s="103">
        <f>COUNTIFS('reductions data'!B:B,'cluster overview'!$B$6,'reductions data'!G:G,'cluster overview'!B57)</f>
        <v>0</v>
      </c>
      <c r="D57" s="102">
        <f>SUMIFS('reductions data'!H:H,'reductions data'!B:B,'cluster overview'!$B$6,'reductions data'!$G:$G,'cluster overview'!B57)</f>
        <v>0</v>
      </c>
      <c r="E57" s="104"/>
      <c r="F57" s="104"/>
      <c r="G57" s="76"/>
    </row>
    <row r="58" spans="2:7" x14ac:dyDescent="0.15">
      <c r="B58" s="215" t="s">
        <v>1188</v>
      </c>
      <c r="C58" s="103">
        <f>COUNTIFS('reductions data'!B:B,'cluster overview'!$B$6,'reductions data'!G:G,'cluster overview'!B58)</f>
        <v>0</v>
      </c>
      <c r="D58" s="102">
        <f>SUMIFS('reductions data'!H:H,'reductions data'!B:B,'cluster overview'!$B$6,'reductions data'!$G:$G,'cluster overview'!B58)</f>
        <v>0</v>
      </c>
      <c r="E58" s="104"/>
      <c r="F58" s="104"/>
      <c r="G58" s="76"/>
    </row>
    <row r="59" spans="2:7" x14ac:dyDescent="0.15">
      <c r="B59" s="126" t="s">
        <v>1107</v>
      </c>
      <c r="C59" s="103">
        <f>COUNTIFS('reductions data'!B:B,'cluster overview'!$B$6,'reductions data'!G:G,'cluster overview'!B59)</f>
        <v>0</v>
      </c>
      <c r="D59" s="102">
        <f>SUMIFS('reductions data'!H:H,'reductions data'!B:B,'cluster overview'!$B$6,'reductions data'!$G:$G,'cluster overview'!B59)</f>
        <v>0</v>
      </c>
      <c r="E59" s="104"/>
      <c r="F59" s="104"/>
      <c r="G59" s="76"/>
    </row>
    <row r="60" spans="2:7" x14ac:dyDescent="0.15">
      <c r="B60" s="126" t="s">
        <v>1099</v>
      </c>
      <c r="C60" s="103">
        <f>COUNTIFS('reductions data'!B:B,'cluster overview'!$B$6,'reductions data'!G:G,'cluster overview'!B60)</f>
        <v>0</v>
      </c>
      <c r="D60" s="102">
        <f>SUMIFS('reductions data'!H:H,'reductions data'!B:B,'cluster overview'!$B$6,'reductions data'!$G:$G,'cluster overview'!B60)</f>
        <v>0</v>
      </c>
      <c r="E60" s="104"/>
      <c r="F60" s="104"/>
      <c r="G60" s="76"/>
    </row>
    <row r="61" spans="2:7" x14ac:dyDescent="0.15">
      <c r="B61" s="126" t="s">
        <v>1082</v>
      </c>
      <c r="C61" s="103">
        <f>COUNTIFS('reductions data'!B:B,'cluster overview'!$B$6,'reductions data'!G:G,'cluster overview'!B61)</f>
        <v>0</v>
      </c>
      <c r="D61" s="102">
        <f>SUMIFS('reductions data'!H:H,'reductions data'!B:B,'cluster overview'!$B$6,'reductions data'!$G:$G,'cluster overview'!B61)</f>
        <v>0</v>
      </c>
      <c r="E61" s="104"/>
      <c r="F61" s="104"/>
      <c r="G61" s="76"/>
    </row>
    <row r="62" spans="2:7" x14ac:dyDescent="0.15">
      <c r="B62" s="126" t="s">
        <v>1090</v>
      </c>
      <c r="C62" s="103">
        <f>COUNTIFS('reductions data'!B:B,'cluster overview'!$B$6,'reductions data'!G:G,'cluster overview'!B62)</f>
        <v>0</v>
      </c>
      <c r="D62" s="102">
        <f>SUMIFS('reductions data'!H:H,'reductions data'!B:B,'cluster overview'!$B$6,'reductions data'!$G:$G,'cluster overview'!B62)</f>
        <v>0</v>
      </c>
      <c r="E62" s="104"/>
      <c r="F62" s="104"/>
      <c r="G62" s="76"/>
    </row>
    <row r="63" spans="2:7" x14ac:dyDescent="0.15">
      <c r="B63" s="126" t="s">
        <v>1105</v>
      </c>
      <c r="C63" s="103">
        <f>COUNTIFS('reductions data'!B:B,'cluster overview'!$B$6,'reductions data'!G:G,'cluster overview'!B63)</f>
        <v>0</v>
      </c>
      <c r="D63" s="102">
        <f>SUMIFS('reductions data'!H:H,'reductions data'!B:B,'cluster overview'!$B$6,'reductions data'!$G:$G,'cluster overview'!B63)</f>
        <v>0</v>
      </c>
      <c r="E63" s="104"/>
      <c r="F63" s="104"/>
      <c r="G63" s="76"/>
    </row>
    <row r="64" spans="2:7" x14ac:dyDescent="0.15">
      <c r="B64" s="126" t="s">
        <v>1087</v>
      </c>
      <c r="C64" s="103">
        <f>COUNTIFS('reductions data'!B:B,'cluster overview'!$B$6,'reductions data'!G:G,'cluster overview'!B64)</f>
        <v>0</v>
      </c>
      <c r="D64" s="102">
        <f>SUMIFS('reductions data'!H:H,'reductions data'!B:B,'cluster overview'!$B$6,'reductions data'!$G:$G,'cluster overview'!B64)</f>
        <v>0</v>
      </c>
      <c r="E64" s="104"/>
      <c r="F64" s="104"/>
      <c r="G64" s="76"/>
    </row>
    <row r="65" spans="2:19" x14ac:dyDescent="0.15">
      <c r="B65" s="126" t="s">
        <v>1080</v>
      </c>
      <c r="C65" s="103">
        <f>COUNTIFS('reductions data'!B:B,'cluster overview'!$B$6,'reductions data'!G:G,'cluster overview'!B65)</f>
        <v>0</v>
      </c>
      <c r="D65" s="102">
        <f>SUMIFS('reductions data'!H:H,'reductions data'!B:B,'cluster overview'!$B$6,'reductions data'!$G:$G,'cluster overview'!B65)</f>
        <v>0</v>
      </c>
      <c r="E65" s="104"/>
      <c r="F65" s="104"/>
      <c r="G65" s="76"/>
    </row>
    <row r="66" spans="2:19" x14ac:dyDescent="0.15">
      <c r="B66" s="126" t="s">
        <v>1100</v>
      </c>
      <c r="C66" s="103">
        <f>COUNTIFS('reductions data'!B:B,'cluster overview'!$B$6,'reductions data'!G:G,'cluster overview'!B66)</f>
        <v>0</v>
      </c>
      <c r="D66" s="102">
        <f>SUMIFS('reductions data'!H:H,'reductions data'!B:B,'cluster overview'!$B$6,'reductions data'!$G:$G,'cluster overview'!B66)</f>
        <v>0</v>
      </c>
      <c r="E66" s="104"/>
      <c r="F66" s="104"/>
      <c r="G66" s="76"/>
    </row>
    <row r="67" spans="2:19" x14ac:dyDescent="0.15">
      <c r="B67" s="126" t="s">
        <v>1108</v>
      </c>
      <c r="C67" s="103">
        <f>COUNTIFS('reductions data'!B:B,'cluster overview'!$B$6,'reductions data'!G:G,'cluster overview'!B67)</f>
        <v>0</v>
      </c>
      <c r="D67" s="102">
        <f>SUMIFS('reductions data'!H:H,'reductions data'!B:B,'cluster overview'!$B$6,'reductions data'!$G:$G,'cluster overview'!B67)</f>
        <v>0</v>
      </c>
      <c r="E67" s="104"/>
      <c r="F67" s="104"/>
      <c r="G67" s="76"/>
    </row>
    <row r="68" spans="2:19" x14ac:dyDescent="0.15">
      <c r="B68" s="126" t="s">
        <v>1106</v>
      </c>
      <c r="C68" s="103">
        <f>COUNTIFS('reductions data'!B:B,'cluster overview'!$B$6,'reductions data'!G:G,'cluster overview'!B68)</f>
        <v>0</v>
      </c>
      <c r="D68" s="102">
        <f>SUMIFS('reductions data'!H:H,'reductions data'!B:B,'cluster overview'!$B$6,'reductions data'!$G:$G,'cluster overview'!B68)</f>
        <v>0</v>
      </c>
      <c r="E68" s="104"/>
      <c r="F68" s="104"/>
      <c r="G68" s="76"/>
    </row>
    <row r="69" spans="2:19" x14ac:dyDescent="0.15">
      <c r="B69" s="126" t="s">
        <v>1095</v>
      </c>
      <c r="C69" s="103">
        <f>COUNTIFS('reductions data'!B:B,'cluster overview'!$B$6,'reductions data'!G:G,'cluster overview'!B69)</f>
        <v>0</v>
      </c>
      <c r="D69" s="102">
        <f>SUMIFS('reductions data'!H:H,'reductions data'!B:B,'cluster overview'!$B$6,'reductions data'!$G:$G,'cluster overview'!B69)</f>
        <v>0</v>
      </c>
      <c r="E69" s="104"/>
      <c r="F69" s="104"/>
      <c r="G69" s="76"/>
    </row>
    <row r="70" spans="2:19" x14ac:dyDescent="0.15">
      <c r="B70" s="126" t="s">
        <v>1127</v>
      </c>
      <c r="C70" s="103">
        <f>COUNTIFS('reductions data'!B:B,'cluster overview'!$B$6,'reductions data'!G:G,'cluster overview'!B70)</f>
        <v>0</v>
      </c>
      <c r="D70" s="102">
        <f>SUMIFS('reductions data'!H:H,'reductions data'!B:B,'cluster overview'!$B$6,'reductions data'!$G:$G,'cluster overview'!B70)</f>
        <v>0</v>
      </c>
      <c r="E70" s="104"/>
      <c r="F70" s="104"/>
      <c r="G70" s="76"/>
    </row>
    <row r="71" spans="2:19" x14ac:dyDescent="0.15">
      <c r="B71" s="126" t="s">
        <v>1097</v>
      </c>
      <c r="C71" s="103">
        <f>COUNTIFS('reductions data'!B:B,'cluster overview'!$B$6,'reductions data'!G:G,'cluster overview'!B71)</f>
        <v>0</v>
      </c>
      <c r="D71" s="102">
        <f>SUMIFS('reductions data'!H:H,'reductions data'!B:B,'cluster overview'!$B$6,'reductions data'!$G:$G,'cluster overview'!B71)</f>
        <v>0</v>
      </c>
      <c r="E71" s="104"/>
      <c r="F71" s="104"/>
      <c r="G71" s="76"/>
    </row>
    <row r="72" spans="2:19" x14ac:dyDescent="0.15">
      <c r="B72" s="126" t="s">
        <v>1128</v>
      </c>
      <c r="C72" s="103">
        <f>COUNTIFS('reductions data'!B:B,'cluster overview'!$B$6,'reductions data'!G:G,'cluster overview'!B72)</f>
        <v>0</v>
      </c>
      <c r="D72" s="102">
        <f>SUMIFS('reductions data'!H:H,'reductions data'!B:B,'cluster overview'!$B$6,'reductions data'!$G:$G,'cluster overview'!B72)</f>
        <v>0</v>
      </c>
      <c r="E72" s="104"/>
      <c r="F72" s="104"/>
      <c r="G72" s="76"/>
    </row>
    <row r="73" spans="2:19" x14ac:dyDescent="0.15">
      <c r="B73" s="126" t="s">
        <v>1083</v>
      </c>
      <c r="C73" s="103">
        <f>COUNTIFS('reductions data'!B:B,'cluster overview'!$B$6,'reductions data'!G:G,'cluster overview'!B73)</f>
        <v>0</v>
      </c>
      <c r="D73" s="102">
        <f>SUMIFS('reductions data'!H:H,'reductions data'!B:B,'cluster overview'!$B$6,'reductions data'!$G:$G,'cluster overview'!B73)</f>
        <v>0</v>
      </c>
      <c r="E73" s="104"/>
      <c r="F73" s="104"/>
      <c r="G73" s="76"/>
    </row>
    <row r="74" spans="2:19" x14ac:dyDescent="0.15">
      <c r="B74" s="126" t="s">
        <v>1084</v>
      </c>
      <c r="C74" s="103">
        <f>COUNTIFS('reductions data'!B:B,'cluster overview'!$B$6,'reductions data'!G:G,'cluster overview'!B74)</f>
        <v>0</v>
      </c>
      <c r="D74" s="102">
        <f>SUMIFS('reductions data'!H:H,'reductions data'!B:B,'cluster overview'!$B$6,'reductions data'!$G:$G,'cluster overview'!B74)</f>
        <v>0</v>
      </c>
      <c r="E74" s="104"/>
      <c r="F74" s="104"/>
      <c r="G74" s="76"/>
    </row>
    <row r="75" spans="2:19" x14ac:dyDescent="0.15">
      <c r="B75" s="126" t="s">
        <v>1110</v>
      </c>
      <c r="C75" s="103">
        <f>COUNTIFS('reductions data'!B:B,'cluster overview'!$B$6,'reductions data'!G:G,'cluster overview'!B75)</f>
        <v>0</v>
      </c>
      <c r="D75" s="102">
        <f>SUMIFS('reductions data'!H:H,'reductions data'!B:B,'cluster overview'!$B$6,'reductions data'!$G:$G,'cluster overview'!B75)</f>
        <v>0</v>
      </c>
      <c r="E75" s="104"/>
      <c r="F75" s="104"/>
      <c r="G75" s="76"/>
    </row>
    <row r="76" spans="2:19" x14ac:dyDescent="0.15">
      <c r="B76" s="126" t="s">
        <v>1103</v>
      </c>
      <c r="C76" s="103">
        <f>COUNTIFS('reductions data'!B:B,'cluster overview'!$B$6,'reductions data'!G:G,'cluster overview'!B76)</f>
        <v>0</v>
      </c>
      <c r="D76" s="102">
        <f>SUMIFS('reductions data'!H:H,'reductions data'!B:B,'cluster overview'!$B$6,'reductions data'!$G:$G,'cluster overview'!B76)</f>
        <v>0</v>
      </c>
      <c r="E76" s="104"/>
      <c r="F76" s="104"/>
      <c r="G76" s="76"/>
    </row>
    <row r="77" spans="2:19" x14ac:dyDescent="0.15">
      <c r="B77" s="104"/>
      <c r="C77" s="104"/>
      <c r="D77" s="104"/>
      <c r="E77" s="104"/>
      <c r="F77" s="104"/>
      <c r="G77" s="76"/>
    </row>
    <row r="78" spans="2:19" x14ac:dyDescent="0.15">
      <c r="B78" s="104"/>
      <c r="C78" s="104"/>
      <c r="D78" s="104"/>
      <c r="E78" s="104"/>
      <c r="F78" s="104"/>
      <c r="G78" s="76"/>
      <c r="S78" s="45"/>
    </row>
    <row r="79" spans="2:19" x14ac:dyDescent="0.15">
      <c r="B79" s="104"/>
      <c r="C79" s="104"/>
      <c r="D79" s="104"/>
      <c r="E79" s="104"/>
      <c r="F79" s="104"/>
      <c r="G79" s="76"/>
    </row>
    <row r="80" spans="2:19" ht="16" x14ac:dyDescent="0.2">
      <c r="B80" s="68"/>
      <c r="C80" s="66"/>
      <c r="D80" s="67"/>
      <c r="E80" s="1"/>
      <c r="F80" s="1"/>
    </row>
    <row r="81" spans="2:19" ht="16" x14ac:dyDescent="0.2">
      <c r="B81" s="23"/>
      <c r="C81" s="271" t="s">
        <v>1219</v>
      </c>
      <c r="D81" s="272"/>
      <c r="E81" s="272"/>
      <c r="F81" s="272"/>
      <c r="G81" s="272"/>
      <c r="H81" s="272"/>
      <c r="I81" s="272"/>
      <c r="J81" s="272"/>
      <c r="K81" s="272"/>
      <c r="L81" s="272"/>
      <c r="M81" s="272"/>
      <c r="N81" s="272"/>
      <c r="O81" s="272"/>
      <c r="P81" s="272"/>
      <c r="Q81" s="272"/>
      <c r="R81" s="272"/>
      <c r="S81" s="272"/>
    </row>
    <row r="82" spans="2:19" x14ac:dyDescent="0.15">
      <c r="B82" s="127" t="str">
        <f>B6</f>
        <v>Dyfed Powys</v>
      </c>
      <c r="C82" s="42" t="s">
        <v>1019</v>
      </c>
      <c r="D82" s="42" t="s">
        <v>1020</v>
      </c>
      <c r="E82" s="42" t="s">
        <v>1021</v>
      </c>
      <c r="F82" s="42" t="s">
        <v>1022</v>
      </c>
      <c r="G82" s="42" t="s">
        <v>1023</v>
      </c>
      <c r="H82" s="42" t="s">
        <v>1024</v>
      </c>
      <c r="I82" s="42" t="s">
        <v>1025</v>
      </c>
      <c r="J82" s="42" t="s">
        <v>1026</v>
      </c>
      <c r="K82" s="42" t="s">
        <v>1027</v>
      </c>
      <c r="L82" s="42" t="s">
        <v>1028</v>
      </c>
      <c r="M82" s="42" t="s">
        <v>1029</v>
      </c>
      <c r="N82" s="42" t="s">
        <v>1030</v>
      </c>
      <c r="O82" s="42" t="s">
        <v>1031</v>
      </c>
      <c r="P82" s="42" t="s">
        <v>1032</v>
      </c>
      <c r="Q82" s="42" t="s">
        <v>1033</v>
      </c>
      <c r="R82" s="42" t="s">
        <v>1034</v>
      </c>
      <c r="S82" s="42" t="s">
        <v>1220</v>
      </c>
    </row>
    <row r="83" spans="2:19" x14ac:dyDescent="0.15">
      <c r="B83" s="87" t="s">
        <v>1190</v>
      </c>
      <c r="C83" s="107">
        <f>SUMIFS('caseload data'!E:E,'caseload data'!$B:$B,"custody",'caseload data'!$C:$C,$B$82)</f>
        <v>0</v>
      </c>
      <c r="D83" s="107">
        <f>SUMIFS('caseload data'!F:F,'caseload data'!$B:$B,"custody",'caseload data'!$C:$C,$B$82)</f>
        <v>0</v>
      </c>
      <c r="E83" s="107">
        <f>SUMIFS('caseload data'!G:G,'caseload data'!$B:$B,"custody",'caseload data'!$C:$C,$B$82)</f>
        <v>0</v>
      </c>
      <c r="F83" s="107">
        <f>SUMIFS('caseload data'!H:H,'caseload data'!$B:$B,"custody",'caseload data'!$C:$C,$B$82)</f>
        <v>0</v>
      </c>
      <c r="G83" s="107">
        <f>SUMIFS('caseload data'!I:I,'caseload data'!$B:$B,"custody",'caseload data'!$C:$C,$B$82)</f>
        <v>0</v>
      </c>
      <c r="H83" s="107">
        <f>SUMIFS('caseload data'!J:J,'caseload data'!$B:$B,"custody",'caseload data'!$C:$C,$B$82)</f>
        <v>0</v>
      </c>
      <c r="I83" s="107">
        <f>SUMIFS('caseload data'!K:K,'caseload data'!$B:$B,"custody",'caseload data'!$C:$C,$B$82)</f>
        <v>0</v>
      </c>
      <c r="J83" s="107">
        <f>SUMIFS('caseload data'!L:L,'caseload data'!$B:$B,"custody",'caseload data'!$C:$C,$B$82)</f>
        <v>0</v>
      </c>
      <c r="K83" s="107">
        <f>SUMIFS('caseload data'!M:M,'caseload data'!$B:$B,"custody",'caseload data'!$C:$C,$B$82)</f>
        <v>0</v>
      </c>
      <c r="L83" s="107">
        <f>SUMIFS('caseload data'!N:N,'caseload data'!$B:$B,"custody",'caseload data'!$C:$C,$B$82)</f>
        <v>0</v>
      </c>
      <c r="M83" s="107">
        <f>SUMIFS('caseload data'!O:O,'caseload data'!$B:$B,"custody",'caseload data'!$C:$C,$B$82)</f>
        <v>0</v>
      </c>
      <c r="N83" s="107">
        <f>SUMIFS('caseload data'!P:P,'caseload data'!$B:$B,"custody",'caseload data'!$C:$C,$B$82)</f>
        <v>0</v>
      </c>
      <c r="O83" s="107">
        <f>SUMIFS('caseload data'!Q:Q,'caseload data'!$B:$B,"custody",'caseload data'!$C:$C,$B$82)</f>
        <v>0</v>
      </c>
      <c r="P83" s="107">
        <f>SUMIFS('caseload data'!R:R,'caseload data'!$B:$B,"custody",'caseload data'!$C:$C,$B$82)</f>
        <v>0</v>
      </c>
      <c r="Q83" s="107">
        <f>SUMIFS('caseload data'!S:S,'caseload data'!$B:$B,"custody",'caseload data'!$C:$C,$B$82)</f>
        <v>0</v>
      </c>
      <c r="R83" s="107">
        <f>SUMIFS('caseload data'!T:T,'caseload data'!$B:$B,"custody",'caseload data'!$C:$C,$B$82)</f>
        <v>0</v>
      </c>
      <c r="S83" s="107">
        <f>SUMIFS('caseload data'!$V:$V,'caseload data'!C:C,$B$82,'caseload data'!B:B,"custody")</f>
        <v>0</v>
      </c>
    </row>
    <row r="84" spans="2:19" x14ac:dyDescent="0.15">
      <c r="B84" s="87" t="s">
        <v>1191</v>
      </c>
      <c r="C84" s="87">
        <f>SUMIFS('caseload data'!E:E,'caseload data'!$B:$B,"licence",'caseload data'!$C:$C,$B$82)</f>
        <v>0</v>
      </c>
      <c r="D84" s="87">
        <f>SUMIFS('caseload data'!F:F,'caseload data'!$B:$B,"licence",'caseload data'!$C:$C,$B$82)</f>
        <v>0</v>
      </c>
      <c r="E84" s="87">
        <f>SUMIFS('caseload data'!G:G,'caseload data'!$B:$B,"licence",'caseload data'!$C:$C,$B$82)</f>
        <v>0</v>
      </c>
      <c r="F84" s="87">
        <f>SUMIFS('caseload data'!H:H,'caseload data'!$B:$B,"licence",'caseload data'!$C:$C,$B$82)</f>
        <v>0</v>
      </c>
      <c r="G84" s="87">
        <f>SUMIFS('caseload data'!I:I,'caseload data'!$B:$B,"licence",'caseload data'!$C:$C,$B$82)</f>
        <v>0</v>
      </c>
      <c r="H84" s="87">
        <f>SUMIFS('caseload data'!J:J,'caseload data'!$B:$B,"licence",'caseload data'!$C:$C,$B$82)</f>
        <v>0</v>
      </c>
      <c r="I84" s="87">
        <f>SUMIFS('caseload data'!K:K,'caseload data'!$B:$B,"licence",'caseload data'!$C:$C,$B$82)</f>
        <v>0</v>
      </c>
      <c r="J84" s="87">
        <f>SUMIFS('caseload data'!L:L,'caseload data'!$B:$B,"licence",'caseload data'!$C:$C,$B$82)</f>
        <v>0</v>
      </c>
      <c r="K84" s="87">
        <f>SUMIFS('caseload data'!M:M,'caseload data'!$B:$B,"licence",'caseload data'!$C:$C,$B$82)</f>
        <v>0</v>
      </c>
      <c r="L84" s="87">
        <f>SUMIFS('caseload data'!N:N,'caseload data'!$B:$B,"licence",'caseload data'!$C:$C,$B$82)</f>
        <v>0</v>
      </c>
      <c r="M84" s="87">
        <f>SUMIFS('caseload data'!O:O,'caseload data'!$B:$B,"licence",'caseload data'!$C:$C,$B$82)</f>
        <v>0</v>
      </c>
      <c r="N84" s="87">
        <f>SUMIFS('caseload data'!P:P,'caseload data'!$B:$B,"licence",'caseload data'!$C:$C,$B$82)</f>
        <v>0</v>
      </c>
      <c r="O84" s="87">
        <f>SUMIFS('caseload data'!Q:Q,'caseload data'!$B:$B,"licence",'caseload data'!$C:$C,$B$82)</f>
        <v>0</v>
      </c>
      <c r="P84" s="87">
        <f>SUMIFS('caseload data'!R:R,'caseload data'!$B:$B,"licence",'caseload data'!$C:$C,$B$82)</f>
        <v>0</v>
      </c>
      <c r="Q84" s="87">
        <f>SUMIFS('caseload data'!S:S,'caseload data'!$B:$B,"licence",'caseload data'!$C:$C,$B$82)</f>
        <v>0</v>
      </c>
      <c r="R84" s="87">
        <f>SUMIFS('caseload data'!T:T,'caseload data'!$B:$B,"licence",'caseload data'!$C:$C,$B$82)</f>
        <v>0</v>
      </c>
      <c r="S84" s="87">
        <f>SUMIFS('caseload data'!$V:$V,'caseload data'!C:C,$B$82,'caseload data'!B:B,"licence")</f>
        <v>0</v>
      </c>
    </row>
    <row r="85" spans="2:19" x14ac:dyDescent="0.15">
      <c r="B85" s="87" t="s">
        <v>1192</v>
      </c>
      <c r="C85" s="87">
        <f>SUMIFS('caseload data'!E:E,'caseload data'!$B:$B,"community",'caseload data'!$C:$C,$B$82)</f>
        <v>0</v>
      </c>
      <c r="D85" s="87">
        <f>SUMIFS('caseload data'!F:F,'caseload data'!$B:$B,"community",'caseload data'!$C:$C,$B$82)</f>
        <v>0</v>
      </c>
      <c r="E85" s="87">
        <f>SUMIFS('caseload data'!G:G,'caseload data'!$B:$B,"community",'caseload data'!$C:$C,$B$82)</f>
        <v>0</v>
      </c>
      <c r="F85" s="87">
        <f>SUMIFS('caseload data'!H:H,'caseload data'!$B:$B,"community",'caseload data'!$C:$C,$B$82)</f>
        <v>0</v>
      </c>
      <c r="G85" s="87">
        <f>SUMIFS('caseload data'!I:I,'caseload data'!$B:$B,"community",'caseload data'!$C:$C,$B$82)</f>
        <v>0</v>
      </c>
      <c r="H85" s="87">
        <f>SUMIFS('caseload data'!J:J,'caseload data'!$B:$B,"community",'caseload data'!$C:$C,$B$82)</f>
        <v>0</v>
      </c>
      <c r="I85" s="87">
        <f>SUMIFS('caseload data'!K:K,'caseload data'!$B:$B,"community",'caseload data'!$C:$C,$B$82)</f>
        <v>0</v>
      </c>
      <c r="J85" s="87">
        <f>SUMIFS('caseload data'!L:L,'caseload data'!$B:$B,"community",'caseload data'!$C:$C,$B$82)</f>
        <v>0</v>
      </c>
      <c r="K85" s="87">
        <f>SUMIFS('caseload data'!M:M,'caseload data'!$B:$B,"community",'caseload data'!$C:$C,$B$82)</f>
        <v>0</v>
      </c>
      <c r="L85" s="87">
        <f>SUMIFS('caseload data'!N:N,'caseload data'!$B:$B,"community",'caseload data'!$C:$C,$B$82)</f>
        <v>0</v>
      </c>
      <c r="M85" s="87">
        <f>SUMIFS('caseload data'!O:O,'caseload data'!$B:$B,"community",'caseload data'!$C:$C,$B$82)</f>
        <v>0</v>
      </c>
      <c r="N85" s="87">
        <f>SUMIFS('caseload data'!P:P,'caseload data'!$B:$B,"community",'caseload data'!$C:$C,$B$82)</f>
        <v>0</v>
      </c>
      <c r="O85" s="87">
        <f>SUMIFS('caseload data'!Q:Q,'caseload data'!$B:$B,"community",'caseload data'!$C:$C,$B$82)</f>
        <v>0</v>
      </c>
      <c r="P85" s="87">
        <f>SUMIFS('caseload data'!R:R,'caseload data'!$B:$B,"community",'caseload data'!$C:$C,$B$82)</f>
        <v>0</v>
      </c>
      <c r="Q85" s="87">
        <f>SUMIFS('caseload data'!S:S,'caseload data'!$B:$B,"community",'caseload data'!$C:$C,$B$82)</f>
        <v>0</v>
      </c>
      <c r="R85" s="87">
        <f>SUMIFS('caseload data'!T:T,'caseload data'!$B:$B,"community",'caseload data'!$C:$C,$B$82)</f>
        <v>0</v>
      </c>
      <c r="S85" s="87">
        <f>SUMIFS('caseload data'!$V:$V,'caseload data'!C:C,$B$82,'caseload data'!B:B,"community")</f>
        <v>0</v>
      </c>
    </row>
    <row r="86" spans="2:19" x14ac:dyDescent="0.15">
      <c r="B86" s="123" t="s">
        <v>1036</v>
      </c>
      <c r="C86" s="123">
        <f>SUMIF('caseload data'!$C:$C,$B$82,'caseload data'!E:E)</f>
        <v>0</v>
      </c>
      <c r="D86" s="123">
        <f>SUMIF('caseload data'!$C:$C,$B$82,'caseload data'!F:F)</f>
        <v>0</v>
      </c>
      <c r="E86" s="123">
        <f>SUMIF('caseload data'!$C:$C,$B$82,'caseload data'!G:G)</f>
        <v>0</v>
      </c>
      <c r="F86" s="123">
        <f>SUMIF('caseload data'!$C:$C,$B$82,'caseload data'!H:H)</f>
        <v>0</v>
      </c>
      <c r="G86" s="123">
        <f>SUMIF('caseload data'!$C:$C,$B$82,'caseload data'!I:I)</f>
        <v>0</v>
      </c>
      <c r="H86" s="123">
        <f>SUMIF('caseload data'!$C:$C,$B$82,'caseload data'!J:J)</f>
        <v>0</v>
      </c>
      <c r="I86" s="123">
        <f>SUMIF('caseload data'!$C:$C,$B$82,'caseload data'!K:K)</f>
        <v>0</v>
      </c>
      <c r="J86" s="123">
        <f>SUMIF('caseload data'!$C:$C,$B$82,'caseload data'!L:L)</f>
        <v>0</v>
      </c>
      <c r="K86" s="123">
        <f>SUMIF('caseload data'!$C:$C,$B$82,'caseload data'!M:M)</f>
        <v>0</v>
      </c>
      <c r="L86" s="123">
        <f>SUMIF('caseload data'!$C:$C,$B$82,'caseload data'!N:N)</f>
        <v>0</v>
      </c>
      <c r="M86" s="123">
        <f>SUMIF('caseload data'!$C:$C,$B$82,'caseload data'!O:O)</f>
        <v>0</v>
      </c>
      <c r="N86" s="123">
        <f>SUMIF('caseload data'!$C:$C,$B$82,'caseload data'!P:P)</f>
        <v>0</v>
      </c>
      <c r="O86" s="123">
        <f>SUMIF('caseload data'!$C:$C,$B$82,'caseload data'!Q:Q)</f>
        <v>0</v>
      </c>
      <c r="P86" s="123">
        <f>SUMIF('caseload data'!$C:$C,$B$82,'caseload data'!R:R)</f>
        <v>0</v>
      </c>
      <c r="Q86" s="123">
        <f>SUMIF('caseload data'!$C:$C,$B$82,'caseload data'!S:S)</f>
        <v>0</v>
      </c>
      <c r="R86" s="123">
        <f>SUMIF('caseload data'!$C:$C,$B$82,'caseload data'!T:T)</f>
        <v>0</v>
      </c>
      <c r="S86" s="123">
        <f>SUMIF('caseload data'!C:C,B82,'caseload data'!V:V)</f>
        <v>0</v>
      </c>
    </row>
    <row r="87" spans="2:19" ht="16" x14ac:dyDescent="0.2">
      <c r="E87" s="1"/>
      <c r="F87" s="1"/>
    </row>
    <row r="88" spans="2:19" ht="16" x14ac:dyDescent="0.2">
      <c r="B88" s="23"/>
      <c r="C88" s="271" t="s">
        <v>1221</v>
      </c>
      <c r="D88" s="272"/>
      <c r="E88" s="272"/>
      <c r="F88" s="272"/>
      <c r="G88" s="272"/>
      <c r="H88" s="272"/>
      <c r="I88" s="272"/>
      <c r="J88" s="272"/>
      <c r="K88" s="272"/>
      <c r="L88" s="272"/>
      <c r="M88" s="272"/>
      <c r="N88" s="272"/>
      <c r="O88" s="272"/>
      <c r="P88" s="272"/>
      <c r="Q88" s="272"/>
      <c r="R88" s="272"/>
    </row>
    <row r="89" spans="2:19" x14ac:dyDescent="0.15">
      <c r="B89" s="127" t="str">
        <f>B6</f>
        <v>Dyfed Powys</v>
      </c>
      <c r="C89" s="42" t="s">
        <v>1019</v>
      </c>
      <c r="D89" s="42" t="s">
        <v>1020</v>
      </c>
      <c r="E89" s="42" t="s">
        <v>1021</v>
      </c>
      <c r="F89" s="42" t="s">
        <v>1022</v>
      </c>
      <c r="G89" s="42" t="s">
        <v>1023</v>
      </c>
      <c r="H89" s="42" t="s">
        <v>1024</v>
      </c>
      <c r="I89" s="42" t="s">
        <v>1025</v>
      </c>
      <c r="J89" s="42" t="s">
        <v>1026</v>
      </c>
      <c r="K89" s="42" t="s">
        <v>1027</v>
      </c>
      <c r="L89" s="42" t="s">
        <v>1028</v>
      </c>
      <c r="M89" s="42" t="s">
        <v>1029</v>
      </c>
      <c r="N89" s="42" t="s">
        <v>1030</v>
      </c>
      <c r="O89" s="42" t="s">
        <v>1031</v>
      </c>
      <c r="P89" s="42" t="s">
        <v>1032</v>
      </c>
      <c r="Q89" s="42" t="s">
        <v>1033</v>
      </c>
      <c r="R89" s="42" t="s">
        <v>1034</v>
      </c>
    </row>
    <row r="90" spans="2:19" x14ac:dyDescent="0.15">
      <c r="B90" s="87" t="s">
        <v>1190</v>
      </c>
      <c r="C90" s="78" t="e">
        <f t="shared" ref="C90:P90" si="0">C83/$S$83</f>
        <v>#DIV/0!</v>
      </c>
      <c r="D90" s="78" t="e">
        <f t="shared" si="0"/>
        <v>#DIV/0!</v>
      </c>
      <c r="E90" s="78" t="e">
        <f t="shared" si="0"/>
        <v>#DIV/0!</v>
      </c>
      <c r="F90" s="78" t="e">
        <f t="shared" si="0"/>
        <v>#DIV/0!</v>
      </c>
      <c r="G90" s="78" t="e">
        <f t="shared" si="0"/>
        <v>#DIV/0!</v>
      </c>
      <c r="H90" s="78" t="e">
        <f t="shared" si="0"/>
        <v>#DIV/0!</v>
      </c>
      <c r="I90" s="78" t="e">
        <f t="shared" si="0"/>
        <v>#DIV/0!</v>
      </c>
      <c r="J90" s="78" t="e">
        <f t="shared" si="0"/>
        <v>#DIV/0!</v>
      </c>
      <c r="K90" s="78" t="e">
        <f t="shared" si="0"/>
        <v>#DIV/0!</v>
      </c>
      <c r="L90" s="78" t="e">
        <f t="shared" si="0"/>
        <v>#DIV/0!</v>
      </c>
      <c r="M90" s="78" t="e">
        <f t="shared" si="0"/>
        <v>#DIV/0!</v>
      </c>
      <c r="N90" s="78" t="e">
        <f t="shared" si="0"/>
        <v>#DIV/0!</v>
      </c>
      <c r="O90" s="78" t="e">
        <f t="shared" si="0"/>
        <v>#DIV/0!</v>
      </c>
      <c r="P90" s="78" t="e">
        <f t="shared" si="0"/>
        <v>#DIV/0!</v>
      </c>
      <c r="Q90" s="78" t="e">
        <f t="shared" ref="Q90:R90" si="1">Q83/$S$83</f>
        <v>#DIV/0!</v>
      </c>
      <c r="R90" s="78" t="e">
        <f t="shared" si="1"/>
        <v>#DIV/0!</v>
      </c>
    </row>
    <row r="91" spans="2:19" x14ac:dyDescent="0.15">
      <c r="B91" s="87" t="s">
        <v>1191</v>
      </c>
      <c r="C91" s="78" t="e">
        <f>C84/$S$83</f>
        <v>#DIV/0!</v>
      </c>
      <c r="D91" s="78" t="e">
        <f t="shared" ref="D91:P91" si="2">D84/$S$84</f>
        <v>#DIV/0!</v>
      </c>
      <c r="E91" s="78" t="e">
        <f t="shared" si="2"/>
        <v>#DIV/0!</v>
      </c>
      <c r="F91" s="78" t="e">
        <f t="shared" si="2"/>
        <v>#DIV/0!</v>
      </c>
      <c r="G91" s="78" t="e">
        <f t="shared" si="2"/>
        <v>#DIV/0!</v>
      </c>
      <c r="H91" s="78" t="e">
        <f t="shared" si="2"/>
        <v>#DIV/0!</v>
      </c>
      <c r="I91" s="78" t="e">
        <f t="shared" si="2"/>
        <v>#DIV/0!</v>
      </c>
      <c r="J91" s="78" t="e">
        <f t="shared" si="2"/>
        <v>#DIV/0!</v>
      </c>
      <c r="K91" s="78" t="e">
        <f t="shared" si="2"/>
        <v>#DIV/0!</v>
      </c>
      <c r="L91" s="78" t="e">
        <f t="shared" si="2"/>
        <v>#DIV/0!</v>
      </c>
      <c r="M91" s="78" t="e">
        <f t="shared" si="2"/>
        <v>#DIV/0!</v>
      </c>
      <c r="N91" s="78" t="e">
        <f t="shared" si="2"/>
        <v>#DIV/0!</v>
      </c>
      <c r="O91" s="78" t="e">
        <f t="shared" si="2"/>
        <v>#DIV/0!</v>
      </c>
      <c r="P91" s="78" t="e">
        <f t="shared" si="2"/>
        <v>#DIV/0!</v>
      </c>
      <c r="Q91" s="78" t="e">
        <f t="shared" ref="Q91:R91" si="3">Q84/$S$84</f>
        <v>#DIV/0!</v>
      </c>
      <c r="R91" s="78" t="e">
        <f t="shared" si="3"/>
        <v>#DIV/0!</v>
      </c>
    </row>
    <row r="92" spans="2:19" ht="15.75" customHeight="1" x14ac:dyDescent="0.15">
      <c r="B92" s="87" t="s">
        <v>1192</v>
      </c>
      <c r="C92" s="78" t="e">
        <f>C85/$S$83</f>
        <v>#DIV/0!</v>
      </c>
      <c r="D92" s="78" t="e">
        <f t="shared" ref="D92:P92" si="4">D85/$S$85</f>
        <v>#DIV/0!</v>
      </c>
      <c r="E92" s="78" t="e">
        <f t="shared" si="4"/>
        <v>#DIV/0!</v>
      </c>
      <c r="F92" s="78" t="e">
        <f t="shared" si="4"/>
        <v>#DIV/0!</v>
      </c>
      <c r="G92" s="78" t="e">
        <f t="shared" si="4"/>
        <v>#DIV/0!</v>
      </c>
      <c r="H92" s="78" t="e">
        <f t="shared" si="4"/>
        <v>#DIV/0!</v>
      </c>
      <c r="I92" s="78" t="e">
        <f t="shared" si="4"/>
        <v>#DIV/0!</v>
      </c>
      <c r="J92" s="78" t="e">
        <f t="shared" si="4"/>
        <v>#DIV/0!</v>
      </c>
      <c r="K92" s="78" t="e">
        <f t="shared" si="4"/>
        <v>#DIV/0!</v>
      </c>
      <c r="L92" s="78" t="e">
        <f t="shared" si="4"/>
        <v>#DIV/0!</v>
      </c>
      <c r="M92" s="78" t="e">
        <f t="shared" si="4"/>
        <v>#DIV/0!</v>
      </c>
      <c r="N92" s="78" t="e">
        <f t="shared" si="4"/>
        <v>#DIV/0!</v>
      </c>
      <c r="O92" s="78" t="e">
        <f t="shared" si="4"/>
        <v>#DIV/0!</v>
      </c>
      <c r="P92" s="78" t="e">
        <f t="shared" si="4"/>
        <v>#DIV/0!</v>
      </c>
      <c r="Q92" s="78" t="e">
        <f t="shared" ref="Q92:R92" si="5">Q85/$S$85</f>
        <v>#DIV/0!</v>
      </c>
      <c r="R92" s="78" t="e">
        <f t="shared" si="5"/>
        <v>#DIV/0!</v>
      </c>
    </row>
    <row r="93" spans="2:19" ht="14.25" customHeight="1" x14ac:dyDescent="0.15">
      <c r="B93" s="123" t="s">
        <v>1036</v>
      </c>
      <c r="C93" s="128" t="e">
        <f t="shared" ref="C93:P93" si="6">C86/$S$86</f>
        <v>#DIV/0!</v>
      </c>
      <c r="D93" s="128" t="e">
        <f t="shared" si="6"/>
        <v>#DIV/0!</v>
      </c>
      <c r="E93" s="128" t="e">
        <f t="shared" si="6"/>
        <v>#DIV/0!</v>
      </c>
      <c r="F93" s="128" t="e">
        <f t="shared" si="6"/>
        <v>#DIV/0!</v>
      </c>
      <c r="G93" s="128" t="e">
        <f t="shared" si="6"/>
        <v>#DIV/0!</v>
      </c>
      <c r="H93" s="128" t="e">
        <f t="shared" si="6"/>
        <v>#DIV/0!</v>
      </c>
      <c r="I93" s="128" t="e">
        <f t="shared" si="6"/>
        <v>#DIV/0!</v>
      </c>
      <c r="J93" s="128" t="e">
        <f t="shared" si="6"/>
        <v>#DIV/0!</v>
      </c>
      <c r="K93" s="128" t="e">
        <f t="shared" si="6"/>
        <v>#DIV/0!</v>
      </c>
      <c r="L93" s="128" t="e">
        <f t="shared" si="6"/>
        <v>#DIV/0!</v>
      </c>
      <c r="M93" s="128" t="e">
        <f t="shared" si="6"/>
        <v>#DIV/0!</v>
      </c>
      <c r="N93" s="128" t="e">
        <f t="shared" si="6"/>
        <v>#DIV/0!</v>
      </c>
      <c r="O93" s="128" t="e">
        <f t="shared" si="6"/>
        <v>#DIV/0!</v>
      </c>
      <c r="P93" s="128" t="e">
        <f t="shared" si="6"/>
        <v>#DIV/0!</v>
      </c>
      <c r="Q93" s="128" t="e">
        <f t="shared" ref="Q93:R93" si="7">Q86/$S$86</f>
        <v>#DIV/0!</v>
      </c>
      <c r="R93" s="128" t="e">
        <f t="shared" si="7"/>
        <v>#DIV/0!</v>
      </c>
    </row>
    <row r="94" spans="2:19" ht="14.25" customHeight="1" x14ac:dyDescent="0.15"/>
    <row r="95" spans="2:19" ht="14.25" customHeight="1" x14ac:dyDescent="0.15"/>
    <row r="96" spans="2:19" ht="14.25" customHeight="1" x14ac:dyDescent="0.15"/>
    <row r="97" spans="2:37" ht="16" x14ac:dyDescent="0.2">
      <c r="B97" s="127" t="str">
        <f>B6</f>
        <v>Dyfed Powys</v>
      </c>
      <c r="C97" s="286" t="s">
        <v>1197</v>
      </c>
      <c r="D97" s="287"/>
      <c r="E97" s="287"/>
      <c r="F97" s="287"/>
      <c r="G97" s="287"/>
      <c r="H97" s="287"/>
      <c r="I97" s="287"/>
      <c r="J97" s="287"/>
      <c r="K97" s="287"/>
      <c r="L97" s="287"/>
      <c r="M97" s="287"/>
      <c r="N97" s="287"/>
      <c r="O97" s="287"/>
      <c r="P97" s="287"/>
      <c r="Q97" s="287"/>
      <c r="R97" s="287"/>
      <c r="U97" s="127" t="str">
        <f>B6</f>
        <v>Dyfed Powys</v>
      </c>
      <c r="V97" s="286" t="s">
        <v>1222</v>
      </c>
      <c r="W97" s="287"/>
      <c r="X97" s="287"/>
      <c r="Y97" s="287"/>
      <c r="Z97" s="287"/>
      <c r="AA97" s="287"/>
      <c r="AB97" s="287"/>
      <c r="AC97" s="287"/>
      <c r="AD97" s="287"/>
      <c r="AE97" s="287"/>
      <c r="AF97" s="287"/>
      <c r="AG97" s="287"/>
      <c r="AH97" s="287"/>
      <c r="AI97" s="287"/>
      <c r="AJ97" s="287"/>
      <c r="AK97" s="287"/>
    </row>
    <row r="98" spans="2:37" ht="14.25" customHeight="1" x14ac:dyDescent="0.15">
      <c r="C98" s="42" t="s">
        <v>1019</v>
      </c>
      <c r="D98" s="42" t="s">
        <v>1020</v>
      </c>
      <c r="E98" s="42" t="s">
        <v>1021</v>
      </c>
      <c r="F98" s="42" t="s">
        <v>1022</v>
      </c>
      <c r="G98" s="42" t="s">
        <v>1023</v>
      </c>
      <c r="H98" s="42" t="s">
        <v>1024</v>
      </c>
      <c r="I98" s="42" t="s">
        <v>1025</v>
      </c>
      <c r="J98" s="42" t="s">
        <v>1026</v>
      </c>
      <c r="K98" s="42" t="s">
        <v>1027</v>
      </c>
      <c r="L98" s="42" t="s">
        <v>1028</v>
      </c>
      <c r="M98" s="42" t="s">
        <v>1029</v>
      </c>
      <c r="N98" s="42" t="s">
        <v>1030</v>
      </c>
      <c r="O98" s="42" t="s">
        <v>1031</v>
      </c>
      <c r="P98" s="42" t="s">
        <v>1032</v>
      </c>
      <c r="Q98" s="42" t="s">
        <v>1033</v>
      </c>
      <c r="R98" s="42" t="s">
        <v>1034</v>
      </c>
      <c r="U98" s="108" t="s">
        <v>1199</v>
      </c>
      <c r="V98" s="42" t="s">
        <v>1019</v>
      </c>
      <c r="W98" s="42" t="s">
        <v>1020</v>
      </c>
      <c r="X98" s="42" t="s">
        <v>1021</v>
      </c>
      <c r="Y98" s="42" t="s">
        <v>1022</v>
      </c>
      <c r="Z98" s="42" t="s">
        <v>1023</v>
      </c>
      <c r="AA98" s="42" t="s">
        <v>1024</v>
      </c>
      <c r="AB98" s="42" t="s">
        <v>1025</v>
      </c>
      <c r="AC98" s="42" t="s">
        <v>1026</v>
      </c>
      <c r="AD98" s="42" t="s">
        <v>1027</v>
      </c>
      <c r="AE98" s="42" t="s">
        <v>1028</v>
      </c>
      <c r="AF98" s="42" t="s">
        <v>1029</v>
      </c>
      <c r="AG98" s="42" t="s">
        <v>1030</v>
      </c>
      <c r="AH98" s="42" t="s">
        <v>1031</v>
      </c>
      <c r="AI98" s="42" t="s">
        <v>1032</v>
      </c>
      <c r="AJ98" s="42" t="s">
        <v>1033</v>
      </c>
      <c r="AK98" s="42" t="s">
        <v>1034</v>
      </c>
    </row>
    <row r="99" spans="2:37" ht="14.25" customHeight="1" x14ac:dyDescent="0.15">
      <c r="B99" s="87" t="s">
        <v>1037</v>
      </c>
      <c r="C99" s="87">
        <f>SUMIFS('caseload data'!E:E,'caseload data'!$D:$D,"PO",'caseload data'!$C:$C,'cluster overview'!$B$97,'caseload data'!$B:$B,"community")</f>
        <v>0</v>
      </c>
      <c r="D99" s="87">
        <f>SUMIFS('caseload data'!F:F,'caseload data'!$D:$D,"PO",'caseload data'!$C:$C,'cluster overview'!$B$97,'caseload data'!$B:$B,"community")</f>
        <v>0</v>
      </c>
      <c r="E99" s="87">
        <f>SUMIFS('caseload data'!G:G,'caseload data'!$D:$D,"PO",'caseload data'!$C:$C,'cluster overview'!$B$97,'caseload data'!$B:$B,"community")</f>
        <v>0</v>
      </c>
      <c r="F99" s="87">
        <f>SUMIFS('caseload data'!H:H,'caseload data'!$D:$D,"PO",'caseload data'!$C:$C,'cluster overview'!$B$97,'caseload data'!$B:$B,"community")</f>
        <v>0</v>
      </c>
      <c r="G99" s="87">
        <f>SUMIFS('caseload data'!I:I,'caseload data'!$D:$D,"PO",'caseload data'!$C:$C,'cluster overview'!$B$97,'caseload data'!$B:$B,"community")</f>
        <v>0</v>
      </c>
      <c r="H99" s="87">
        <f>SUMIFS('caseload data'!J:J,'caseload data'!$D:$D,"PO",'caseload data'!$C:$C,'cluster overview'!$B$97,'caseload data'!$B:$B,"community")</f>
        <v>0</v>
      </c>
      <c r="I99" s="87">
        <f>SUMIFS('caseload data'!K:K,'caseload data'!$D:$D,"PO",'caseload data'!$C:$C,'cluster overview'!$B$97,'caseload data'!$B:$B,"community")</f>
        <v>0</v>
      </c>
      <c r="J99" s="87">
        <f>SUMIFS('caseload data'!L:L,'caseload data'!$D:$D,"PO",'caseload data'!$C:$C,'cluster overview'!$B$97,'caseload data'!$B:$B,"community")</f>
        <v>0</v>
      </c>
      <c r="K99" s="87">
        <f>SUMIFS('caseload data'!M:M,'caseload data'!$D:$D,"PO",'caseload data'!$C:$C,'cluster overview'!$B$97,'caseload data'!$B:$B,"community")</f>
        <v>0</v>
      </c>
      <c r="L99" s="87">
        <f>SUMIFS('caseload data'!N:N,'caseload data'!$D:$D,"PO",'caseload data'!$C:$C,'cluster overview'!$B$97,'caseload data'!$B:$B,"community")</f>
        <v>0</v>
      </c>
      <c r="M99" s="87">
        <f>SUMIFS('caseload data'!O:O,'caseload data'!$D:$D,"PO",'caseload data'!$C:$C,'cluster overview'!$B$97,'caseload data'!$B:$B,"community")</f>
        <v>0</v>
      </c>
      <c r="N99" s="87">
        <f>SUMIFS('caseload data'!P:P,'caseload data'!$D:$D,"PO",'caseload data'!$C:$C,'cluster overview'!$B$97,'caseload data'!$B:$B,"community")</f>
        <v>0</v>
      </c>
      <c r="O99" s="87">
        <f>SUMIFS('caseload data'!Q:Q,'caseload data'!$D:$D,"PO",'caseload data'!$C:$C,'cluster overview'!$B$97,'caseload data'!$B:$B,"community")</f>
        <v>0</v>
      </c>
      <c r="P99" s="87">
        <f>SUMIFS('caseload data'!R:R,'caseload data'!$D:$D,"PO",'caseload data'!$C:$C,'cluster overview'!$B$97,'caseload data'!$B:$B,"community")</f>
        <v>0</v>
      </c>
      <c r="Q99" s="87">
        <f>SUMIFS('caseload data'!S:S,'caseload data'!$D:$D,"PO",'caseload data'!$C:$C,'cluster overview'!$B$97,'caseload data'!$B:$B,"community")</f>
        <v>0</v>
      </c>
      <c r="R99" s="87">
        <f>SUMIFS('caseload data'!T:T,'caseload data'!$D:$D,"PO",'caseload data'!$C:$C,'cluster overview'!$B$97,'caseload data'!$B:$B,"community")</f>
        <v>0</v>
      </c>
      <c r="U99" s="87" t="s">
        <v>1037</v>
      </c>
      <c r="V99" s="79" t="str">
        <f>IFERROR(C$99/SUM(C$99:C$102),"")</f>
        <v/>
      </c>
      <c r="W99" s="79" t="str">
        <f t="shared" ref="W99:AK99" si="8">IFERROR(D$99/SUM(D$99:D$102),"")</f>
        <v/>
      </c>
      <c r="X99" s="79" t="str">
        <f t="shared" si="8"/>
        <v/>
      </c>
      <c r="Y99" s="79" t="str">
        <f t="shared" si="8"/>
        <v/>
      </c>
      <c r="Z99" s="79" t="str">
        <f t="shared" si="8"/>
        <v/>
      </c>
      <c r="AA99" s="79" t="str">
        <f t="shared" si="8"/>
        <v/>
      </c>
      <c r="AB99" s="79" t="str">
        <f t="shared" si="8"/>
        <v/>
      </c>
      <c r="AC99" s="79" t="str">
        <f t="shared" si="8"/>
        <v/>
      </c>
      <c r="AD99" s="79" t="str">
        <f t="shared" si="8"/>
        <v/>
      </c>
      <c r="AE99" s="79" t="str">
        <f t="shared" si="8"/>
        <v/>
      </c>
      <c r="AF99" s="79" t="str">
        <f t="shared" si="8"/>
        <v/>
      </c>
      <c r="AG99" s="79" t="str">
        <f t="shared" si="8"/>
        <v/>
      </c>
      <c r="AH99" s="79" t="str">
        <f t="shared" si="8"/>
        <v/>
      </c>
      <c r="AI99" s="79" t="str">
        <f t="shared" si="8"/>
        <v/>
      </c>
      <c r="AJ99" s="79" t="str">
        <f t="shared" si="8"/>
        <v/>
      </c>
      <c r="AK99" s="79" t="str">
        <f t="shared" si="8"/>
        <v/>
      </c>
    </row>
    <row r="100" spans="2:37" ht="14.25" customHeight="1" x14ac:dyDescent="0.15">
      <c r="B100" s="87" t="s">
        <v>1038</v>
      </c>
      <c r="C100" s="87">
        <f>SUMIFS('caseload data'!E:E,'caseload data'!$D:$D,"PSO",'caseload data'!$C:$C,'cluster overview'!$B$97,'caseload data'!$B:$B,"community")</f>
        <v>0</v>
      </c>
      <c r="D100" s="87">
        <f>SUMIFS('caseload data'!F:F,'caseload data'!$D:$D,"PSO",'caseload data'!$C:$C,'cluster overview'!$B$97,'caseload data'!$B:$B,"community")</f>
        <v>0</v>
      </c>
      <c r="E100" s="87">
        <f>SUMIFS('caseload data'!G:G,'caseload data'!$D:$D,"PSO",'caseload data'!$C:$C,'cluster overview'!$B$97,'caseload data'!$B:$B,"community")</f>
        <v>0</v>
      </c>
      <c r="F100" s="87">
        <f>SUMIFS('caseload data'!H:H,'caseload data'!$D:$D,"PSO",'caseload data'!$C:$C,'cluster overview'!$B$97,'caseload data'!$B:$B,"community")</f>
        <v>0</v>
      </c>
      <c r="G100" s="87">
        <f>SUMIFS('caseload data'!I:I,'caseload data'!$D:$D,"PSO",'caseload data'!$C:$C,'cluster overview'!$B$97,'caseload data'!$B:$B,"community")</f>
        <v>0</v>
      </c>
      <c r="H100" s="87">
        <f>SUMIFS('caseload data'!J:J,'caseload data'!$D:$D,"PSO",'caseload data'!$C:$C,'cluster overview'!$B$97,'caseload data'!$B:$B,"community")</f>
        <v>0</v>
      </c>
      <c r="I100" s="87">
        <f>SUMIFS('caseload data'!K:K,'caseload data'!$D:$D,"PSO",'caseload data'!$C:$C,'cluster overview'!$B$97,'caseload data'!$B:$B,"community")</f>
        <v>0</v>
      </c>
      <c r="J100" s="87">
        <f>SUMIFS('caseload data'!L:L,'caseload data'!$D:$D,"PSO",'caseload data'!$C:$C,'cluster overview'!$B$97,'caseload data'!$B:$B,"community")</f>
        <v>0</v>
      </c>
      <c r="K100" s="87">
        <f>SUMIFS('caseload data'!M:M,'caseload data'!$D:$D,"PSO",'caseload data'!$C:$C,'cluster overview'!$B$97,'caseload data'!$B:$B,"community")</f>
        <v>0</v>
      </c>
      <c r="L100" s="87">
        <f>SUMIFS('caseload data'!N:N,'caseload data'!$D:$D,"PSO",'caseload data'!$C:$C,'cluster overview'!$B$97,'caseload data'!$B:$B,"community")</f>
        <v>0</v>
      </c>
      <c r="M100" s="87">
        <f>SUMIFS('caseload data'!O:O,'caseload data'!$D:$D,"PSO",'caseload data'!$C:$C,'cluster overview'!$B$97,'caseload data'!$B:$B,"community")</f>
        <v>0</v>
      </c>
      <c r="N100" s="87">
        <f>SUMIFS('caseload data'!P:P,'caseload data'!$D:$D,"PSO",'caseload data'!$C:$C,'cluster overview'!$B$97,'caseload data'!$B:$B,"community")</f>
        <v>0</v>
      </c>
      <c r="O100" s="87">
        <f>SUMIFS('caseload data'!Q:Q,'caseload data'!$D:$D,"PSO",'caseload data'!$C:$C,'cluster overview'!$B$97,'caseload data'!$B:$B,"community")</f>
        <v>0</v>
      </c>
      <c r="P100" s="87">
        <f>SUMIFS('caseload data'!R:R,'caseload data'!$D:$D,"PSO",'caseload data'!$C:$C,'cluster overview'!$B$97,'caseload data'!$B:$B,"community")</f>
        <v>0</v>
      </c>
      <c r="Q100" s="87">
        <f>SUMIFS('caseload data'!S:S,'caseload data'!$D:$D,"PSO",'caseload data'!$C:$C,'cluster overview'!$B$97,'caseload data'!$B:$B,"community")</f>
        <v>0</v>
      </c>
      <c r="R100" s="87">
        <f>SUMIFS('caseload data'!T:T,'caseload data'!$D:$D,"PSO",'caseload data'!$C:$C,'cluster overview'!$B$97,'caseload data'!$B:$B,"community")</f>
        <v>0</v>
      </c>
      <c r="U100" s="87" t="s">
        <v>1038</v>
      </c>
      <c r="V100" s="79" t="str">
        <f>IFERROR(C$100/SUM(C$99:C$102),"")</f>
        <v/>
      </c>
      <c r="W100" s="79" t="str">
        <f t="shared" ref="W100:AK100" si="9">IFERROR(D$100/SUM(D$99:D$102),"")</f>
        <v/>
      </c>
      <c r="X100" s="79" t="str">
        <f t="shared" si="9"/>
        <v/>
      </c>
      <c r="Y100" s="79" t="str">
        <f t="shared" si="9"/>
        <v/>
      </c>
      <c r="Z100" s="79" t="str">
        <f t="shared" si="9"/>
        <v/>
      </c>
      <c r="AA100" s="79" t="str">
        <f t="shared" si="9"/>
        <v/>
      </c>
      <c r="AB100" s="79" t="str">
        <f t="shared" si="9"/>
        <v/>
      </c>
      <c r="AC100" s="79" t="str">
        <f t="shared" si="9"/>
        <v/>
      </c>
      <c r="AD100" s="79" t="str">
        <f t="shared" si="9"/>
        <v/>
      </c>
      <c r="AE100" s="79" t="str">
        <f t="shared" si="9"/>
        <v/>
      </c>
      <c r="AF100" s="79" t="str">
        <f t="shared" si="9"/>
        <v/>
      </c>
      <c r="AG100" s="79" t="str">
        <f t="shared" si="9"/>
        <v/>
      </c>
      <c r="AH100" s="79" t="str">
        <f t="shared" si="9"/>
        <v/>
      </c>
      <c r="AI100" s="79" t="str">
        <f t="shared" si="9"/>
        <v/>
      </c>
      <c r="AJ100" s="79" t="str">
        <f t="shared" si="9"/>
        <v/>
      </c>
      <c r="AK100" s="79" t="str">
        <f t="shared" si="9"/>
        <v/>
      </c>
    </row>
    <row r="101" spans="2:37" ht="14.25" customHeight="1" x14ac:dyDescent="0.15">
      <c r="B101" s="87" t="s">
        <v>1039</v>
      </c>
      <c r="C101" s="87">
        <f>SUMIFS('caseload data'!E:E,'caseload data'!$D:$D,"TPO",'caseload data'!$C:$C,'cluster overview'!$B$97,'caseload data'!$B:$B,"community")</f>
        <v>0</v>
      </c>
      <c r="D101" s="87">
        <f>SUMIFS('caseload data'!F:F,'caseload data'!$D:$D,"TPO",'caseload data'!$C:$C,'cluster overview'!$B$97,'caseload data'!$B:$B,"community")</f>
        <v>0</v>
      </c>
      <c r="E101" s="87">
        <f>SUMIFS('caseload data'!G:G,'caseload data'!$D:$D,"TPO",'caseload data'!$C:$C,'cluster overview'!$B$97,'caseload data'!$B:$B,"community")</f>
        <v>0</v>
      </c>
      <c r="F101" s="87">
        <f>SUMIFS('caseload data'!H:H,'caseload data'!$D:$D,"TPO",'caseload data'!$C:$C,'cluster overview'!$B$97,'caseload data'!$B:$B,"community")</f>
        <v>0</v>
      </c>
      <c r="G101" s="87">
        <f>SUMIFS('caseload data'!I:I,'caseload data'!$D:$D,"TPO",'caseload data'!$C:$C,'cluster overview'!$B$97,'caseload data'!$B:$B,"community")</f>
        <v>0</v>
      </c>
      <c r="H101" s="87">
        <f>SUMIFS('caseload data'!J:J,'caseload data'!$D:$D,"TPO",'caseload data'!$C:$C,'cluster overview'!$B$97,'caseload data'!$B:$B,"community")</f>
        <v>0</v>
      </c>
      <c r="I101" s="87">
        <f>SUMIFS('caseload data'!K:K,'caseload data'!$D:$D,"TPO",'caseload data'!$C:$C,'cluster overview'!$B$97,'caseload data'!$B:$B,"community")</f>
        <v>0</v>
      </c>
      <c r="J101" s="87">
        <f>SUMIFS('caseload data'!L:L,'caseload data'!$D:$D,"TPO",'caseload data'!$C:$C,'cluster overview'!$B$97,'caseload data'!$B:$B,"community")</f>
        <v>0</v>
      </c>
      <c r="K101" s="87">
        <f>SUMIFS('caseload data'!M:M,'caseload data'!$D:$D,"TPO",'caseload data'!$C:$C,'cluster overview'!$B$97,'caseload data'!$B:$B,"community")</f>
        <v>0</v>
      </c>
      <c r="L101" s="87">
        <f>SUMIFS('caseload data'!N:N,'caseload data'!$D:$D,"TPO",'caseload data'!$C:$C,'cluster overview'!$B$97,'caseload data'!$B:$B,"community")</f>
        <v>0</v>
      </c>
      <c r="M101" s="87">
        <f>SUMIFS('caseload data'!O:O,'caseload data'!$D:$D,"TPO",'caseload data'!$C:$C,'cluster overview'!$B$97,'caseload data'!$B:$B,"community")</f>
        <v>0</v>
      </c>
      <c r="N101" s="87">
        <f>SUMIFS('caseload data'!P:P,'caseload data'!$D:$D,"TPO",'caseload data'!$C:$C,'cluster overview'!$B$97,'caseload data'!$B:$B,"community")</f>
        <v>0</v>
      </c>
      <c r="O101" s="87">
        <f>SUMIFS('caseload data'!Q:Q,'caseload data'!$D:$D,"TPO",'caseload data'!$C:$C,'cluster overview'!$B$97,'caseload data'!$B:$B,"community")</f>
        <v>0</v>
      </c>
      <c r="P101" s="87">
        <f>SUMIFS('caseload data'!R:R,'caseload data'!$D:$D,"TPO",'caseload data'!$C:$C,'cluster overview'!$B$97,'caseload data'!$B:$B,"community")</f>
        <v>0</v>
      </c>
      <c r="Q101" s="87">
        <f>SUMIFS('caseload data'!S:S,'caseload data'!$D:$D,"TPO",'caseload data'!$C:$C,'cluster overview'!$B$97,'caseload data'!$B:$B,"community")</f>
        <v>0</v>
      </c>
      <c r="R101" s="87">
        <f>SUMIFS('caseload data'!T:T,'caseload data'!$D:$D,"TPO",'caseload data'!$C:$C,'cluster overview'!$B$97,'caseload data'!$B:$B,"community")</f>
        <v>0</v>
      </c>
      <c r="U101" s="87" t="s">
        <v>1039</v>
      </c>
      <c r="V101" s="79" t="str">
        <f>IFERROR(C$101/SUM(C$99:C$102),"")</f>
        <v/>
      </c>
      <c r="W101" s="79" t="str">
        <f t="shared" ref="W101:AK101" si="10">IFERROR(D$101/SUM(D$99:D$102),"")</f>
        <v/>
      </c>
      <c r="X101" s="79" t="str">
        <f t="shared" si="10"/>
        <v/>
      </c>
      <c r="Y101" s="79" t="str">
        <f t="shared" si="10"/>
        <v/>
      </c>
      <c r="Z101" s="79" t="str">
        <f t="shared" si="10"/>
        <v/>
      </c>
      <c r="AA101" s="79" t="str">
        <f t="shared" si="10"/>
        <v/>
      </c>
      <c r="AB101" s="79" t="str">
        <f t="shared" si="10"/>
        <v/>
      </c>
      <c r="AC101" s="79" t="str">
        <f t="shared" si="10"/>
        <v/>
      </c>
      <c r="AD101" s="79" t="str">
        <f t="shared" si="10"/>
        <v/>
      </c>
      <c r="AE101" s="79" t="str">
        <f t="shared" si="10"/>
        <v/>
      </c>
      <c r="AF101" s="79" t="str">
        <f t="shared" si="10"/>
        <v/>
      </c>
      <c r="AG101" s="79" t="str">
        <f t="shared" si="10"/>
        <v/>
      </c>
      <c r="AH101" s="79" t="str">
        <f t="shared" si="10"/>
        <v/>
      </c>
      <c r="AI101" s="79" t="str">
        <f t="shared" si="10"/>
        <v/>
      </c>
      <c r="AJ101" s="79" t="str">
        <f t="shared" si="10"/>
        <v/>
      </c>
      <c r="AK101" s="79" t="str">
        <f t="shared" si="10"/>
        <v/>
      </c>
    </row>
    <row r="102" spans="2:37" ht="14.25" customHeight="1" x14ac:dyDescent="0.15">
      <c r="B102" s="87" t="s">
        <v>1040</v>
      </c>
      <c r="C102" s="87">
        <f>SUMIFS('caseload data'!E:E,'caseload data'!$D:$D,"SPO",'caseload data'!$C:$C,'cluster overview'!$B$97,'caseload data'!$B:$B,"community")</f>
        <v>0</v>
      </c>
      <c r="D102" s="87">
        <f>SUMIFS('caseload data'!F:F,'caseload data'!$D:$D,"SPO",'caseload data'!$C:$C,'cluster overview'!$B$97,'caseload data'!$B:$B,"community")</f>
        <v>0</v>
      </c>
      <c r="E102" s="87">
        <f>SUMIFS('caseload data'!G:G,'caseload data'!$D:$D,"SPO",'caseload data'!$C:$C,'cluster overview'!$B$97,'caseload data'!$B:$B,"community")</f>
        <v>0</v>
      </c>
      <c r="F102" s="87">
        <f>SUMIFS('caseload data'!H:H,'caseload data'!$D:$D,"SPO",'caseload data'!$C:$C,'cluster overview'!$B$97,'caseload data'!$B:$B,"community")</f>
        <v>0</v>
      </c>
      <c r="G102" s="87">
        <f>SUMIFS('caseload data'!I:I,'caseload data'!$D:$D,"SPO",'caseload data'!$C:$C,'cluster overview'!$B$97,'caseload data'!$B:$B,"community")</f>
        <v>0</v>
      </c>
      <c r="H102" s="87">
        <f>SUMIFS('caseload data'!J:J,'caseload data'!$D:$D,"SPO",'caseload data'!$C:$C,'cluster overview'!$B$97,'caseload data'!$B:$B,"community")</f>
        <v>0</v>
      </c>
      <c r="I102" s="87">
        <f>SUMIFS('caseload data'!K:K,'caseload data'!$D:$D,"SPO",'caseload data'!$C:$C,'cluster overview'!$B$97,'caseload data'!$B:$B,"community")</f>
        <v>0</v>
      </c>
      <c r="J102" s="87">
        <f>SUMIFS('caseload data'!L:L,'caseload data'!$D:$D,"SPO",'caseload data'!$C:$C,'cluster overview'!$B$97,'caseload data'!$B:$B,"community")</f>
        <v>0</v>
      </c>
      <c r="K102" s="87">
        <f>SUMIFS('caseload data'!M:M,'caseload data'!$D:$D,"SPO",'caseload data'!$C:$C,'cluster overview'!$B$97,'caseload data'!$B:$B,"community")</f>
        <v>0</v>
      </c>
      <c r="L102" s="87">
        <f>SUMIFS('caseload data'!N:N,'caseload data'!$D:$D,"SPO",'caseload data'!$C:$C,'cluster overview'!$B$97,'caseload data'!$B:$B,"community")</f>
        <v>0</v>
      </c>
      <c r="M102" s="87">
        <f>SUMIFS('caseload data'!O:O,'caseload data'!$D:$D,"SPO",'caseload data'!$C:$C,'cluster overview'!$B$97,'caseload data'!$B:$B,"community")</f>
        <v>0</v>
      </c>
      <c r="N102" s="87">
        <f>SUMIFS('caseload data'!P:P,'caseload data'!$D:$D,"SPO",'caseload data'!$C:$C,'cluster overview'!$B$97,'caseload data'!$B:$B,"community")</f>
        <v>0</v>
      </c>
      <c r="O102" s="87">
        <f>SUMIFS('caseload data'!Q:Q,'caseload data'!$D:$D,"SPO",'caseload data'!$C:$C,'cluster overview'!$B$97,'caseload data'!$B:$B,"community")</f>
        <v>0</v>
      </c>
      <c r="P102" s="87">
        <f>SUMIFS('caseload data'!R:R,'caseload data'!$D:$D,"SPO",'caseload data'!$C:$C,'cluster overview'!$B$97,'caseload data'!$B:$B,"community")</f>
        <v>0</v>
      </c>
      <c r="Q102" s="87">
        <f>SUMIFS('caseload data'!S:S,'caseload data'!$D:$D,"SPO",'caseload data'!$C:$C,'cluster overview'!$B$97,'caseload data'!$B:$B,"community")</f>
        <v>0</v>
      </c>
      <c r="R102" s="87">
        <f>SUMIFS('caseload data'!T:T,'caseload data'!$D:$D,"SPO",'caseload data'!$C:$C,'cluster overview'!$B$97,'caseload data'!$B:$B,"community")</f>
        <v>0</v>
      </c>
      <c r="U102" s="87" t="s">
        <v>1040</v>
      </c>
      <c r="V102" s="79" t="str">
        <f>IFERROR(C$102/SUM(C$99:C$102),"")</f>
        <v/>
      </c>
      <c r="W102" s="79" t="str">
        <f t="shared" ref="W102:AK102" si="11">IFERROR(D$102/SUM(D$99:D$102),"")</f>
        <v/>
      </c>
      <c r="X102" s="79" t="str">
        <f t="shared" si="11"/>
        <v/>
      </c>
      <c r="Y102" s="79" t="str">
        <f t="shared" si="11"/>
        <v/>
      </c>
      <c r="Z102" s="79" t="str">
        <f t="shared" si="11"/>
        <v/>
      </c>
      <c r="AA102" s="79" t="str">
        <f t="shared" si="11"/>
        <v/>
      </c>
      <c r="AB102" s="79" t="str">
        <f t="shared" si="11"/>
        <v/>
      </c>
      <c r="AC102" s="79" t="str">
        <f t="shared" si="11"/>
        <v/>
      </c>
      <c r="AD102" s="79" t="str">
        <f t="shared" si="11"/>
        <v/>
      </c>
      <c r="AE102" s="79" t="str">
        <f t="shared" si="11"/>
        <v/>
      </c>
      <c r="AF102" s="79" t="str">
        <f t="shared" si="11"/>
        <v/>
      </c>
      <c r="AG102" s="79" t="str">
        <f t="shared" si="11"/>
        <v/>
      </c>
      <c r="AH102" s="79" t="str">
        <f t="shared" si="11"/>
        <v/>
      </c>
      <c r="AI102" s="79" t="str">
        <f t="shared" si="11"/>
        <v/>
      </c>
      <c r="AJ102" s="79" t="str">
        <f t="shared" si="11"/>
        <v/>
      </c>
      <c r="AK102" s="79" t="str">
        <f t="shared" si="11"/>
        <v/>
      </c>
    </row>
    <row r="103" spans="2:37" ht="14.25" customHeight="1" x14ac:dyDescent="0.15">
      <c r="B103" s="23"/>
    </row>
    <row r="104" spans="2:37" ht="16" x14ac:dyDescent="0.2">
      <c r="B104" s="127" t="str">
        <f>B6</f>
        <v>Dyfed Powys</v>
      </c>
      <c r="C104" s="286" t="s">
        <v>1200</v>
      </c>
      <c r="D104" s="287"/>
      <c r="E104" s="287"/>
      <c r="F104" s="287"/>
      <c r="G104" s="287"/>
      <c r="H104" s="287"/>
      <c r="I104" s="287"/>
      <c r="J104" s="287"/>
      <c r="K104" s="287"/>
      <c r="L104" s="287"/>
      <c r="M104" s="287"/>
      <c r="N104" s="287"/>
      <c r="O104" s="287"/>
      <c r="P104" s="287"/>
      <c r="Q104" s="287"/>
      <c r="R104" s="287"/>
      <c r="U104" s="127" t="str">
        <f>B6</f>
        <v>Dyfed Powys</v>
      </c>
      <c r="V104" s="286" t="s">
        <v>1223</v>
      </c>
      <c r="W104" s="287"/>
      <c r="X104" s="287"/>
      <c r="Y104" s="287"/>
      <c r="Z104" s="287"/>
      <c r="AA104" s="287"/>
      <c r="AB104" s="287"/>
      <c r="AC104" s="287"/>
      <c r="AD104" s="287"/>
      <c r="AE104" s="287"/>
      <c r="AF104" s="287"/>
      <c r="AG104" s="287"/>
      <c r="AH104" s="287"/>
      <c r="AI104" s="287"/>
      <c r="AJ104" s="287"/>
      <c r="AK104" s="287"/>
    </row>
    <row r="105" spans="2:37" ht="14.25" customHeight="1" x14ac:dyDescent="0.15">
      <c r="B105" s="108" t="s">
        <v>1199</v>
      </c>
      <c r="C105" s="42" t="s">
        <v>1019</v>
      </c>
      <c r="D105" s="42" t="s">
        <v>1020</v>
      </c>
      <c r="E105" s="42" t="s">
        <v>1021</v>
      </c>
      <c r="F105" s="42" t="s">
        <v>1022</v>
      </c>
      <c r="G105" s="42" t="s">
        <v>1023</v>
      </c>
      <c r="H105" s="42" t="s">
        <v>1024</v>
      </c>
      <c r="I105" s="42" t="s">
        <v>1025</v>
      </c>
      <c r="J105" s="42" t="s">
        <v>1026</v>
      </c>
      <c r="K105" s="42" t="s">
        <v>1027</v>
      </c>
      <c r="L105" s="42" t="s">
        <v>1028</v>
      </c>
      <c r="M105" s="42" t="s">
        <v>1029</v>
      </c>
      <c r="N105" s="42" t="s">
        <v>1030</v>
      </c>
      <c r="O105" s="42" t="s">
        <v>1031</v>
      </c>
      <c r="P105" s="42" t="s">
        <v>1032</v>
      </c>
      <c r="Q105" s="42" t="s">
        <v>1033</v>
      </c>
      <c r="R105" s="42" t="s">
        <v>1034</v>
      </c>
      <c r="U105" s="108" t="s">
        <v>1199</v>
      </c>
      <c r="V105" s="42" t="s">
        <v>1019</v>
      </c>
      <c r="W105" s="42" t="s">
        <v>1020</v>
      </c>
      <c r="X105" s="42" t="s">
        <v>1021</v>
      </c>
      <c r="Y105" s="42" t="s">
        <v>1022</v>
      </c>
      <c r="Z105" s="42" t="s">
        <v>1023</v>
      </c>
      <c r="AA105" s="42" t="s">
        <v>1024</v>
      </c>
      <c r="AB105" s="42" t="s">
        <v>1025</v>
      </c>
      <c r="AC105" s="42" t="s">
        <v>1026</v>
      </c>
      <c r="AD105" s="42" t="s">
        <v>1027</v>
      </c>
      <c r="AE105" s="42" t="s">
        <v>1028</v>
      </c>
      <c r="AF105" s="42" t="s">
        <v>1029</v>
      </c>
      <c r="AG105" s="42" t="s">
        <v>1030</v>
      </c>
      <c r="AH105" s="42" t="s">
        <v>1031</v>
      </c>
      <c r="AI105" s="42" t="s">
        <v>1032</v>
      </c>
      <c r="AJ105" s="42" t="s">
        <v>1033</v>
      </c>
      <c r="AK105" s="42" t="s">
        <v>1034</v>
      </c>
    </row>
    <row r="106" spans="2:37" ht="14.25" customHeight="1" x14ac:dyDescent="0.15">
      <c r="B106" s="87" t="s">
        <v>1037</v>
      </c>
      <c r="C106" s="87">
        <f>SUMIFS('caseload data'!E:E,'caseload data'!$D:$D,"PO",'caseload data'!$C:$C,'cluster overview'!$B$97,'caseload data'!$B:$B,"licence")</f>
        <v>0</v>
      </c>
      <c r="D106" s="87">
        <f>SUMIFS('caseload data'!F:F,'caseload data'!$D:$D,"PO",'caseload data'!$C:$C,'cluster overview'!$B$97,'caseload data'!$B:$B,"licence")</f>
        <v>0</v>
      </c>
      <c r="E106" s="87">
        <f>SUMIFS('caseload data'!G:G,'caseload data'!$D:$D,"PO",'caseload data'!$C:$C,'cluster overview'!$B$97,'caseload data'!$B:$B,"licence")</f>
        <v>0</v>
      </c>
      <c r="F106" s="87">
        <f>SUMIFS('caseload data'!H:H,'caseload data'!$D:$D,"PO",'caseload data'!$C:$C,'cluster overview'!$B$97,'caseload data'!$B:$B,"licence")</f>
        <v>0</v>
      </c>
      <c r="G106" s="87">
        <f>SUMIFS('caseload data'!I:I,'caseload data'!$D:$D,"PO",'caseload data'!$C:$C,'cluster overview'!$B$97,'caseload data'!$B:$B,"licence")</f>
        <v>0</v>
      </c>
      <c r="H106" s="87">
        <f>SUMIFS('caseload data'!J:J,'caseload data'!$D:$D,"PO",'caseload data'!$C:$C,'cluster overview'!$B$97,'caseload data'!$B:$B,"licence")</f>
        <v>0</v>
      </c>
      <c r="I106" s="87">
        <f>SUMIFS('caseload data'!K:K,'caseload data'!$D:$D,"PO",'caseload data'!$C:$C,'cluster overview'!$B$97,'caseload data'!$B:$B,"licence")</f>
        <v>0</v>
      </c>
      <c r="J106" s="87">
        <f>SUMIFS('caseload data'!L:L,'caseload data'!$D:$D,"PO",'caseload data'!$C:$C,'cluster overview'!$B$97,'caseload data'!$B:$B,"licence")</f>
        <v>0</v>
      </c>
      <c r="K106" s="87">
        <f>SUMIFS('caseload data'!M:M,'caseload data'!$D:$D,"PO",'caseload data'!$C:$C,'cluster overview'!$B$97,'caseload data'!$B:$B,"licence")</f>
        <v>0</v>
      </c>
      <c r="L106" s="87">
        <f>SUMIFS('caseload data'!N:N,'caseload data'!$D:$D,"PO",'caseload data'!$C:$C,'cluster overview'!$B$97,'caseload data'!$B:$B,"licence")</f>
        <v>0</v>
      </c>
      <c r="M106" s="87">
        <f>SUMIFS('caseload data'!O:O,'caseload data'!$D:$D,"PO",'caseload data'!$C:$C,'cluster overview'!$B$97,'caseload data'!$B:$B,"licence")</f>
        <v>0</v>
      </c>
      <c r="N106" s="87">
        <f>SUMIFS('caseload data'!P:P,'caseload data'!$D:$D,"PO",'caseload data'!$C:$C,'cluster overview'!$B$97,'caseload data'!$B:$B,"licence")</f>
        <v>0</v>
      </c>
      <c r="O106" s="87">
        <f>SUMIFS('caseload data'!Q:Q,'caseload data'!$D:$D,"PO",'caseload data'!$C:$C,'cluster overview'!$B$97,'caseload data'!$B:$B,"licence")</f>
        <v>0</v>
      </c>
      <c r="P106" s="87">
        <f>SUMIFS('caseload data'!R:R,'caseload data'!$D:$D,"PO",'caseload data'!$C:$C,'cluster overview'!$B$97,'caseload data'!$B:$B,"licence")</f>
        <v>0</v>
      </c>
      <c r="Q106" s="87">
        <f>SUMIFS('caseload data'!S:S,'caseload data'!$D:$D,"PO",'caseload data'!$C:$C,'cluster overview'!$B$97,'caseload data'!$B:$B,"licence")</f>
        <v>0</v>
      </c>
      <c r="R106" s="87">
        <f>SUMIFS('caseload data'!T:T,'caseload data'!$D:$D,"PO",'caseload data'!$C:$C,'cluster overview'!$B$97,'caseload data'!$B:$B,"licence")</f>
        <v>0</v>
      </c>
      <c r="U106" s="87" t="s">
        <v>1037</v>
      </c>
      <c r="V106" s="79" t="str">
        <f>IFERROR(C$106/SUM(C$106:C$109),"")</f>
        <v/>
      </c>
      <c r="W106" s="79" t="str">
        <f t="shared" ref="W106:AK106" si="12">IFERROR(D$106/SUM(D$106:D$109),"")</f>
        <v/>
      </c>
      <c r="X106" s="79" t="str">
        <f t="shared" si="12"/>
        <v/>
      </c>
      <c r="Y106" s="79" t="str">
        <f t="shared" si="12"/>
        <v/>
      </c>
      <c r="Z106" s="79" t="str">
        <f t="shared" si="12"/>
        <v/>
      </c>
      <c r="AA106" s="79" t="str">
        <f t="shared" si="12"/>
        <v/>
      </c>
      <c r="AB106" s="79" t="str">
        <f t="shared" si="12"/>
        <v/>
      </c>
      <c r="AC106" s="79" t="str">
        <f t="shared" si="12"/>
        <v/>
      </c>
      <c r="AD106" s="79" t="str">
        <f t="shared" si="12"/>
        <v/>
      </c>
      <c r="AE106" s="79" t="str">
        <f t="shared" si="12"/>
        <v/>
      </c>
      <c r="AF106" s="79" t="str">
        <f t="shared" si="12"/>
        <v/>
      </c>
      <c r="AG106" s="79" t="str">
        <f t="shared" si="12"/>
        <v/>
      </c>
      <c r="AH106" s="79" t="str">
        <f t="shared" si="12"/>
        <v/>
      </c>
      <c r="AI106" s="79" t="str">
        <f t="shared" si="12"/>
        <v/>
      </c>
      <c r="AJ106" s="79" t="str">
        <f t="shared" si="12"/>
        <v/>
      </c>
      <c r="AK106" s="79" t="str">
        <f t="shared" si="12"/>
        <v/>
      </c>
    </row>
    <row r="107" spans="2:37" ht="14.25" customHeight="1" x14ac:dyDescent="0.15">
      <c r="B107" s="87" t="s">
        <v>1038</v>
      </c>
      <c r="C107" s="87">
        <f>SUMIFS('caseload data'!E:E,'caseload data'!$D:$D,"PSO",'caseload data'!$C:$C,'cluster overview'!$B$97,'caseload data'!$B:$B,"licence")</f>
        <v>0</v>
      </c>
      <c r="D107" s="87">
        <f>SUMIFS('caseload data'!F:F,'caseload data'!$D:$D,"PSO",'caseload data'!$C:$C,'cluster overview'!$B$97,'caseload data'!$B:$B,"licence")</f>
        <v>0</v>
      </c>
      <c r="E107" s="87">
        <f>SUMIFS('caseload data'!G:G,'caseload data'!$D:$D,"PSO",'caseload data'!$C:$C,'cluster overview'!$B$97,'caseload data'!$B:$B,"licence")</f>
        <v>0</v>
      </c>
      <c r="F107" s="87">
        <f>SUMIFS('caseload data'!H:H,'caseload data'!$D:$D,"PSO",'caseload data'!$C:$C,'cluster overview'!$B$97,'caseload data'!$B:$B,"licence")</f>
        <v>0</v>
      </c>
      <c r="G107" s="87">
        <f>SUMIFS('caseload data'!I:I,'caseload data'!$D:$D,"PSO",'caseload data'!$C:$C,'cluster overview'!$B$97,'caseload data'!$B:$B,"licence")</f>
        <v>0</v>
      </c>
      <c r="H107" s="87">
        <f>SUMIFS('caseload data'!J:J,'caseload data'!$D:$D,"PSO",'caseload data'!$C:$C,'cluster overview'!$B$97,'caseload data'!$B:$B,"licence")</f>
        <v>0</v>
      </c>
      <c r="I107" s="87">
        <f>SUMIFS('caseload data'!K:K,'caseload data'!$D:$D,"PSO",'caseload data'!$C:$C,'cluster overview'!$B$97,'caseload data'!$B:$B,"licence")</f>
        <v>0</v>
      </c>
      <c r="J107" s="87">
        <f>SUMIFS('caseload data'!L:L,'caseload data'!$D:$D,"PSO",'caseload data'!$C:$C,'cluster overview'!$B$97,'caseload data'!$B:$B,"licence")</f>
        <v>0</v>
      </c>
      <c r="K107" s="87">
        <f>SUMIFS('caseload data'!M:M,'caseload data'!$D:$D,"PSO",'caseload data'!$C:$C,'cluster overview'!$B$97,'caseload data'!$B:$B,"licence")</f>
        <v>0</v>
      </c>
      <c r="L107" s="87">
        <f>SUMIFS('caseload data'!N:N,'caseload data'!$D:$D,"PSO",'caseload data'!$C:$C,'cluster overview'!$B$97,'caseload data'!$B:$B,"licence")</f>
        <v>0</v>
      </c>
      <c r="M107" s="87">
        <f>SUMIFS('caseload data'!O:O,'caseload data'!$D:$D,"PSO",'caseload data'!$C:$C,'cluster overview'!$B$97,'caseload data'!$B:$B,"licence")</f>
        <v>0</v>
      </c>
      <c r="N107" s="87">
        <f>SUMIFS('caseload data'!P:P,'caseload data'!$D:$D,"PSO",'caseload data'!$C:$C,'cluster overview'!$B$97,'caseload data'!$B:$B,"licence")</f>
        <v>0</v>
      </c>
      <c r="O107" s="87">
        <f>SUMIFS('caseload data'!Q:Q,'caseload data'!$D:$D,"PSO",'caseload data'!$C:$C,'cluster overview'!$B$97,'caseload data'!$B:$B,"licence")</f>
        <v>0</v>
      </c>
      <c r="P107" s="87">
        <f>SUMIFS('caseload data'!R:R,'caseload data'!$D:$D,"PSO",'caseload data'!$C:$C,'cluster overview'!$B$97,'caseload data'!$B:$B,"licence")</f>
        <v>0</v>
      </c>
      <c r="Q107" s="87">
        <f>SUMIFS('caseload data'!S:S,'caseload data'!$D:$D,"PSO",'caseload data'!$C:$C,'cluster overview'!$B$97,'caseload data'!$B:$B,"licence")</f>
        <v>0</v>
      </c>
      <c r="R107" s="87">
        <f>SUMIFS('caseload data'!T:T,'caseload data'!$D:$D,"PSO",'caseload data'!$C:$C,'cluster overview'!$B$97,'caseload data'!$B:$B,"licence")</f>
        <v>0</v>
      </c>
      <c r="U107" s="87" t="s">
        <v>1038</v>
      </c>
      <c r="V107" s="79" t="str">
        <f>IFERROR(C$107/SUM(C$106:C$109),"")</f>
        <v/>
      </c>
      <c r="W107" s="79" t="str">
        <f t="shared" ref="W107:AK107" si="13">IFERROR(D$107/SUM(D$106:D$109),"")</f>
        <v/>
      </c>
      <c r="X107" s="79" t="str">
        <f t="shared" si="13"/>
        <v/>
      </c>
      <c r="Y107" s="79" t="str">
        <f t="shared" si="13"/>
        <v/>
      </c>
      <c r="Z107" s="79" t="str">
        <f t="shared" si="13"/>
        <v/>
      </c>
      <c r="AA107" s="79" t="str">
        <f t="shared" si="13"/>
        <v/>
      </c>
      <c r="AB107" s="79" t="str">
        <f t="shared" si="13"/>
        <v/>
      </c>
      <c r="AC107" s="79" t="str">
        <f t="shared" si="13"/>
        <v/>
      </c>
      <c r="AD107" s="79" t="str">
        <f t="shared" si="13"/>
        <v/>
      </c>
      <c r="AE107" s="79" t="str">
        <f t="shared" si="13"/>
        <v/>
      </c>
      <c r="AF107" s="79" t="str">
        <f t="shared" si="13"/>
        <v/>
      </c>
      <c r="AG107" s="79" t="str">
        <f t="shared" si="13"/>
        <v/>
      </c>
      <c r="AH107" s="79" t="str">
        <f t="shared" si="13"/>
        <v/>
      </c>
      <c r="AI107" s="79" t="str">
        <f t="shared" si="13"/>
        <v/>
      </c>
      <c r="AJ107" s="79" t="str">
        <f t="shared" si="13"/>
        <v/>
      </c>
      <c r="AK107" s="79" t="str">
        <f t="shared" si="13"/>
        <v/>
      </c>
    </row>
    <row r="108" spans="2:37" ht="14.25" customHeight="1" x14ac:dyDescent="0.15">
      <c r="B108" s="87" t="s">
        <v>1039</v>
      </c>
      <c r="C108" s="87">
        <f>SUMIFS('caseload data'!E:E,'caseload data'!$D:$D,"TPO",'caseload data'!$C:$C,'cluster overview'!$B$97,'caseload data'!$B:$B,"licence")</f>
        <v>0</v>
      </c>
      <c r="D108" s="87">
        <f>SUMIFS('caseload data'!F:F,'caseload data'!$D:$D,"TPO",'caseload data'!$C:$C,'cluster overview'!$B$97,'caseload data'!$B:$B,"licence")</f>
        <v>0</v>
      </c>
      <c r="E108" s="87">
        <f>SUMIFS('caseload data'!G:G,'caseload data'!$D:$D,"TPO",'caseload data'!$C:$C,'cluster overview'!$B$97,'caseload data'!$B:$B,"licence")</f>
        <v>0</v>
      </c>
      <c r="F108" s="87">
        <f>SUMIFS('caseload data'!H:H,'caseload data'!$D:$D,"TPO",'caseload data'!$C:$C,'cluster overview'!$B$97,'caseload data'!$B:$B,"licence")</f>
        <v>0</v>
      </c>
      <c r="G108" s="87">
        <f>SUMIFS('caseload data'!I:I,'caseload data'!$D:$D,"TPO",'caseload data'!$C:$C,'cluster overview'!$B$97,'caseload data'!$B:$B,"licence")</f>
        <v>0</v>
      </c>
      <c r="H108" s="87">
        <f>SUMIFS('caseload data'!J:J,'caseload data'!$D:$D,"TPO",'caseload data'!$C:$C,'cluster overview'!$B$97,'caseload data'!$B:$B,"licence")</f>
        <v>0</v>
      </c>
      <c r="I108" s="87">
        <f>SUMIFS('caseload data'!K:K,'caseload data'!$D:$D,"TPO",'caseload data'!$C:$C,'cluster overview'!$B$97,'caseload data'!$B:$B,"licence")</f>
        <v>0</v>
      </c>
      <c r="J108" s="87">
        <f>SUMIFS('caseload data'!L:L,'caseload data'!$D:$D,"TPO",'caseload data'!$C:$C,'cluster overview'!$B$97,'caseload data'!$B:$B,"licence")</f>
        <v>0</v>
      </c>
      <c r="K108" s="87">
        <f>SUMIFS('caseload data'!M:M,'caseload data'!$D:$D,"TPO",'caseload data'!$C:$C,'cluster overview'!$B$97,'caseload data'!$B:$B,"licence")</f>
        <v>0</v>
      </c>
      <c r="L108" s="87">
        <f>SUMIFS('caseload data'!N:N,'caseload data'!$D:$D,"TPO",'caseload data'!$C:$C,'cluster overview'!$B$97,'caseload data'!$B:$B,"licence")</f>
        <v>0</v>
      </c>
      <c r="M108" s="87">
        <f>SUMIFS('caseload data'!O:O,'caseload data'!$D:$D,"TPO",'caseload data'!$C:$C,'cluster overview'!$B$97,'caseload data'!$B:$B,"licence")</f>
        <v>0</v>
      </c>
      <c r="N108" s="87">
        <f>SUMIFS('caseload data'!P:P,'caseload data'!$D:$D,"TPO",'caseload data'!$C:$C,'cluster overview'!$B$97,'caseload data'!$B:$B,"licence")</f>
        <v>0</v>
      </c>
      <c r="O108" s="87">
        <f>SUMIFS('caseload data'!Q:Q,'caseload data'!$D:$D,"TPO",'caseload data'!$C:$C,'cluster overview'!$B$97,'caseload data'!$B:$B,"licence")</f>
        <v>0</v>
      </c>
      <c r="P108" s="87">
        <f>SUMIFS('caseload data'!R:R,'caseload data'!$D:$D,"TPO",'caseload data'!$C:$C,'cluster overview'!$B$97,'caseload data'!$B:$B,"licence")</f>
        <v>0</v>
      </c>
      <c r="Q108" s="87">
        <f>SUMIFS('caseload data'!S:S,'caseload data'!$D:$D,"TPO",'caseload data'!$C:$C,'cluster overview'!$B$97,'caseload data'!$B:$B,"licence")</f>
        <v>0</v>
      </c>
      <c r="R108" s="87">
        <f>SUMIFS('caseload data'!T:T,'caseload data'!$D:$D,"TPO",'caseload data'!$C:$C,'cluster overview'!$B$97,'caseload data'!$B:$B,"licence")</f>
        <v>0</v>
      </c>
      <c r="U108" s="87" t="s">
        <v>1039</v>
      </c>
      <c r="V108" s="79" t="str">
        <f>IFERROR(C$108/SUM(C$106:C$109),"")</f>
        <v/>
      </c>
      <c r="W108" s="79" t="str">
        <f t="shared" ref="W108:AK108" si="14">IFERROR(D$108/SUM(D$106:D$109),"")</f>
        <v/>
      </c>
      <c r="X108" s="79" t="str">
        <f t="shared" si="14"/>
        <v/>
      </c>
      <c r="Y108" s="79" t="str">
        <f t="shared" si="14"/>
        <v/>
      </c>
      <c r="Z108" s="79" t="str">
        <f t="shared" si="14"/>
        <v/>
      </c>
      <c r="AA108" s="79" t="str">
        <f t="shared" si="14"/>
        <v/>
      </c>
      <c r="AB108" s="79" t="str">
        <f t="shared" si="14"/>
        <v/>
      </c>
      <c r="AC108" s="79" t="str">
        <f t="shared" si="14"/>
        <v/>
      </c>
      <c r="AD108" s="79" t="str">
        <f t="shared" si="14"/>
        <v/>
      </c>
      <c r="AE108" s="79" t="str">
        <f t="shared" si="14"/>
        <v/>
      </c>
      <c r="AF108" s="79" t="str">
        <f t="shared" si="14"/>
        <v/>
      </c>
      <c r="AG108" s="79" t="str">
        <f t="shared" si="14"/>
        <v/>
      </c>
      <c r="AH108" s="79" t="str">
        <f t="shared" si="14"/>
        <v/>
      </c>
      <c r="AI108" s="79" t="str">
        <f t="shared" si="14"/>
        <v/>
      </c>
      <c r="AJ108" s="79" t="str">
        <f t="shared" si="14"/>
        <v/>
      </c>
      <c r="AK108" s="79" t="str">
        <f t="shared" si="14"/>
        <v/>
      </c>
    </row>
    <row r="109" spans="2:37" ht="14.25" customHeight="1" x14ac:dyDescent="0.15">
      <c r="B109" s="87" t="s">
        <v>1040</v>
      </c>
      <c r="C109" s="87">
        <f>SUMIFS('caseload data'!E:E,'caseload data'!$D:$D,"SPO",'caseload data'!$C:$C,'cluster overview'!$B$97,'caseload data'!$B:$B,"licence")</f>
        <v>0</v>
      </c>
      <c r="D109" s="87">
        <f>SUMIFS('caseload data'!F:F,'caseload data'!$D:$D,"SPO",'caseload data'!$C:$C,'cluster overview'!$B$97,'caseload data'!$B:$B,"licence")</f>
        <v>0</v>
      </c>
      <c r="E109" s="87">
        <f>SUMIFS('caseload data'!G:G,'caseload data'!$D:$D,"SPO",'caseload data'!$C:$C,'cluster overview'!$B$97,'caseload data'!$B:$B,"licence")</f>
        <v>0</v>
      </c>
      <c r="F109" s="87">
        <f>SUMIFS('caseload data'!H:H,'caseload data'!$D:$D,"SPO",'caseload data'!$C:$C,'cluster overview'!$B$97,'caseload data'!$B:$B,"licence")</f>
        <v>0</v>
      </c>
      <c r="G109" s="87">
        <f>SUMIFS('caseload data'!I:I,'caseload data'!$D:$D,"SPO",'caseload data'!$C:$C,'cluster overview'!$B$97,'caseload data'!$B:$B,"licence")</f>
        <v>0</v>
      </c>
      <c r="H109" s="87">
        <f>SUMIFS('caseload data'!J:J,'caseload data'!$D:$D,"SPO",'caseload data'!$C:$C,'cluster overview'!$B$97,'caseload data'!$B:$B,"licence")</f>
        <v>0</v>
      </c>
      <c r="I109" s="87">
        <f>SUMIFS('caseload data'!K:K,'caseload data'!$D:$D,"SPO",'caseload data'!$C:$C,'cluster overview'!$B$97,'caseload data'!$B:$B,"licence")</f>
        <v>0</v>
      </c>
      <c r="J109" s="87">
        <f>SUMIFS('caseload data'!L:L,'caseload data'!$D:$D,"SPO",'caseload data'!$C:$C,'cluster overview'!$B$97,'caseload data'!$B:$B,"licence")</f>
        <v>0</v>
      </c>
      <c r="K109" s="87">
        <f>SUMIFS('caseload data'!M:M,'caseload data'!$D:$D,"SPO",'caseload data'!$C:$C,'cluster overview'!$B$97,'caseload data'!$B:$B,"licence")</f>
        <v>0</v>
      </c>
      <c r="L109" s="87">
        <f>SUMIFS('caseload data'!N:N,'caseload data'!$D:$D,"SPO",'caseload data'!$C:$C,'cluster overview'!$B$97,'caseload data'!$B:$B,"licence")</f>
        <v>0</v>
      </c>
      <c r="M109" s="87">
        <f>SUMIFS('caseload data'!O:O,'caseload data'!$D:$D,"SPO",'caseload data'!$C:$C,'cluster overview'!$B$97,'caseload data'!$B:$B,"licence")</f>
        <v>0</v>
      </c>
      <c r="N109" s="87">
        <f>SUMIFS('caseload data'!P:P,'caseload data'!$D:$D,"SPO",'caseload data'!$C:$C,'cluster overview'!$B$97,'caseload data'!$B:$B,"licence")</f>
        <v>0</v>
      </c>
      <c r="O109" s="87">
        <f>SUMIFS('caseload data'!Q:Q,'caseload data'!$D:$D,"SPO",'caseload data'!$C:$C,'cluster overview'!$B$97,'caseload data'!$B:$B,"licence")</f>
        <v>0</v>
      </c>
      <c r="P109" s="87">
        <f>SUMIFS('caseload data'!R:R,'caseload data'!$D:$D,"SPO",'caseload data'!$C:$C,'cluster overview'!$B$97,'caseload data'!$B:$B,"licence")</f>
        <v>0</v>
      </c>
      <c r="Q109" s="87">
        <f>SUMIFS('caseload data'!S:S,'caseload data'!$D:$D,"SPO",'caseload data'!$C:$C,'cluster overview'!$B$97,'caseload data'!$B:$B,"licence")</f>
        <v>0</v>
      </c>
      <c r="R109" s="87">
        <f>SUMIFS('caseload data'!T:T,'caseload data'!$D:$D,"SPO",'caseload data'!$C:$C,'cluster overview'!$B$97,'caseload data'!$B:$B,"licence")</f>
        <v>0</v>
      </c>
      <c r="U109" s="87" t="s">
        <v>1040</v>
      </c>
      <c r="V109" s="79" t="str">
        <f>IFERROR(C$109/SUM(C$106:C$109),"")</f>
        <v/>
      </c>
      <c r="W109" s="79" t="str">
        <f t="shared" ref="W109:AK109" si="15">IFERROR(D$109/SUM(D$106:D$109),"")</f>
        <v/>
      </c>
      <c r="X109" s="79" t="str">
        <f t="shared" si="15"/>
        <v/>
      </c>
      <c r="Y109" s="79" t="str">
        <f t="shared" si="15"/>
        <v/>
      </c>
      <c r="Z109" s="79" t="str">
        <f t="shared" si="15"/>
        <v/>
      </c>
      <c r="AA109" s="79" t="str">
        <f t="shared" si="15"/>
        <v/>
      </c>
      <c r="AB109" s="79" t="str">
        <f t="shared" si="15"/>
        <v/>
      </c>
      <c r="AC109" s="79" t="str">
        <f t="shared" si="15"/>
        <v/>
      </c>
      <c r="AD109" s="79" t="str">
        <f t="shared" si="15"/>
        <v/>
      </c>
      <c r="AE109" s="79" t="str">
        <f t="shared" si="15"/>
        <v/>
      </c>
      <c r="AF109" s="79" t="str">
        <f t="shared" si="15"/>
        <v/>
      </c>
      <c r="AG109" s="79" t="str">
        <f t="shared" si="15"/>
        <v/>
      </c>
      <c r="AH109" s="79" t="str">
        <f t="shared" si="15"/>
        <v/>
      </c>
      <c r="AI109" s="79" t="str">
        <f t="shared" si="15"/>
        <v/>
      </c>
      <c r="AJ109" s="79" t="str">
        <f t="shared" si="15"/>
        <v/>
      </c>
      <c r="AK109" s="79" t="str">
        <f t="shared" si="15"/>
        <v/>
      </c>
    </row>
    <row r="110" spans="2:37" ht="14.25" customHeight="1" x14ac:dyDescent="0.15">
      <c r="B110" s="23"/>
    </row>
    <row r="111" spans="2:37" ht="16" x14ac:dyDescent="0.2">
      <c r="B111" s="127" t="str">
        <f>B6</f>
        <v>Dyfed Powys</v>
      </c>
      <c r="C111" s="286" t="s">
        <v>1202</v>
      </c>
      <c r="D111" s="287"/>
      <c r="E111" s="287"/>
      <c r="F111" s="287"/>
      <c r="G111" s="287"/>
      <c r="H111" s="287"/>
      <c r="I111" s="287"/>
      <c r="J111" s="287"/>
      <c r="K111" s="287"/>
      <c r="L111" s="287"/>
      <c r="M111" s="287"/>
      <c r="N111" s="287"/>
      <c r="O111" s="287"/>
      <c r="P111" s="287"/>
      <c r="Q111" s="287"/>
      <c r="R111" s="287"/>
      <c r="U111" s="127" t="str">
        <f>B6</f>
        <v>Dyfed Powys</v>
      </c>
      <c r="V111" s="286" t="s">
        <v>1224</v>
      </c>
      <c r="W111" s="287"/>
      <c r="X111" s="287"/>
      <c r="Y111" s="287"/>
      <c r="Z111" s="287"/>
      <c r="AA111" s="287"/>
      <c r="AB111" s="287"/>
      <c r="AC111" s="287"/>
      <c r="AD111" s="287"/>
      <c r="AE111" s="287"/>
      <c r="AF111" s="287"/>
      <c r="AG111" s="287"/>
      <c r="AH111" s="287"/>
      <c r="AI111" s="287"/>
      <c r="AJ111" s="287"/>
      <c r="AK111" s="287"/>
    </row>
    <row r="112" spans="2:37" ht="14.25" customHeight="1" x14ac:dyDescent="0.15">
      <c r="B112" s="108" t="s">
        <v>1199</v>
      </c>
      <c r="C112" s="42" t="s">
        <v>1019</v>
      </c>
      <c r="D112" s="42" t="s">
        <v>1020</v>
      </c>
      <c r="E112" s="42" t="s">
        <v>1021</v>
      </c>
      <c r="F112" s="42" t="s">
        <v>1022</v>
      </c>
      <c r="G112" s="42" t="s">
        <v>1023</v>
      </c>
      <c r="H112" s="42" t="s">
        <v>1024</v>
      </c>
      <c r="I112" s="42" t="s">
        <v>1025</v>
      </c>
      <c r="J112" s="42" t="s">
        <v>1026</v>
      </c>
      <c r="K112" s="42" t="s">
        <v>1027</v>
      </c>
      <c r="L112" s="42" t="s">
        <v>1028</v>
      </c>
      <c r="M112" s="42" t="s">
        <v>1029</v>
      </c>
      <c r="N112" s="42" t="s">
        <v>1030</v>
      </c>
      <c r="O112" s="42" t="s">
        <v>1031</v>
      </c>
      <c r="P112" s="42" t="s">
        <v>1032</v>
      </c>
      <c r="Q112" s="42" t="s">
        <v>1033</v>
      </c>
      <c r="R112" s="42" t="s">
        <v>1034</v>
      </c>
      <c r="U112" s="108" t="s">
        <v>1199</v>
      </c>
      <c r="V112" s="42" t="s">
        <v>1019</v>
      </c>
      <c r="W112" s="42" t="s">
        <v>1020</v>
      </c>
      <c r="X112" s="42" t="s">
        <v>1021</v>
      </c>
      <c r="Y112" s="42" t="s">
        <v>1022</v>
      </c>
      <c r="Z112" s="42" t="s">
        <v>1023</v>
      </c>
      <c r="AA112" s="42" t="s">
        <v>1024</v>
      </c>
      <c r="AB112" s="42" t="s">
        <v>1025</v>
      </c>
      <c r="AC112" s="42" t="s">
        <v>1026</v>
      </c>
      <c r="AD112" s="42" t="s">
        <v>1027</v>
      </c>
      <c r="AE112" s="42" t="s">
        <v>1028</v>
      </c>
      <c r="AF112" s="42" t="s">
        <v>1029</v>
      </c>
      <c r="AG112" s="42" t="s">
        <v>1030</v>
      </c>
      <c r="AH112" s="42" t="s">
        <v>1031</v>
      </c>
      <c r="AI112" s="42" t="s">
        <v>1032</v>
      </c>
      <c r="AJ112" s="42" t="s">
        <v>1033</v>
      </c>
      <c r="AK112" s="42" t="s">
        <v>1034</v>
      </c>
    </row>
    <row r="113" spans="2:37" ht="14.25" customHeight="1" x14ac:dyDescent="0.15">
      <c r="B113" s="87" t="s">
        <v>1037</v>
      </c>
      <c r="C113" s="87">
        <f>SUMIFS('caseload data'!E:E,'caseload data'!$D:$D,"PO",'caseload data'!$C:$C,'cluster overview'!$B$97,'caseload data'!$B:$B,"custody")</f>
        <v>0</v>
      </c>
      <c r="D113" s="87">
        <f>SUMIFS('caseload data'!F:F,'caseload data'!$D:$D,"PO",'caseload data'!$C:$C,'cluster overview'!$B$97,'caseload data'!$B:$B,"custody")</f>
        <v>0</v>
      </c>
      <c r="E113" s="87">
        <f>SUMIFS('caseload data'!G:G,'caseload data'!$D:$D,"PO",'caseload data'!$C:$C,'cluster overview'!$B$97,'caseload data'!$B:$B,"custody")</f>
        <v>0</v>
      </c>
      <c r="F113" s="87">
        <f>SUMIFS('caseload data'!H:H,'caseload data'!$D:$D,"PO",'caseload data'!$C:$C,'cluster overview'!$B$97,'caseload data'!$B:$B,"custody")</f>
        <v>0</v>
      </c>
      <c r="G113" s="87">
        <f>SUMIFS('caseload data'!I:I,'caseload data'!$D:$D,"PO",'caseload data'!$C:$C,'cluster overview'!$B$97,'caseload data'!$B:$B,"custody")</f>
        <v>0</v>
      </c>
      <c r="H113" s="87">
        <f>SUMIFS('caseload data'!J:J,'caseload data'!$D:$D,"PO",'caseload data'!$C:$C,'cluster overview'!$B$97,'caseload data'!$B:$B,"custody")</f>
        <v>0</v>
      </c>
      <c r="I113" s="87">
        <f>SUMIFS('caseload data'!K:K,'caseload data'!$D:$D,"PO",'caseload data'!$C:$C,'cluster overview'!$B$97,'caseload data'!$B:$B,"custody")</f>
        <v>0</v>
      </c>
      <c r="J113" s="87">
        <f>SUMIFS('caseload data'!L:L,'caseload data'!$D:$D,"PO",'caseload data'!$C:$C,'cluster overview'!$B$97,'caseload data'!$B:$B,"custody")</f>
        <v>0</v>
      </c>
      <c r="K113" s="87">
        <f>SUMIFS('caseload data'!M:M,'caseload data'!$D:$D,"PO",'caseload data'!$C:$C,'cluster overview'!$B$97,'caseload data'!$B:$B,"custody")</f>
        <v>0</v>
      </c>
      <c r="L113" s="87">
        <f>SUMIFS('caseload data'!N:N,'caseload data'!$D:$D,"PO",'caseload data'!$C:$C,'cluster overview'!$B$97,'caseload data'!$B:$B,"custody")</f>
        <v>0</v>
      </c>
      <c r="M113" s="87">
        <f>SUMIFS('caseload data'!O:O,'caseload data'!$D:$D,"PO",'caseload data'!$C:$C,'cluster overview'!$B$97,'caseload data'!$B:$B,"custody")</f>
        <v>0</v>
      </c>
      <c r="N113" s="87">
        <f>SUMIFS('caseload data'!P:P,'caseload data'!$D:$D,"PO",'caseload data'!$C:$C,'cluster overview'!$B$97,'caseload data'!$B:$B,"custody")</f>
        <v>0</v>
      </c>
      <c r="O113" s="87">
        <f>SUMIFS('caseload data'!Q:Q,'caseload data'!$D:$D,"PO",'caseload data'!$C:$C,'cluster overview'!$B$97,'caseload data'!$B:$B,"custody")</f>
        <v>0</v>
      </c>
      <c r="P113" s="87">
        <f>SUMIFS('caseload data'!R:R,'caseload data'!$D:$D,"PO",'caseload data'!$C:$C,'cluster overview'!$B$97,'caseload data'!$B:$B,"custody")</f>
        <v>0</v>
      </c>
      <c r="Q113" s="87">
        <f>SUMIFS('caseload data'!S:S,'caseload data'!$D:$D,"PO",'caseload data'!$C:$C,'cluster overview'!$B$97,'caseload data'!$B:$B,"custody")</f>
        <v>0</v>
      </c>
      <c r="R113" s="87">
        <f>SUMIFS('caseload data'!T:T,'caseload data'!$D:$D,"PO",'caseload data'!$C:$C,'cluster overview'!$B$97,'caseload data'!$B:$B,"custody")</f>
        <v>0</v>
      </c>
      <c r="U113" s="87" t="s">
        <v>1037</v>
      </c>
      <c r="V113" s="79" t="str">
        <f>IFERROR(C$113/SUM(C$113:C$116),"")</f>
        <v/>
      </c>
      <c r="W113" s="79" t="str">
        <f t="shared" ref="W113:AK113" si="16">IFERROR(D$113/SUM(D$113:D$116),"")</f>
        <v/>
      </c>
      <c r="X113" s="79" t="str">
        <f t="shared" si="16"/>
        <v/>
      </c>
      <c r="Y113" s="79" t="str">
        <f t="shared" si="16"/>
        <v/>
      </c>
      <c r="Z113" s="79" t="str">
        <f t="shared" si="16"/>
        <v/>
      </c>
      <c r="AA113" s="79" t="str">
        <f t="shared" si="16"/>
        <v/>
      </c>
      <c r="AB113" s="79" t="str">
        <f t="shared" si="16"/>
        <v/>
      </c>
      <c r="AC113" s="79" t="str">
        <f t="shared" si="16"/>
        <v/>
      </c>
      <c r="AD113" s="79" t="str">
        <f t="shared" si="16"/>
        <v/>
      </c>
      <c r="AE113" s="79" t="str">
        <f t="shared" si="16"/>
        <v/>
      </c>
      <c r="AF113" s="79" t="str">
        <f t="shared" si="16"/>
        <v/>
      </c>
      <c r="AG113" s="79" t="str">
        <f t="shared" si="16"/>
        <v/>
      </c>
      <c r="AH113" s="79" t="str">
        <f t="shared" si="16"/>
        <v/>
      </c>
      <c r="AI113" s="79" t="str">
        <f t="shared" si="16"/>
        <v/>
      </c>
      <c r="AJ113" s="79" t="str">
        <f t="shared" si="16"/>
        <v/>
      </c>
      <c r="AK113" s="79" t="str">
        <f t="shared" si="16"/>
        <v/>
      </c>
    </row>
    <row r="114" spans="2:37" ht="14.25" customHeight="1" x14ac:dyDescent="0.15">
      <c r="B114" s="87" t="s">
        <v>1038</v>
      </c>
      <c r="C114" s="87">
        <f>SUMIFS('caseload data'!E:E,'caseload data'!$D:$D,"PSO",'caseload data'!$C:$C,'cluster overview'!$B$97,'caseload data'!$B:$B,"custody")</f>
        <v>0</v>
      </c>
      <c r="D114" s="87">
        <f>SUMIFS('caseload data'!F:F,'caseload data'!$D:$D,"PSO",'caseload data'!$C:$C,'cluster overview'!$B$97,'caseload data'!$B:$B,"custody")</f>
        <v>0</v>
      </c>
      <c r="E114" s="87">
        <f>SUMIFS('caseload data'!G:G,'caseload data'!$D:$D,"PSO",'caseload data'!$C:$C,'cluster overview'!$B$97,'caseload data'!$B:$B,"custody")</f>
        <v>0</v>
      </c>
      <c r="F114" s="87">
        <f>SUMIFS('caseload data'!H:H,'caseload data'!$D:$D,"PSO",'caseload data'!$C:$C,'cluster overview'!$B$97,'caseload data'!$B:$B,"custody")</f>
        <v>0</v>
      </c>
      <c r="G114" s="87">
        <f>SUMIFS('caseload data'!I:I,'caseload data'!$D:$D,"PSO",'caseload data'!$C:$C,'cluster overview'!$B$97,'caseload data'!$B:$B,"custody")</f>
        <v>0</v>
      </c>
      <c r="H114" s="87">
        <f>SUMIFS('caseload data'!J:J,'caseload data'!$D:$D,"PSO",'caseload data'!$C:$C,'cluster overview'!$B$97,'caseload data'!$B:$B,"custody")</f>
        <v>0</v>
      </c>
      <c r="I114" s="87">
        <f>SUMIFS('caseload data'!K:K,'caseload data'!$D:$D,"PSO",'caseload data'!$C:$C,'cluster overview'!$B$97,'caseload data'!$B:$B,"custody")</f>
        <v>0</v>
      </c>
      <c r="J114" s="87">
        <f>SUMIFS('caseload data'!L:L,'caseload data'!$D:$D,"PSO",'caseload data'!$C:$C,'cluster overview'!$B$97,'caseload data'!$B:$B,"custody")</f>
        <v>0</v>
      </c>
      <c r="K114" s="87">
        <f>SUMIFS('caseload data'!M:M,'caseload data'!$D:$D,"PSO",'caseload data'!$C:$C,'cluster overview'!$B$97,'caseload data'!$B:$B,"custody")</f>
        <v>0</v>
      </c>
      <c r="L114" s="87">
        <f>SUMIFS('caseload data'!N:N,'caseload data'!$D:$D,"PSO",'caseload data'!$C:$C,'cluster overview'!$B$97,'caseload data'!$B:$B,"custody")</f>
        <v>0</v>
      </c>
      <c r="M114" s="87">
        <f>SUMIFS('caseload data'!O:O,'caseload data'!$D:$D,"PSO",'caseload data'!$C:$C,'cluster overview'!$B$97,'caseload data'!$B:$B,"custody")</f>
        <v>0</v>
      </c>
      <c r="N114" s="87">
        <f>SUMIFS('caseload data'!P:P,'caseload data'!$D:$D,"PSO",'caseload data'!$C:$C,'cluster overview'!$B$97,'caseload data'!$B:$B,"custody")</f>
        <v>0</v>
      </c>
      <c r="O114" s="87">
        <f>SUMIFS('caseload data'!Q:Q,'caseload data'!$D:$D,"PSO",'caseload data'!$C:$C,'cluster overview'!$B$97,'caseload data'!$B:$B,"custody")</f>
        <v>0</v>
      </c>
      <c r="P114" s="87">
        <f>SUMIFS('caseload data'!R:R,'caseload data'!$D:$D,"PSO",'caseload data'!$C:$C,'cluster overview'!$B$97,'caseload data'!$B:$B,"custody")</f>
        <v>0</v>
      </c>
      <c r="Q114" s="87">
        <f>SUMIFS('caseload data'!S:S,'caseload data'!$D:$D,"PSO",'caseload data'!$C:$C,'cluster overview'!$B$97,'caseload data'!$B:$B,"custody")</f>
        <v>0</v>
      </c>
      <c r="R114" s="87">
        <f>SUMIFS('caseload data'!T:T,'caseload data'!$D:$D,"PSO",'caseload data'!$C:$C,'cluster overview'!$B$97,'caseload data'!$B:$B,"custody")</f>
        <v>0</v>
      </c>
      <c r="U114" s="87" t="s">
        <v>1038</v>
      </c>
      <c r="V114" s="79" t="str">
        <f>IFERROR(C$114/SUM(C$113:C$116),"")</f>
        <v/>
      </c>
      <c r="W114" s="79" t="str">
        <f t="shared" ref="W114:AK114" si="17">IFERROR(D$114/SUM(D$113:D$116),"")</f>
        <v/>
      </c>
      <c r="X114" s="79" t="str">
        <f t="shared" si="17"/>
        <v/>
      </c>
      <c r="Y114" s="79" t="str">
        <f t="shared" si="17"/>
        <v/>
      </c>
      <c r="Z114" s="79" t="str">
        <f t="shared" si="17"/>
        <v/>
      </c>
      <c r="AA114" s="79" t="str">
        <f t="shared" si="17"/>
        <v/>
      </c>
      <c r="AB114" s="79" t="str">
        <f t="shared" si="17"/>
        <v/>
      </c>
      <c r="AC114" s="79" t="str">
        <f t="shared" si="17"/>
        <v/>
      </c>
      <c r="AD114" s="79" t="str">
        <f t="shared" si="17"/>
        <v/>
      </c>
      <c r="AE114" s="79" t="str">
        <f t="shared" si="17"/>
        <v/>
      </c>
      <c r="AF114" s="79" t="str">
        <f t="shared" si="17"/>
        <v/>
      </c>
      <c r="AG114" s="79" t="str">
        <f t="shared" si="17"/>
        <v/>
      </c>
      <c r="AH114" s="79" t="str">
        <f t="shared" si="17"/>
        <v/>
      </c>
      <c r="AI114" s="79" t="str">
        <f t="shared" si="17"/>
        <v/>
      </c>
      <c r="AJ114" s="79" t="str">
        <f t="shared" si="17"/>
        <v/>
      </c>
      <c r="AK114" s="79" t="str">
        <f t="shared" si="17"/>
        <v/>
      </c>
    </row>
    <row r="115" spans="2:37" ht="14.25" customHeight="1" x14ac:dyDescent="0.15">
      <c r="B115" s="87" t="s">
        <v>1039</v>
      </c>
      <c r="C115" s="87">
        <f>SUMIFS('caseload data'!E:E,'caseload data'!$D:$D,"TPO",'caseload data'!$C:$C,'cluster overview'!$B$97,'caseload data'!$B:$B,"custody")</f>
        <v>0</v>
      </c>
      <c r="D115" s="87">
        <f>SUMIFS('caseload data'!F:F,'caseload data'!$D:$D,"TPO",'caseload data'!$C:$C,'cluster overview'!$B$97,'caseload data'!$B:$B,"custody")</f>
        <v>0</v>
      </c>
      <c r="E115" s="87">
        <f>SUMIFS('caseload data'!G:G,'caseload data'!$D:$D,"TPO",'caseload data'!$C:$C,'cluster overview'!$B$97,'caseload data'!$B:$B,"custody")</f>
        <v>0</v>
      </c>
      <c r="F115" s="87">
        <f>SUMIFS('caseload data'!H:H,'caseload data'!$D:$D,"TPO",'caseload data'!$C:$C,'cluster overview'!$B$97,'caseload data'!$B:$B,"custody")</f>
        <v>0</v>
      </c>
      <c r="G115" s="87">
        <f>SUMIFS('caseload data'!I:I,'caseload data'!$D:$D,"TPO",'caseload data'!$C:$C,'cluster overview'!$B$97,'caseload data'!$B:$B,"custody")</f>
        <v>0</v>
      </c>
      <c r="H115" s="87">
        <f>SUMIFS('caseload data'!J:J,'caseload data'!$D:$D,"TPO",'caseload data'!$C:$C,'cluster overview'!$B$97,'caseload data'!$B:$B,"custody")</f>
        <v>0</v>
      </c>
      <c r="I115" s="87">
        <f>SUMIFS('caseload data'!K:K,'caseload data'!$D:$D,"TPO",'caseload data'!$C:$C,'cluster overview'!$B$97,'caseload data'!$B:$B,"custody")</f>
        <v>0</v>
      </c>
      <c r="J115" s="87">
        <f>SUMIFS('caseload data'!L:L,'caseload data'!$D:$D,"TPO",'caseload data'!$C:$C,'cluster overview'!$B$97,'caseload data'!$B:$B,"custody")</f>
        <v>0</v>
      </c>
      <c r="K115" s="87">
        <f>SUMIFS('caseload data'!M:M,'caseload data'!$D:$D,"TPO",'caseload data'!$C:$C,'cluster overview'!$B$97,'caseload data'!$B:$B,"custody")</f>
        <v>0</v>
      </c>
      <c r="L115" s="87">
        <f>SUMIFS('caseload data'!N:N,'caseload data'!$D:$D,"TPO",'caseload data'!$C:$C,'cluster overview'!$B$97,'caseload data'!$B:$B,"custody")</f>
        <v>0</v>
      </c>
      <c r="M115" s="87">
        <f>SUMIFS('caseload data'!O:O,'caseload data'!$D:$D,"TPO",'caseload data'!$C:$C,'cluster overview'!$B$97,'caseload data'!$B:$B,"custody")</f>
        <v>0</v>
      </c>
      <c r="N115" s="87">
        <f>SUMIFS('caseload data'!P:P,'caseload data'!$D:$D,"TPO",'caseload data'!$C:$C,'cluster overview'!$B$97,'caseload data'!$B:$B,"custody")</f>
        <v>0</v>
      </c>
      <c r="O115" s="87">
        <f>SUMIFS('caseload data'!Q:Q,'caseload data'!$D:$D,"TPO",'caseload data'!$C:$C,'cluster overview'!$B$97,'caseload data'!$B:$B,"custody")</f>
        <v>0</v>
      </c>
      <c r="P115" s="87">
        <f>SUMIFS('caseload data'!R:R,'caseload data'!$D:$D,"TPO",'caseload data'!$C:$C,'cluster overview'!$B$97,'caseload data'!$B:$B,"custody")</f>
        <v>0</v>
      </c>
      <c r="Q115" s="87">
        <f>SUMIFS('caseload data'!S:S,'caseload data'!$D:$D,"TPO",'caseload data'!$C:$C,'cluster overview'!$B$97,'caseload data'!$B:$B,"custody")</f>
        <v>0</v>
      </c>
      <c r="R115" s="87">
        <f>SUMIFS('caseload data'!T:T,'caseload data'!$D:$D,"TPO",'caseload data'!$C:$C,'cluster overview'!$B$97,'caseload data'!$B:$B,"custody")</f>
        <v>0</v>
      </c>
      <c r="U115" s="87" t="s">
        <v>1039</v>
      </c>
      <c r="V115" s="79" t="str">
        <f>IFERROR(C$115/SUM(C$113:C$116),"")</f>
        <v/>
      </c>
      <c r="W115" s="79" t="str">
        <f t="shared" ref="W115:AK115" si="18">IFERROR(D$115/SUM(D$113:D$116),"")</f>
        <v/>
      </c>
      <c r="X115" s="79" t="str">
        <f t="shared" si="18"/>
        <v/>
      </c>
      <c r="Y115" s="79" t="str">
        <f t="shared" si="18"/>
        <v/>
      </c>
      <c r="Z115" s="79" t="str">
        <f t="shared" si="18"/>
        <v/>
      </c>
      <c r="AA115" s="79" t="str">
        <f t="shared" si="18"/>
        <v/>
      </c>
      <c r="AB115" s="79" t="str">
        <f t="shared" si="18"/>
        <v/>
      </c>
      <c r="AC115" s="79" t="str">
        <f t="shared" si="18"/>
        <v/>
      </c>
      <c r="AD115" s="79" t="str">
        <f t="shared" si="18"/>
        <v/>
      </c>
      <c r="AE115" s="79" t="str">
        <f t="shared" si="18"/>
        <v/>
      </c>
      <c r="AF115" s="79" t="str">
        <f t="shared" si="18"/>
        <v/>
      </c>
      <c r="AG115" s="79" t="str">
        <f t="shared" si="18"/>
        <v/>
      </c>
      <c r="AH115" s="79" t="str">
        <f t="shared" si="18"/>
        <v/>
      </c>
      <c r="AI115" s="79" t="str">
        <f t="shared" si="18"/>
        <v/>
      </c>
      <c r="AJ115" s="79" t="str">
        <f t="shared" si="18"/>
        <v/>
      </c>
      <c r="AK115" s="79" t="str">
        <f t="shared" si="18"/>
        <v/>
      </c>
    </row>
    <row r="116" spans="2:37" ht="14.25" customHeight="1" x14ac:dyDescent="0.15">
      <c r="B116" s="87" t="s">
        <v>1040</v>
      </c>
      <c r="C116" s="87">
        <f>SUMIFS('caseload data'!E:E,'caseload data'!$D:$D,"SPO",'caseload data'!$C:$C,'cluster overview'!$B$97,'caseload data'!$B:$B,"custody")</f>
        <v>0</v>
      </c>
      <c r="D116" s="87">
        <f>SUMIFS('caseload data'!F:F,'caseload data'!$D:$D,"SPO",'caseload data'!$C:$C,'cluster overview'!$B$97,'caseload data'!$B:$B,"custody")</f>
        <v>0</v>
      </c>
      <c r="E116" s="87">
        <f>SUMIFS('caseload data'!G:G,'caseload data'!$D:$D,"SPO",'caseload data'!$C:$C,'cluster overview'!$B$97,'caseload data'!$B:$B,"custody")</f>
        <v>0</v>
      </c>
      <c r="F116" s="87">
        <f>SUMIFS('caseload data'!H:H,'caseload data'!$D:$D,"SPO",'caseload data'!$C:$C,'cluster overview'!$B$97,'caseload data'!$B:$B,"custody")</f>
        <v>0</v>
      </c>
      <c r="G116" s="87">
        <f>SUMIFS('caseload data'!I:I,'caseload data'!$D:$D,"SPO",'caseload data'!$C:$C,'cluster overview'!$B$97,'caseload data'!$B:$B,"custody")</f>
        <v>0</v>
      </c>
      <c r="H116" s="87">
        <f>SUMIFS('caseload data'!J:J,'caseload data'!$D:$D,"SPO",'caseload data'!$C:$C,'cluster overview'!$B$97,'caseload data'!$B:$B,"custody")</f>
        <v>0</v>
      </c>
      <c r="I116" s="87">
        <f>SUMIFS('caseload data'!K:K,'caseload data'!$D:$D,"SPO",'caseload data'!$C:$C,'cluster overview'!$B$97,'caseload data'!$B:$B,"custody")</f>
        <v>0</v>
      </c>
      <c r="J116" s="87">
        <f>SUMIFS('caseload data'!L:L,'caseload data'!$D:$D,"SPO",'caseload data'!$C:$C,'cluster overview'!$B$97,'caseload data'!$B:$B,"custody")</f>
        <v>0</v>
      </c>
      <c r="K116" s="87">
        <f>SUMIFS('caseload data'!M:M,'caseload data'!$D:$D,"SPO",'caseload data'!$C:$C,'cluster overview'!$B$97,'caseload data'!$B:$B,"custody")</f>
        <v>0</v>
      </c>
      <c r="L116" s="87">
        <f>SUMIFS('caseload data'!N:N,'caseload data'!$D:$D,"SPO",'caseload data'!$C:$C,'cluster overview'!$B$97,'caseload data'!$B:$B,"custody")</f>
        <v>0</v>
      </c>
      <c r="M116" s="87">
        <f>SUMIFS('caseload data'!O:O,'caseload data'!$D:$D,"SPO",'caseload data'!$C:$C,'cluster overview'!$B$97,'caseload data'!$B:$B,"custody")</f>
        <v>0</v>
      </c>
      <c r="N116" s="87">
        <f>SUMIFS('caseload data'!P:P,'caseload data'!$D:$D,"SPO",'caseload data'!$C:$C,'cluster overview'!$B$97,'caseload data'!$B:$B,"custody")</f>
        <v>0</v>
      </c>
      <c r="O116" s="87">
        <f>SUMIFS('caseload data'!Q:Q,'caseload data'!$D:$D,"SPO",'caseload data'!$C:$C,'cluster overview'!$B$97,'caseload data'!$B:$B,"custody")</f>
        <v>0</v>
      </c>
      <c r="P116" s="87">
        <f>SUMIFS('caseload data'!R:R,'caseload data'!$D:$D,"SPO",'caseload data'!$C:$C,'cluster overview'!$B$97,'caseload data'!$B:$B,"custody")</f>
        <v>0</v>
      </c>
      <c r="Q116" s="87">
        <f>SUMIFS('caseload data'!S:S,'caseload data'!$D:$D,"SPO",'caseload data'!$C:$C,'cluster overview'!$B$97,'caseload data'!$B:$B,"custody")</f>
        <v>0</v>
      </c>
      <c r="R116" s="87">
        <f>SUMIFS('caseload data'!T:T,'caseload data'!$D:$D,"SPO",'caseload data'!$C:$C,'cluster overview'!$B$97,'caseload data'!$B:$B,"custody")</f>
        <v>0</v>
      </c>
      <c r="U116" s="87" t="s">
        <v>1040</v>
      </c>
      <c r="V116" s="79" t="str">
        <f>IFERROR(C$116/SUM(C$113:C$116),"")</f>
        <v/>
      </c>
      <c r="W116" s="79" t="str">
        <f t="shared" ref="W116:AK116" si="19">IFERROR(D$116/SUM(D$113:D$116),"")</f>
        <v/>
      </c>
      <c r="X116" s="79" t="str">
        <f t="shared" si="19"/>
        <v/>
      </c>
      <c r="Y116" s="79" t="str">
        <f t="shared" si="19"/>
        <v/>
      </c>
      <c r="Z116" s="79" t="str">
        <f t="shared" si="19"/>
        <v/>
      </c>
      <c r="AA116" s="79" t="str">
        <f t="shared" si="19"/>
        <v/>
      </c>
      <c r="AB116" s="79" t="str">
        <f t="shared" si="19"/>
        <v/>
      </c>
      <c r="AC116" s="79" t="str">
        <f t="shared" si="19"/>
        <v/>
      </c>
      <c r="AD116" s="79" t="str">
        <f t="shared" si="19"/>
        <v/>
      </c>
      <c r="AE116" s="79" t="str">
        <f t="shared" si="19"/>
        <v/>
      </c>
      <c r="AF116" s="79" t="str">
        <f t="shared" si="19"/>
        <v/>
      </c>
      <c r="AG116" s="79" t="str">
        <f t="shared" si="19"/>
        <v/>
      </c>
      <c r="AH116" s="79" t="str">
        <f t="shared" si="19"/>
        <v/>
      </c>
      <c r="AI116" s="79" t="str">
        <f t="shared" si="19"/>
        <v/>
      </c>
      <c r="AJ116" s="79" t="str">
        <f t="shared" si="19"/>
        <v/>
      </c>
      <c r="AK116" s="79" t="str">
        <f t="shared" si="19"/>
        <v/>
      </c>
    </row>
    <row r="117" spans="2:37" ht="14.25" customHeight="1" x14ac:dyDescent="0.15"/>
    <row r="118" spans="2:37" ht="16" x14ac:dyDescent="0.2">
      <c r="B118" s="127" t="str">
        <f>B6</f>
        <v>Dyfed Powys</v>
      </c>
      <c r="C118" s="286" t="s">
        <v>1204</v>
      </c>
      <c r="D118" s="287"/>
      <c r="E118" s="287"/>
      <c r="F118" s="287"/>
      <c r="G118" s="287"/>
      <c r="H118" s="287"/>
      <c r="I118" s="287"/>
      <c r="J118" s="287"/>
      <c r="K118" s="287"/>
      <c r="L118" s="287"/>
      <c r="M118" s="287"/>
      <c r="N118" s="287"/>
      <c r="O118" s="287"/>
      <c r="P118" s="287"/>
      <c r="Q118" s="287"/>
      <c r="R118" s="287"/>
      <c r="U118" s="127" t="str">
        <f>B6</f>
        <v>Dyfed Powys</v>
      </c>
      <c r="V118" s="286" t="s">
        <v>1225</v>
      </c>
      <c r="W118" s="287"/>
      <c r="X118" s="287"/>
      <c r="Y118" s="287"/>
      <c r="Z118" s="287"/>
      <c r="AA118" s="287"/>
      <c r="AB118" s="287"/>
      <c r="AC118" s="287"/>
      <c r="AD118" s="287"/>
      <c r="AE118" s="287"/>
      <c r="AF118" s="287"/>
      <c r="AG118" s="287"/>
      <c r="AH118" s="287"/>
      <c r="AI118" s="287"/>
      <c r="AJ118" s="287"/>
      <c r="AK118" s="287"/>
    </row>
    <row r="119" spans="2:37" ht="14.25" customHeight="1" x14ac:dyDescent="0.15">
      <c r="B119" s="108" t="s">
        <v>1199</v>
      </c>
      <c r="C119" s="42" t="s">
        <v>1019</v>
      </c>
      <c r="D119" s="42" t="s">
        <v>1020</v>
      </c>
      <c r="E119" s="42" t="s">
        <v>1021</v>
      </c>
      <c r="F119" s="42" t="s">
        <v>1022</v>
      </c>
      <c r="G119" s="42" t="s">
        <v>1023</v>
      </c>
      <c r="H119" s="42" t="s">
        <v>1024</v>
      </c>
      <c r="I119" s="42" t="s">
        <v>1025</v>
      </c>
      <c r="J119" s="42" t="s">
        <v>1026</v>
      </c>
      <c r="K119" s="42" t="s">
        <v>1027</v>
      </c>
      <c r="L119" s="42" t="s">
        <v>1028</v>
      </c>
      <c r="M119" s="42" t="s">
        <v>1029</v>
      </c>
      <c r="N119" s="42" t="s">
        <v>1030</v>
      </c>
      <c r="O119" s="42" t="s">
        <v>1031</v>
      </c>
      <c r="P119" s="42" t="s">
        <v>1032</v>
      </c>
      <c r="Q119" s="42" t="s">
        <v>1033</v>
      </c>
      <c r="R119" s="42" t="s">
        <v>1034</v>
      </c>
      <c r="U119" s="58" t="s">
        <v>1199</v>
      </c>
      <c r="V119" s="42" t="s">
        <v>1019</v>
      </c>
      <c r="W119" s="42" t="s">
        <v>1020</v>
      </c>
      <c r="X119" s="42" t="s">
        <v>1021</v>
      </c>
      <c r="Y119" s="42" t="s">
        <v>1022</v>
      </c>
      <c r="Z119" s="42" t="s">
        <v>1023</v>
      </c>
      <c r="AA119" s="42" t="s">
        <v>1024</v>
      </c>
      <c r="AB119" s="42" t="s">
        <v>1025</v>
      </c>
      <c r="AC119" s="42" t="s">
        <v>1026</v>
      </c>
      <c r="AD119" s="42" t="s">
        <v>1027</v>
      </c>
      <c r="AE119" s="42" t="s">
        <v>1028</v>
      </c>
      <c r="AF119" s="42" t="s">
        <v>1029</v>
      </c>
      <c r="AG119" s="42" t="s">
        <v>1030</v>
      </c>
      <c r="AH119" s="42" t="s">
        <v>1031</v>
      </c>
      <c r="AI119" s="42" t="s">
        <v>1032</v>
      </c>
      <c r="AJ119" s="42" t="s">
        <v>1033</v>
      </c>
      <c r="AK119" s="42" t="s">
        <v>1034</v>
      </c>
    </row>
    <row r="120" spans="2:37" ht="14.25" customHeight="1" x14ac:dyDescent="0.15">
      <c r="B120" s="87" t="s">
        <v>1037</v>
      </c>
      <c r="C120" s="87">
        <f>SUMIFS('caseload data'!E:E,'caseload data'!$D:$D,"PO",'caseload data'!$C:$C,'cluster overview'!$B$104)</f>
        <v>0</v>
      </c>
      <c r="D120" s="87">
        <f>SUMIFS('caseload data'!F:F,'caseload data'!$D:$D,"PO",'caseload data'!$C:$C,'cluster overview'!$B$104)</f>
        <v>0</v>
      </c>
      <c r="E120" s="87">
        <f>SUMIFS('caseload data'!G:G,'caseload data'!$D:$D,"PO",'caseload data'!$C:$C,'cluster overview'!$B$104)</f>
        <v>0</v>
      </c>
      <c r="F120" s="87">
        <f>SUMIFS('caseload data'!H:H,'caseload data'!$D:$D,"PO",'caseload data'!$C:$C,'cluster overview'!$B$104)</f>
        <v>0</v>
      </c>
      <c r="G120" s="87">
        <f>SUMIFS('caseload data'!I:I,'caseload data'!$D:$D,"PO",'caseload data'!$C:$C,'cluster overview'!$B$104)</f>
        <v>0</v>
      </c>
      <c r="H120" s="87">
        <f>SUMIFS('caseload data'!J:J,'caseload data'!$D:$D,"PO",'caseload data'!$C:$C,'cluster overview'!$B$104)</f>
        <v>0</v>
      </c>
      <c r="I120" s="87">
        <f>SUMIFS('caseload data'!K:K,'caseload data'!$D:$D,"PO",'caseload data'!$C:$C,'cluster overview'!$B$104)</f>
        <v>0</v>
      </c>
      <c r="J120" s="87">
        <f>SUMIFS('caseload data'!L:L,'caseload data'!$D:$D,"PO",'caseload data'!$C:$C,'cluster overview'!$B$104)</f>
        <v>0</v>
      </c>
      <c r="K120" s="87">
        <f>SUMIFS('caseload data'!M:M,'caseload data'!$D:$D,"PO",'caseload data'!$C:$C,'cluster overview'!$B$104)</f>
        <v>0</v>
      </c>
      <c r="L120" s="87">
        <f>SUMIFS('caseload data'!N:N,'caseload data'!$D:$D,"PO",'caseload data'!$C:$C,'cluster overview'!$B$104)</f>
        <v>0</v>
      </c>
      <c r="M120" s="87">
        <f>SUMIFS('caseload data'!O:O,'caseload data'!$D:$D,"PO",'caseload data'!$C:$C,'cluster overview'!$B$104)</f>
        <v>0</v>
      </c>
      <c r="N120" s="87">
        <f>SUMIFS('caseload data'!P:P,'caseload data'!$D:$D,"PO",'caseload data'!$C:$C,'cluster overview'!$B$104)</f>
        <v>0</v>
      </c>
      <c r="O120" s="87">
        <f>SUMIFS('caseload data'!Q:Q,'caseload data'!$D:$D,"PO",'caseload data'!$C:$C,'cluster overview'!$B$104)</f>
        <v>0</v>
      </c>
      <c r="P120" s="87">
        <f>SUMIFS('caseload data'!R:R,'caseload data'!$D:$D,"PO",'caseload data'!$C:$C,'cluster overview'!$B$104)</f>
        <v>0</v>
      </c>
      <c r="Q120" s="87">
        <f>SUMIFS('caseload data'!S:S,'caseload data'!$D:$D,"PO",'caseload data'!$C:$C,'cluster overview'!$B$104)</f>
        <v>0</v>
      </c>
      <c r="R120" s="87">
        <f>SUMIFS('caseload data'!T:T,'caseload data'!$D:$D,"PO",'caseload data'!$C:$C,'cluster overview'!$B$104)</f>
        <v>0</v>
      </c>
      <c r="U120" s="87" t="s">
        <v>1037</v>
      </c>
      <c r="V120" s="79" t="str">
        <f>IFERROR(C$120/SUM(C$120:C$123),"")</f>
        <v/>
      </c>
      <c r="W120" s="79" t="str">
        <f t="shared" ref="W120:AK120" si="20">IFERROR(D$120/SUM(D$120:D$123),"")</f>
        <v/>
      </c>
      <c r="X120" s="79" t="str">
        <f t="shared" si="20"/>
        <v/>
      </c>
      <c r="Y120" s="79" t="str">
        <f t="shared" si="20"/>
        <v/>
      </c>
      <c r="Z120" s="79" t="str">
        <f t="shared" si="20"/>
        <v/>
      </c>
      <c r="AA120" s="79" t="str">
        <f t="shared" si="20"/>
        <v/>
      </c>
      <c r="AB120" s="79" t="str">
        <f t="shared" si="20"/>
        <v/>
      </c>
      <c r="AC120" s="79" t="str">
        <f t="shared" si="20"/>
        <v/>
      </c>
      <c r="AD120" s="79" t="str">
        <f t="shared" si="20"/>
        <v/>
      </c>
      <c r="AE120" s="79" t="str">
        <f t="shared" si="20"/>
        <v/>
      </c>
      <c r="AF120" s="79" t="str">
        <f t="shared" si="20"/>
        <v/>
      </c>
      <c r="AG120" s="79" t="str">
        <f t="shared" si="20"/>
        <v/>
      </c>
      <c r="AH120" s="79" t="str">
        <f t="shared" si="20"/>
        <v/>
      </c>
      <c r="AI120" s="79" t="str">
        <f t="shared" si="20"/>
        <v/>
      </c>
      <c r="AJ120" s="79" t="str">
        <f t="shared" si="20"/>
        <v/>
      </c>
      <c r="AK120" s="79" t="str">
        <f t="shared" si="20"/>
        <v/>
      </c>
    </row>
    <row r="121" spans="2:37" ht="14.25" customHeight="1" x14ac:dyDescent="0.15">
      <c r="B121" s="87" t="s">
        <v>1038</v>
      </c>
      <c r="C121" s="87">
        <f>SUMIFS('caseload data'!E:E,'caseload data'!$D:$D,"PSO",'caseload data'!$C:$C,'cluster overview'!$B$104)</f>
        <v>0</v>
      </c>
      <c r="D121" s="87">
        <f>SUMIFS('caseload data'!F:F,'caseload data'!$D:$D,"PSO",'caseload data'!$C:$C,'cluster overview'!$B$104)</f>
        <v>0</v>
      </c>
      <c r="E121" s="87">
        <f>SUMIFS('caseload data'!G:G,'caseload data'!$D:$D,"PSO",'caseload data'!$C:$C,'cluster overview'!$B$104)</f>
        <v>0</v>
      </c>
      <c r="F121" s="87">
        <f>SUMIFS('caseload data'!H:H,'caseload data'!$D:$D,"PSO",'caseload data'!$C:$C,'cluster overview'!$B$104)</f>
        <v>0</v>
      </c>
      <c r="G121" s="87">
        <f>SUMIFS('caseload data'!I:I,'caseload data'!$D:$D,"PSO",'caseload data'!$C:$C,'cluster overview'!$B$104)</f>
        <v>0</v>
      </c>
      <c r="H121" s="87">
        <f>SUMIFS('caseload data'!J:J,'caseload data'!$D:$D,"PSO",'caseload data'!$C:$C,'cluster overview'!$B$104)</f>
        <v>0</v>
      </c>
      <c r="I121" s="87">
        <f>SUMIFS('caseload data'!K:K,'caseload data'!$D:$D,"PSO",'caseload data'!$C:$C,'cluster overview'!$B$104)</f>
        <v>0</v>
      </c>
      <c r="J121" s="87">
        <f>SUMIFS('caseload data'!L:L,'caseload data'!$D:$D,"PSO",'caseload data'!$C:$C,'cluster overview'!$B$104)</f>
        <v>0</v>
      </c>
      <c r="K121" s="87">
        <f>SUMIFS('caseload data'!M:M,'caseload data'!$D:$D,"PSO",'caseload data'!$C:$C,'cluster overview'!$B$104)</f>
        <v>0</v>
      </c>
      <c r="L121" s="87">
        <f>SUMIFS('caseload data'!N:N,'caseload data'!$D:$D,"PSO",'caseload data'!$C:$C,'cluster overview'!$B$104)</f>
        <v>0</v>
      </c>
      <c r="M121" s="87">
        <f>SUMIFS('caseload data'!O:O,'caseload data'!$D:$D,"PSO",'caseload data'!$C:$C,'cluster overview'!$B$104)</f>
        <v>0</v>
      </c>
      <c r="N121" s="87">
        <f>SUMIFS('caseload data'!P:P,'caseload data'!$D:$D,"PSO",'caseload data'!$C:$C,'cluster overview'!$B$104)</f>
        <v>0</v>
      </c>
      <c r="O121" s="87">
        <f>SUMIFS('caseload data'!Q:Q,'caseload data'!$D:$D,"PSO",'caseload data'!$C:$C,'cluster overview'!$B$104)</f>
        <v>0</v>
      </c>
      <c r="P121" s="87">
        <f>SUMIFS('caseload data'!R:R,'caseload data'!$D:$D,"PSO",'caseload data'!$C:$C,'cluster overview'!$B$104)</f>
        <v>0</v>
      </c>
      <c r="Q121" s="87">
        <f>SUMIFS('caseload data'!S:S,'caseload data'!$D:$D,"PSO",'caseload data'!$C:$C,'cluster overview'!$B$104)</f>
        <v>0</v>
      </c>
      <c r="R121" s="87">
        <f>SUMIFS('caseload data'!T:T,'caseload data'!$D:$D,"PSO",'caseload data'!$C:$C,'cluster overview'!$B$104)</f>
        <v>0</v>
      </c>
      <c r="U121" s="87" t="s">
        <v>1038</v>
      </c>
      <c r="V121" s="79" t="str">
        <f>IFERROR(C$121/SUM(C$120:C$123),"")</f>
        <v/>
      </c>
      <c r="W121" s="79" t="str">
        <f t="shared" ref="W121:AK121" si="21">IFERROR(D$121/SUM(D$120:D$123),"")</f>
        <v/>
      </c>
      <c r="X121" s="79" t="str">
        <f t="shared" si="21"/>
        <v/>
      </c>
      <c r="Y121" s="79" t="str">
        <f t="shared" si="21"/>
        <v/>
      </c>
      <c r="Z121" s="79" t="str">
        <f t="shared" si="21"/>
        <v/>
      </c>
      <c r="AA121" s="79" t="str">
        <f t="shared" si="21"/>
        <v/>
      </c>
      <c r="AB121" s="79" t="str">
        <f t="shared" si="21"/>
        <v/>
      </c>
      <c r="AC121" s="79" t="str">
        <f t="shared" si="21"/>
        <v/>
      </c>
      <c r="AD121" s="79" t="str">
        <f t="shared" si="21"/>
        <v/>
      </c>
      <c r="AE121" s="79" t="str">
        <f t="shared" si="21"/>
        <v/>
      </c>
      <c r="AF121" s="79" t="str">
        <f t="shared" si="21"/>
        <v/>
      </c>
      <c r="AG121" s="79" t="str">
        <f t="shared" si="21"/>
        <v/>
      </c>
      <c r="AH121" s="79" t="str">
        <f t="shared" si="21"/>
        <v/>
      </c>
      <c r="AI121" s="79" t="str">
        <f t="shared" si="21"/>
        <v/>
      </c>
      <c r="AJ121" s="79" t="str">
        <f t="shared" si="21"/>
        <v/>
      </c>
      <c r="AK121" s="79" t="str">
        <f t="shared" si="21"/>
        <v/>
      </c>
    </row>
    <row r="122" spans="2:37" ht="14.25" customHeight="1" x14ac:dyDescent="0.15">
      <c r="B122" s="87" t="s">
        <v>1039</v>
      </c>
      <c r="C122" s="87">
        <f>SUMIFS('caseload data'!E:E,'caseload data'!$D:$D,"TPO",'caseload data'!$C:$C,'cluster overview'!$B$104)</f>
        <v>0</v>
      </c>
      <c r="D122" s="87">
        <f>SUMIFS('caseload data'!F:F,'caseload data'!$D:$D,"TPO",'caseload data'!$C:$C,'cluster overview'!$B$104)</f>
        <v>0</v>
      </c>
      <c r="E122" s="87">
        <f>SUMIFS('caseload data'!G:G,'caseload data'!$D:$D,"TPO",'caseload data'!$C:$C,'cluster overview'!$B$104)</f>
        <v>0</v>
      </c>
      <c r="F122" s="87">
        <f>SUMIFS('caseload data'!H:H,'caseload data'!$D:$D,"TPO",'caseload data'!$C:$C,'cluster overview'!$B$104)</f>
        <v>0</v>
      </c>
      <c r="G122" s="87">
        <f>SUMIFS('caseload data'!I:I,'caseload data'!$D:$D,"TPO",'caseload data'!$C:$C,'cluster overview'!$B$104)</f>
        <v>0</v>
      </c>
      <c r="H122" s="87">
        <f>SUMIFS('caseload data'!J:J,'caseload data'!$D:$D,"TPO",'caseload data'!$C:$C,'cluster overview'!$B$104)</f>
        <v>0</v>
      </c>
      <c r="I122" s="87">
        <f>SUMIFS('caseload data'!K:K,'caseload data'!$D:$D,"TPO",'caseload data'!$C:$C,'cluster overview'!$B$104)</f>
        <v>0</v>
      </c>
      <c r="J122" s="87">
        <f>SUMIFS('caseload data'!L:L,'caseload data'!$D:$D,"TPO",'caseload data'!$C:$C,'cluster overview'!$B$104)</f>
        <v>0</v>
      </c>
      <c r="K122" s="87">
        <f>SUMIFS('caseload data'!M:M,'caseload data'!$D:$D,"TPO",'caseload data'!$C:$C,'cluster overview'!$B$104)</f>
        <v>0</v>
      </c>
      <c r="L122" s="87">
        <f>SUMIFS('caseload data'!N:N,'caseload data'!$D:$D,"TPO",'caseload data'!$C:$C,'cluster overview'!$B$104)</f>
        <v>0</v>
      </c>
      <c r="M122" s="87">
        <f>SUMIFS('caseload data'!O:O,'caseload data'!$D:$D,"TPO",'caseload data'!$C:$C,'cluster overview'!$B$104)</f>
        <v>0</v>
      </c>
      <c r="N122" s="87">
        <f>SUMIFS('caseload data'!P:P,'caseload data'!$D:$D,"TPO",'caseload data'!$C:$C,'cluster overview'!$B$104)</f>
        <v>0</v>
      </c>
      <c r="O122" s="87">
        <f>SUMIFS('caseload data'!Q:Q,'caseload data'!$D:$D,"TPO",'caseload data'!$C:$C,'cluster overview'!$B$104)</f>
        <v>0</v>
      </c>
      <c r="P122" s="87">
        <f>SUMIFS('caseload data'!R:R,'caseload data'!$D:$D,"TPO",'caseload data'!$C:$C,'cluster overview'!$B$104)</f>
        <v>0</v>
      </c>
      <c r="Q122" s="87">
        <f>SUMIFS('caseload data'!S:S,'caseload data'!$D:$D,"TPO",'caseload data'!$C:$C,'cluster overview'!$B$104)</f>
        <v>0</v>
      </c>
      <c r="R122" s="87">
        <f>SUMIFS('caseload data'!T:T,'caseload data'!$D:$D,"TPO",'caseload data'!$C:$C,'cluster overview'!$B$104)</f>
        <v>0</v>
      </c>
      <c r="U122" s="87" t="s">
        <v>1039</v>
      </c>
      <c r="V122" s="79" t="str">
        <f>IFERROR(C$122/SUM(C$120:C$123),"")</f>
        <v/>
      </c>
      <c r="W122" s="79" t="str">
        <f t="shared" ref="W122:AK122" si="22">IFERROR(D$122/SUM(D$120:D$123),"")</f>
        <v/>
      </c>
      <c r="X122" s="79" t="str">
        <f t="shared" si="22"/>
        <v/>
      </c>
      <c r="Y122" s="79" t="str">
        <f t="shared" si="22"/>
        <v/>
      </c>
      <c r="Z122" s="79" t="str">
        <f t="shared" si="22"/>
        <v/>
      </c>
      <c r="AA122" s="79" t="str">
        <f t="shared" si="22"/>
        <v/>
      </c>
      <c r="AB122" s="79" t="str">
        <f t="shared" si="22"/>
        <v/>
      </c>
      <c r="AC122" s="79" t="str">
        <f t="shared" si="22"/>
        <v/>
      </c>
      <c r="AD122" s="79" t="str">
        <f t="shared" si="22"/>
        <v/>
      </c>
      <c r="AE122" s="79" t="str">
        <f t="shared" si="22"/>
        <v/>
      </c>
      <c r="AF122" s="79" t="str">
        <f t="shared" si="22"/>
        <v/>
      </c>
      <c r="AG122" s="79" t="str">
        <f t="shared" si="22"/>
        <v/>
      </c>
      <c r="AH122" s="79" t="str">
        <f t="shared" si="22"/>
        <v/>
      </c>
      <c r="AI122" s="79" t="str">
        <f t="shared" si="22"/>
        <v/>
      </c>
      <c r="AJ122" s="79" t="str">
        <f t="shared" si="22"/>
        <v/>
      </c>
      <c r="AK122" s="79" t="str">
        <f t="shared" si="22"/>
        <v/>
      </c>
    </row>
    <row r="123" spans="2:37" ht="14.25" customHeight="1" x14ac:dyDescent="0.15">
      <c r="B123" s="87" t="s">
        <v>1040</v>
      </c>
      <c r="C123" s="87">
        <f>SUMIFS('caseload data'!E:E,'caseload data'!$D:$D,"SPO",'caseload data'!$C:$C,'cluster overview'!$B$104)</f>
        <v>0</v>
      </c>
      <c r="D123" s="87">
        <f>SUMIFS('caseload data'!F:F,'caseload data'!$D:$D,"SPO",'caseload data'!$C:$C,'cluster overview'!$B$104)</f>
        <v>0</v>
      </c>
      <c r="E123" s="87">
        <f>SUMIFS('caseload data'!G:G,'caseload data'!$D:$D,"SPO",'caseload data'!$C:$C,'cluster overview'!$B$104)</f>
        <v>0</v>
      </c>
      <c r="F123" s="87">
        <f>SUMIFS('caseload data'!H:H,'caseload data'!$D:$D,"SPO",'caseload data'!$C:$C,'cluster overview'!$B$104)</f>
        <v>0</v>
      </c>
      <c r="G123" s="87">
        <f>SUMIFS('caseload data'!I:I,'caseload data'!$D:$D,"SPO",'caseload data'!$C:$C,'cluster overview'!$B$104)</f>
        <v>0</v>
      </c>
      <c r="H123" s="87">
        <f>SUMIFS('caseload data'!J:J,'caseload data'!$D:$D,"SPO",'caseload data'!$C:$C,'cluster overview'!$B$104)</f>
        <v>0</v>
      </c>
      <c r="I123" s="87">
        <f>SUMIFS('caseload data'!K:K,'caseload data'!$D:$D,"SPO",'caseload data'!$C:$C,'cluster overview'!$B$104)</f>
        <v>0</v>
      </c>
      <c r="J123" s="87">
        <f>SUMIFS('caseload data'!L:L,'caseload data'!$D:$D,"SPO",'caseload data'!$C:$C,'cluster overview'!$B$104)</f>
        <v>0</v>
      </c>
      <c r="K123" s="87">
        <f>SUMIFS('caseload data'!M:M,'caseload data'!$D:$D,"SPO",'caseload data'!$C:$C,'cluster overview'!$B$104)</f>
        <v>0</v>
      </c>
      <c r="L123" s="87">
        <f>SUMIFS('caseload data'!N:N,'caseload data'!$D:$D,"SPO",'caseload data'!$C:$C,'cluster overview'!$B$104)</f>
        <v>0</v>
      </c>
      <c r="M123" s="87">
        <f>SUMIFS('caseload data'!O:O,'caseload data'!$D:$D,"SPO",'caseload data'!$C:$C,'cluster overview'!$B$104)</f>
        <v>0</v>
      </c>
      <c r="N123" s="87">
        <f>SUMIFS('caseload data'!P:P,'caseload data'!$D:$D,"SPO",'caseload data'!$C:$C,'cluster overview'!$B$104)</f>
        <v>0</v>
      </c>
      <c r="O123" s="87">
        <f>SUMIFS('caseload data'!Q:Q,'caseload data'!$D:$D,"SPO",'caseload data'!$C:$C,'cluster overview'!$B$104)</f>
        <v>0</v>
      </c>
      <c r="P123" s="87">
        <f>SUMIFS('caseload data'!R:R,'caseload data'!$D:$D,"SPO",'caseload data'!$C:$C,'cluster overview'!$B$104)</f>
        <v>0</v>
      </c>
      <c r="Q123" s="87">
        <f>SUMIFS('caseload data'!S:S,'caseload data'!$D:$D,"SPO",'caseload data'!$C:$C,'cluster overview'!$B$104)</f>
        <v>0</v>
      </c>
      <c r="R123" s="87">
        <f>SUMIFS('caseload data'!T:T,'caseload data'!$D:$D,"SPO",'caseload data'!$C:$C,'cluster overview'!$B$104)</f>
        <v>0</v>
      </c>
      <c r="U123" s="87" t="s">
        <v>1040</v>
      </c>
      <c r="V123" s="79" t="str">
        <f>IFERROR(C$123/SUM(C$120:C$123),"")</f>
        <v/>
      </c>
      <c r="W123" s="79" t="str">
        <f t="shared" ref="W123:AK123" si="23">IFERROR(D$123/SUM(D$120:D$123),"")</f>
        <v/>
      </c>
      <c r="X123" s="79" t="str">
        <f t="shared" si="23"/>
        <v/>
      </c>
      <c r="Y123" s="79" t="str">
        <f t="shared" si="23"/>
        <v/>
      </c>
      <c r="Z123" s="79" t="str">
        <f t="shared" si="23"/>
        <v/>
      </c>
      <c r="AA123" s="79" t="str">
        <f t="shared" si="23"/>
        <v/>
      </c>
      <c r="AB123" s="79" t="str">
        <f t="shared" si="23"/>
        <v/>
      </c>
      <c r="AC123" s="79" t="str">
        <f t="shared" si="23"/>
        <v/>
      </c>
      <c r="AD123" s="79" t="str">
        <f t="shared" si="23"/>
        <v/>
      </c>
      <c r="AE123" s="79" t="str">
        <f t="shared" si="23"/>
        <v/>
      </c>
      <c r="AF123" s="79" t="str">
        <f t="shared" si="23"/>
        <v/>
      </c>
      <c r="AG123" s="79" t="str">
        <f t="shared" si="23"/>
        <v/>
      </c>
      <c r="AH123" s="79" t="str">
        <f t="shared" si="23"/>
        <v/>
      </c>
      <c r="AI123" s="79" t="str">
        <f t="shared" si="23"/>
        <v/>
      </c>
      <c r="AJ123" s="79" t="str">
        <f t="shared" si="23"/>
        <v/>
      </c>
      <c r="AK123" s="79" t="str">
        <f t="shared" si="23"/>
        <v/>
      </c>
    </row>
  </sheetData>
  <mergeCells count="25">
    <mergeCell ref="F46:F50"/>
    <mergeCell ref="G46:G50"/>
    <mergeCell ref="F34:F36"/>
    <mergeCell ref="G34:G36"/>
    <mergeCell ref="B32:D32"/>
    <mergeCell ref="F32:G32"/>
    <mergeCell ref="F37:F39"/>
    <mergeCell ref="G37:G39"/>
    <mergeCell ref="F41:F45"/>
    <mergeCell ref="G41:G45"/>
    <mergeCell ref="B26:K26"/>
    <mergeCell ref="B8:F8"/>
    <mergeCell ref="A1:S1"/>
    <mergeCell ref="A2:S2"/>
    <mergeCell ref="B19:H19"/>
    <mergeCell ref="C118:R118"/>
    <mergeCell ref="V97:AK97"/>
    <mergeCell ref="V104:AK104"/>
    <mergeCell ref="V111:AK111"/>
    <mergeCell ref="V118:AK118"/>
    <mergeCell ref="C81:S81"/>
    <mergeCell ref="C88:R88"/>
    <mergeCell ref="C97:R97"/>
    <mergeCell ref="C104:R104"/>
    <mergeCell ref="C111:R111"/>
  </mergeCells>
  <phoneticPr fontId="86" type="noConversion"/>
  <conditionalFormatting sqref="C11:E11 C10:F10">
    <cfRule type="cellIs" dxfId="5463" priority="201" operator="lessThan">
      <formula>0.9</formula>
    </cfRule>
    <cfRule type="cellIs" dxfId="5462" priority="202" operator="greaterThanOrEqual">
      <formula>1.1</formula>
    </cfRule>
  </conditionalFormatting>
  <conditionalFormatting sqref="F11">
    <cfRule type="cellIs" dxfId="5461" priority="197" operator="lessThan">
      <formula>0.9</formula>
    </cfRule>
    <cfRule type="cellIs" dxfId="5460" priority="198" operator="greaterThanOrEqual">
      <formula>1.1</formula>
    </cfRule>
  </conditionalFormatting>
  <conditionalFormatting sqref="C100:C101">
    <cfRule type="cellIs" dxfId="5459" priority="191" operator="equal">
      <formula>0</formula>
    </cfRule>
    <cfRule type="cellIs" dxfId="5458" priority="192" operator="greaterThan">
      <formula>0</formula>
    </cfRule>
  </conditionalFormatting>
  <conditionalFormatting sqref="D100:D101">
    <cfRule type="cellIs" dxfId="5457" priority="189" operator="equal">
      <formula>0</formula>
    </cfRule>
    <cfRule type="cellIs" dxfId="5456" priority="190" operator="greaterThan">
      <formula>0</formula>
    </cfRule>
  </conditionalFormatting>
  <conditionalFormatting sqref="E100:E101">
    <cfRule type="cellIs" dxfId="5455" priority="187" operator="equal">
      <formula>0</formula>
    </cfRule>
    <cfRule type="cellIs" dxfId="5454" priority="188" operator="greaterThan">
      <formula>0</formula>
    </cfRule>
  </conditionalFormatting>
  <conditionalFormatting sqref="F100:F101">
    <cfRule type="cellIs" dxfId="5453" priority="185" operator="equal">
      <formula>0</formula>
    </cfRule>
    <cfRule type="cellIs" dxfId="5452" priority="186" operator="greaterThan">
      <formula>0</formula>
    </cfRule>
  </conditionalFormatting>
  <conditionalFormatting sqref="G100:G101">
    <cfRule type="cellIs" dxfId="5451" priority="183" operator="equal">
      <formula>0</formula>
    </cfRule>
    <cfRule type="cellIs" dxfId="5450" priority="184" operator="greaterThan">
      <formula>0</formula>
    </cfRule>
  </conditionalFormatting>
  <conditionalFormatting sqref="H100:H101">
    <cfRule type="cellIs" dxfId="5449" priority="181" operator="equal">
      <formula>0</formula>
    </cfRule>
    <cfRule type="cellIs" dxfId="5448" priority="182" operator="greaterThan">
      <formula>0</formula>
    </cfRule>
  </conditionalFormatting>
  <conditionalFormatting sqref="I100:I101">
    <cfRule type="cellIs" dxfId="5447" priority="179" operator="equal">
      <formula>0</formula>
    </cfRule>
    <cfRule type="cellIs" dxfId="5446" priority="180" operator="greaterThan">
      <formula>0</formula>
    </cfRule>
  </conditionalFormatting>
  <conditionalFormatting sqref="J100:J101">
    <cfRule type="cellIs" dxfId="5445" priority="177" operator="equal">
      <formula>0</formula>
    </cfRule>
    <cfRule type="cellIs" dxfId="5444" priority="178" operator="greaterThan">
      <formula>0</formula>
    </cfRule>
  </conditionalFormatting>
  <conditionalFormatting sqref="O99">
    <cfRule type="cellIs" dxfId="5443" priority="175" operator="equal">
      <formula>0</formula>
    </cfRule>
    <cfRule type="cellIs" dxfId="5442" priority="176" operator="greaterThan">
      <formula>0</formula>
    </cfRule>
  </conditionalFormatting>
  <conditionalFormatting sqref="P99">
    <cfRule type="cellIs" dxfId="5441" priority="173" operator="equal">
      <formula>0</formula>
    </cfRule>
    <cfRule type="cellIs" dxfId="5440" priority="174" operator="greaterThan">
      <formula>0</formula>
    </cfRule>
  </conditionalFormatting>
  <conditionalFormatting sqref="Q99">
    <cfRule type="cellIs" dxfId="5439" priority="171" operator="equal">
      <formula>0</formula>
    </cfRule>
    <cfRule type="cellIs" dxfId="5438" priority="172" operator="greaterThan">
      <formula>0</formula>
    </cfRule>
  </conditionalFormatting>
  <conditionalFormatting sqref="R99">
    <cfRule type="cellIs" dxfId="5437" priority="169" operator="equal">
      <formula>0</formula>
    </cfRule>
    <cfRule type="cellIs" dxfId="5436" priority="170" operator="greaterThan">
      <formula>0</formula>
    </cfRule>
  </conditionalFormatting>
  <conditionalFormatting sqref="C107:C108">
    <cfRule type="cellIs" dxfId="5435" priority="167" operator="equal">
      <formula>0</formula>
    </cfRule>
    <cfRule type="cellIs" dxfId="5434" priority="168" operator="greaterThan">
      <formula>0</formula>
    </cfRule>
  </conditionalFormatting>
  <conditionalFormatting sqref="D107:D108">
    <cfRule type="cellIs" dxfId="5433" priority="165" operator="equal">
      <formula>0</formula>
    </cfRule>
    <cfRule type="cellIs" dxfId="5432" priority="166" operator="greaterThan">
      <formula>0</formula>
    </cfRule>
  </conditionalFormatting>
  <conditionalFormatting sqref="E107:E108">
    <cfRule type="cellIs" dxfId="5431" priority="163" operator="equal">
      <formula>0</formula>
    </cfRule>
    <cfRule type="cellIs" dxfId="5430" priority="164" operator="greaterThan">
      <formula>0</formula>
    </cfRule>
  </conditionalFormatting>
  <conditionalFormatting sqref="F107:F108">
    <cfRule type="cellIs" dxfId="5429" priority="161" operator="equal">
      <formula>0</formula>
    </cfRule>
    <cfRule type="cellIs" dxfId="5428" priority="162" operator="greaterThan">
      <formula>0</formula>
    </cfRule>
  </conditionalFormatting>
  <conditionalFormatting sqref="G107:G108">
    <cfRule type="cellIs" dxfId="5427" priority="159" operator="equal">
      <formula>0</formula>
    </cfRule>
    <cfRule type="cellIs" dxfId="5426" priority="160" operator="greaterThan">
      <formula>0</formula>
    </cfRule>
  </conditionalFormatting>
  <conditionalFormatting sqref="H107:H108">
    <cfRule type="cellIs" dxfId="5425" priority="157" operator="equal">
      <formula>0</formula>
    </cfRule>
    <cfRule type="cellIs" dxfId="5424" priority="158" operator="greaterThan">
      <formula>0</formula>
    </cfRule>
  </conditionalFormatting>
  <conditionalFormatting sqref="I107:I108">
    <cfRule type="cellIs" dxfId="5423" priority="155" operator="equal">
      <formula>0</formula>
    </cfRule>
    <cfRule type="cellIs" dxfId="5422" priority="156" operator="greaterThan">
      <formula>0</formula>
    </cfRule>
  </conditionalFormatting>
  <conditionalFormatting sqref="J107:J108">
    <cfRule type="cellIs" dxfId="5421" priority="153" operator="equal">
      <formula>0</formula>
    </cfRule>
    <cfRule type="cellIs" dxfId="5420" priority="154" operator="greaterThan">
      <formula>0</formula>
    </cfRule>
  </conditionalFormatting>
  <conditionalFormatting sqref="O106">
    <cfRule type="cellIs" dxfId="5419" priority="151" operator="equal">
      <formula>0</formula>
    </cfRule>
    <cfRule type="cellIs" dxfId="5418" priority="152" operator="greaterThan">
      <formula>0</formula>
    </cfRule>
  </conditionalFormatting>
  <conditionalFormatting sqref="P106">
    <cfRule type="cellIs" dxfId="5417" priority="149" operator="equal">
      <formula>0</formula>
    </cfRule>
    <cfRule type="cellIs" dxfId="5416" priority="150" operator="greaterThan">
      <formula>0</formula>
    </cfRule>
  </conditionalFormatting>
  <conditionalFormatting sqref="Q106">
    <cfRule type="cellIs" dxfId="5415" priority="147" operator="equal">
      <formula>0</formula>
    </cfRule>
    <cfRule type="cellIs" dxfId="5414" priority="148" operator="greaterThan">
      <formula>0</formula>
    </cfRule>
  </conditionalFormatting>
  <conditionalFormatting sqref="R106">
    <cfRule type="cellIs" dxfId="5413" priority="145" operator="equal">
      <formula>0</formula>
    </cfRule>
    <cfRule type="cellIs" dxfId="5412" priority="146" operator="greaterThan">
      <formula>0</formula>
    </cfRule>
  </conditionalFormatting>
  <conditionalFormatting sqref="C114:C115">
    <cfRule type="cellIs" dxfId="5411" priority="143" operator="equal">
      <formula>0</formula>
    </cfRule>
    <cfRule type="cellIs" dxfId="5410" priority="144" operator="greaterThan">
      <formula>0</formula>
    </cfRule>
  </conditionalFormatting>
  <conditionalFormatting sqref="D114:D115">
    <cfRule type="cellIs" dxfId="5409" priority="141" operator="equal">
      <formula>0</formula>
    </cfRule>
    <cfRule type="cellIs" dxfId="5408" priority="142" operator="greaterThan">
      <formula>0</formula>
    </cfRule>
  </conditionalFormatting>
  <conditionalFormatting sqref="E114:E115">
    <cfRule type="cellIs" dxfId="5407" priority="139" operator="equal">
      <formula>0</formula>
    </cfRule>
    <cfRule type="cellIs" dxfId="5406" priority="140" operator="greaterThan">
      <formula>0</formula>
    </cfRule>
  </conditionalFormatting>
  <conditionalFormatting sqref="F114:F115">
    <cfRule type="cellIs" dxfId="5405" priority="137" operator="equal">
      <formula>0</formula>
    </cfRule>
    <cfRule type="cellIs" dxfId="5404" priority="138" operator="greaterThan">
      <formula>0</formula>
    </cfRule>
  </conditionalFormatting>
  <conditionalFormatting sqref="G114:G115">
    <cfRule type="cellIs" dxfId="5403" priority="135" operator="equal">
      <formula>0</formula>
    </cfRule>
    <cfRule type="cellIs" dxfId="5402" priority="136" operator="greaterThan">
      <formula>0</formula>
    </cfRule>
  </conditionalFormatting>
  <conditionalFormatting sqref="H114:H115">
    <cfRule type="cellIs" dxfId="5401" priority="133" operator="equal">
      <formula>0</formula>
    </cfRule>
    <cfRule type="cellIs" dxfId="5400" priority="134" operator="greaterThan">
      <formula>0</formula>
    </cfRule>
  </conditionalFormatting>
  <conditionalFormatting sqref="I114:I115">
    <cfRule type="cellIs" dxfId="5399" priority="131" operator="equal">
      <formula>0</formula>
    </cfRule>
    <cfRule type="cellIs" dxfId="5398" priority="132" operator="greaterThan">
      <formula>0</formula>
    </cfRule>
  </conditionalFormatting>
  <conditionalFormatting sqref="J114:J115">
    <cfRule type="cellIs" dxfId="5397" priority="129" operator="equal">
      <formula>0</formula>
    </cfRule>
    <cfRule type="cellIs" dxfId="5396" priority="130" operator="greaterThan">
      <formula>0</formula>
    </cfRule>
  </conditionalFormatting>
  <conditionalFormatting sqref="O113">
    <cfRule type="cellIs" dxfId="5395" priority="127" operator="equal">
      <formula>0</formula>
    </cfRule>
    <cfRule type="cellIs" dxfId="5394" priority="128" operator="greaterThan">
      <formula>0</formula>
    </cfRule>
  </conditionalFormatting>
  <conditionalFormatting sqref="P113">
    <cfRule type="cellIs" dxfId="5393" priority="125" operator="equal">
      <formula>0</formula>
    </cfRule>
    <cfRule type="cellIs" dxfId="5392" priority="126" operator="greaterThan">
      <formula>0</formula>
    </cfRule>
  </conditionalFormatting>
  <conditionalFormatting sqref="Q113">
    <cfRule type="cellIs" dxfId="5391" priority="123" operator="equal">
      <formula>0</formula>
    </cfRule>
    <cfRule type="cellIs" dxfId="5390" priority="124" operator="greaterThan">
      <formula>0</formula>
    </cfRule>
  </conditionalFormatting>
  <conditionalFormatting sqref="R113">
    <cfRule type="cellIs" dxfId="5389" priority="121" operator="equal">
      <formula>0</formula>
    </cfRule>
    <cfRule type="cellIs" dxfId="5388" priority="122" operator="greaterThan">
      <formula>0</formula>
    </cfRule>
  </conditionalFormatting>
  <conditionalFormatting sqref="C121:C122">
    <cfRule type="cellIs" dxfId="5387" priority="119" operator="equal">
      <formula>0</formula>
    </cfRule>
    <cfRule type="cellIs" dxfId="5386" priority="120" operator="greaterThan">
      <formula>0</formula>
    </cfRule>
  </conditionalFormatting>
  <conditionalFormatting sqref="D121:D122">
    <cfRule type="cellIs" dxfId="5385" priority="117" operator="equal">
      <formula>0</formula>
    </cfRule>
    <cfRule type="cellIs" dxfId="5384" priority="118" operator="greaterThan">
      <formula>0</formula>
    </cfRule>
  </conditionalFormatting>
  <conditionalFormatting sqref="E121:E122">
    <cfRule type="cellIs" dxfId="5383" priority="115" operator="equal">
      <formula>0</formula>
    </cfRule>
    <cfRule type="cellIs" dxfId="5382" priority="116" operator="greaterThan">
      <formula>0</formula>
    </cfRule>
  </conditionalFormatting>
  <conditionalFormatting sqref="F121:F122">
    <cfRule type="cellIs" dxfId="5381" priority="113" operator="equal">
      <formula>0</formula>
    </cfRule>
    <cfRule type="cellIs" dxfId="5380" priority="114" operator="greaterThan">
      <formula>0</formula>
    </cfRule>
  </conditionalFormatting>
  <conditionalFormatting sqref="G121:G122">
    <cfRule type="cellIs" dxfId="5379" priority="111" operator="equal">
      <formula>0</formula>
    </cfRule>
    <cfRule type="cellIs" dxfId="5378" priority="112" operator="greaterThan">
      <formula>0</formula>
    </cfRule>
  </conditionalFormatting>
  <conditionalFormatting sqref="H121:H122">
    <cfRule type="cellIs" dxfId="5377" priority="109" operator="equal">
      <formula>0</formula>
    </cfRule>
    <cfRule type="cellIs" dxfId="5376" priority="110" operator="greaterThan">
      <formula>0</formula>
    </cfRule>
  </conditionalFormatting>
  <conditionalFormatting sqref="I121:I122">
    <cfRule type="cellIs" dxfId="5375" priority="107" operator="equal">
      <formula>0</formula>
    </cfRule>
    <cfRule type="cellIs" dxfId="5374" priority="108" operator="greaterThan">
      <formula>0</formula>
    </cfRule>
  </conditionalFormatting>
  <conditionalFormatting sqref="J121:J122">
    <cfRule type="cellIs" dxfId="5373" priority="105" operator="equal">
      <formula>0</formula>
    </cfRule>
    <cfRule type="cellIs" dxfId="5372" priority="106" operator="greaterThan">
      <formula>0</formula>
    </cfRule>
  </conditionalFormatting>
  <conditionalFormatting sqref="O120">
    <cfRule type="cellIs" dxfId="5371" priority="103" operator="equal">
      <formula>0</formula>
    </cfRule>
    <cfRule type="cellIs" dxfId="5370" priority="104" operator="greaterThan">
      <formula>0</formula>
    </cfRule>
  </conditionalFormatting>
  <conditionalFormatting sqref="P120">
    <cfRule type="cellIs" dxfId="5369" priority="101" operator="equal">
      <formula>0</formula>
    </cfRule>
    <cfRule type="cellIs" dxfId="5368" priority="102" operator="greaterThan">
      <formula>0</formula>
    </cfRule>
  </conditionalFormatting>
  <conditionalFormatting sqref="Q120">
    <cfRule type="cellIs" dxfId="5367" priority="99" operator="equal">
      <formula>0</formula>
    </cfRule>
    <cfRule type="cellIs" dxfId="5366" priority="100" operator="greaterThan">
      <formula>0</formula>
    </cfRule>
  </conditionalFormatting>
  <conditionalFormatting sqref="R120">
    <cfRule type="cellIs" dxfId="5365" priority="97" operator="equal">
      <formula>0</formula>
    </cfRule>
    <cfRule type="cellIs" dxfId="5364" priority="98" operator="greaterThan">
      <formula>0</formula>
    </cfRule>
  </conditionalFormatting>
  <conditionalFormatting sqref="V100:V101">
    <cfRule type="cellIs" dxfId="5363" priority="95" operator="equal">
      <formula>0</formula>
    </cfRule>
    <cfRule type="cellIs" dxfId="5362" priority="96" operator="greaterThan">
      <formula>0</formula>
    </cfRule>
  </conditionalFormatting>
  <conditionalFormatting sqref="W100:W101">
    <cfRule type="cellIs" dxfId="5361" priority="93" operator="equal">
      <formula>0</formula>
    </cfRule>
    <cfRule type="cellIs" dxfId="5360" priority="94" operator="greaterThan">
      <formula>0</formula>
    </cfRule>
  </conditionalFormatting>
  <conditionalFormatting sqref="X100:X101">
    <cfRule type="cellIs" dxfId="5359" priority="91" operator="equal">
      <formula>0</formula>
    </cfRule>
    <cfRule type="cellIs" dxfId="5358" priority="92" operator="greaterThan">
      <formula>0</formula>
    </cfRule>
  </conditionalFormatting>
  <conditionalFormatting sqref="Y100:Y101">
    <cfRule type="cellIs" dxfId="5357" priority="89" operator="equal">
      <formula>0</formula>
    </cfRule>
    <cfRule type="cellIs" dxfId="5356" priority="90" operator="greaterThan">
      <formula>0</formula>
    </cfRule>
  </conditionalFormatting>
  <conditionalFormatting sqref="Z100:Z101">
    <cfRule type="cellIs" dxfId="5355" priority="87" operator="equal">
      <formula>0</formula>
    </cfRule>
    <cfRule type="cellIs" dxfId="5354" priority="88" operator="greaterThan">
      <formula>0</formula>
    </cfRule>
  </conditionalFormatting>
  <conditionalFormatting sqref="AA100:AA101">
    <cfRule type="cellIs" dxfId="5353" priority="85" operator="equal">
      <formula>0</formula>
    </cfRule>
    <cfRule type="cellIs" dxfId="5352" priority="86" operator="greaterThan">
      <formula>0</formula>
    </cfRule>
  </conditionalFormatting>
  <conditionalFormatting sqref="AB100:AB101">
    <cfRule type="cellIs" dxfId="5351" priority="83" operator="equal">
      <formula>0</formula>
    </cfRule>
    <cfRule type="cellIs" dxfId="5350" priority="84" operator="greaterThan">
      <formula>0</formula>
    </cfRule>
  </conditionalFormatting>
  <conditionalFormatting sqref="AC100:AC101">
    <cfRule type="cellIs" dxfId="5349" priority="81" operator="equal">
      <formula>0</formula>
    </cfRule>
    <cfRule type="cellIs" dxfId="5348" priority="82" operator="greaterThan">
      <formula>0</formula>
    </cfRule>
  </conditionalFormatting>
  <conditionalFormatting sqref="AH99">
    <cfRule type="cellIs" dxfId="5347" priority="79" operator="equal">
      <formula>0</formula>
    </cfRule>
    <cfRule type="cellIs" dxfId="5346" priority="80" operator="greaterThan">
      <formula>0</formula>
    </cfRule>
  </conditionalFormatting>
  <conditionalFormatting sqref="AI99">
    <cfRule type="cellIs" dxfId="5345" priority="77" operator="equal">
      <formula>0</formula>
    </cfRule>
    <cfRule type="cellIs" dxfId="5344" priority="78" operator="greaterThan">
      <formula>0</formula>
    </cfRule>
  </conditionalFormatting>
  <conditionalFormatting sqref="AJ99">
    <cfRule type="cellIs" dxfId="5343" priority="75" operator="equal">
      <formula>0</formula>
    </cfRule>
    <cfRule type="cellIs" dxfId="5342" priority="76" operator="greaterThan">
      <formula>0</formula>
    </cfRule>
  </conditionalFormatting>
  <conditionalFormatting sqref="AK99">
    <cfRule type="cellIs" dxfId="5341" priority="73" operator="equal">
      <formula>0</formula>
    </cfRule>
    <cfRule type="cellIs" dxfId="5340" priority="74" operator="greaterThan">
      <formula>0</formula>
    </cfRule>
  </conditionalFormatting>
  <conditionalFormatting sqref="V107:V108">
    <cfRule type="cellIs" dxfId="5339" priority="71" operator="equal">
      <formula>0</formula>
    </cfRule>
    <cfRule type="cellIs" dxfId="5338" priority="72" operator="greaterThan">
      <formula>0</formula>
    </cfRule>
  </conditionalFormatting>
  <conditionalFormatting sqref="W107:W108">
    <cfRule type="cellIs" dxfId="5337" priority="69" operator="equal">
      <formula>0</formula>
    </cfRule>
    <cfRule type="cellIs" dxfId="5336" priority="70" operator="greaterThan">
      <formula>0</formula>
    </cfRule>
  </conditionalFormatting>
  <conditionalFormatting sqref="X107:X108">
    <cfRule type="cellIs" dxfId="5335" priority="67" operator="equal">
      <formula>0</formula>
    </cfRule>
    <cfRule type="cellIs" dxfId="5334" priority="68" operator="greaterThan">
      <formula>0</formula>
    </cfRule>
  </conditionalFormatting>
  <conditionalFormatting sqref="Y107:Y108">
    <cfRule type="cellIs" dxfId="5333" priority="65" operator="equal">
      <formula>0</formula>
    </cfRule>
    <cfRule type="cellIs" dxfId="5332" priority="66" operator="greaterThan">
      <formula>0</formula>
    </cfRule>
  </conditionalFormatting>
  <conditionalFormatting sqref="Z107:Z108">
    <cfRule type="cellIs" dxfId="5331" priority="63" operator="equal">
      <formula>0</formula>
    </cfRule>
    <cfRule type="cellIs" dxfId="5330" priority="64" operator="greaterThan">
      <formula>0</formula>
    </cfRule>
  </conditionalFormatting>
  <conditionalFormatting sqref="AA107:AA108">
    <cfRule type="cellIs" dxfId="5329" priority="61" operator="equal">
      <formula>0</formula>
    </cfRule>
    <cfRule type="cellIs" dxfId="5328" priority="62" operator="greaterThan">
      <formula>0</formula>
    </cfRule>
  </conditionalFormatting>
  <conditionalFormatting sqref="AB107:AB108">
    <cfRule type="cellIs" dxfId="5327" priority="59" operator="equal">
      <formula>0</formula>
    </cfRule>
    <cfRule type="cellIs" dxfId="5326" priority="60" operator="greaterThan">
      <formula>0</formula>
    </cfRule>
  </conditionalFormatting>
  <conditionalFormatting sqref="AC107:AC108">
    <cfRule type="cellIs" dxfId="5325" priority="57" operator="equal">
      <formula>0</formula>
    </cfRule>
    <cfRule type="cellIs" dxfId="5324" priority="58" operator="greaterThan">
      <formula>0</formula>
    </cfRule>
  </conditionalFormatting>
  <conditionalFormatting sqref="AH106">
    <cfRule type="cellIs" dxfId="5323" priority="55" operator="equal">
      <formula>0</formula>
    </cfRule>
    <cfRule type="cellIs" dxfId="5322" priority="56" operator="greaterThan">
      <formula>0</formula>
    </cfRule>
  </conditionalFormatting>
  <conditionalFormatting sqref="AI106">
    <cfRule type="cellIs" dxfId="5321" priority="53" operator="equal">
      <formula>0</formula>
    </cfRule>
    <cfRule type="cellIs" dxfId="5320" priority="54" operator="greaterThan">
      <formula>0</formula>
    </cfRule>
  </conditionalFormatting>
  <conditionalFormatting sqref="AJ106">
    <cfRule type="cellIs" dxfId="5319" priority="51" operator="equal">
      <formula>0</formula>
    </cfRule>
    <cfRule type="cellIs" dxfId="5318" priority="52" operator="greaterThan">
      <formula>0</formula>
    </cfRule>
  </conditionalFormatting>
  <conditionalFormatting sqref="AK106">
    <cfRule type="cellIs" dxfId="5317" priority="49" operator="equal">
      <formula>0</formula>
    </cfRule>
    <cfRule type="cellIs" dxfId="5316" priority="50" operator="greaterThan">
      <formula>0</formula>
    </cfRule>
  </conditionalFormatting>
  <conditionalFormatting sqref="V114:V115">
    <cfRule type="cellIs" dxfId="5315" priority="47" operator="equal">
      <formula>0</formula>
    </cfRule>
    <cfRule type="cellIs" dxfId="5314" priority="48" operator="greaterThan">
      <formula>0</formula>
    </cfRule>
  </conditionalFormatting>
  <conditionalFormatting sqref="W114:W115">
    <cfRule type="cellIs" dxfId="5313" priority="45" operator="equal">
      <formula>0</formula>
    </cfRule>
    <cfRule type="cellIs" dxfId="5312" priority="46" operator="greaterThan">
      <formula>0</formula>
    </cfRule>
  </conditionalFormatting>
  <conditionalFormatting sqref="X114:X115">
    <cfRule type="cellIs" dxfId="5311" priority="43" operator="equal">
      <formula>0</formula>
    </cfRule>
    <cfRule type="cellIs" dxfId="5310" priority="44" operator="greaterThan">
      <formula>0</formula>
    </cfRule>
  </conditionalFormatting>
  <conditionalFormatting sqref="Y114:Y115">
    <cfRule type="cellIs" dxfId="5309" priority="41" operator="equal">
      <formula>0</formula>
    </cfRule>
    <cfRule type="cellIs" dxfId="5308" priority="42" operator="greaterThan">
      <formula>0</formula>
    </cfRule>
  </conditionalFormatting>
  <conditionalFormatting sqref="Z114:Z115">
    <cfRule type="cellIs" dxfId="5307" priority="39" operator="equal">
      <formula>0</formula>
    </cfRule>
    <cfRule type="cellIs" dxfId="5306" priority="40" operator="greaterThan">
      <formula>0</formula>
    </cfRule>
  </conditionalFormatting>
  <conditionalFormatting sqref="AA114:AA115">
    <cfRule type="cellIs" dxfId="5305" priority="37" operator="equal">
      <formula>0</formula>
    </cfRule>
    <cfRule type="cellIs" dxfId="5304" priority="38" operator="greaterThan">
      <formula>0</formula>
    </cfRule>
  </conditionalFormatting>
  <conditionalFormatting sqref="AB114:AB115">
    <cfRule type="cellIs" dxfId="5303" priority="35" operator="equal">
      <formula>0</formula>
    </cfRule>
    <cfRule type="cellIs" dxfId="5302" priority="36" operator="greaterThan">
      <formula>0</formula>
    </cfRule>
  </conditionalFormatting>
  <conditionalFormatting sqref="AC114:AC115">
    <cfRule type="cellIs" dxfId="5301" priority="33" operator="equal">
      <formula>0</formula>
    </cfRule>
    <cfRule type="cellIs" dxfId="5300" priority="34" operator="greaterThan">
      <formula>0</formula>
    </cfRule>
  </conditionalFormatting>
  <conditionalFormatting sqref="AH113">
    <cfRule type="cellIs" dxfId="5299" priority="31" operator="equal">
      <formula>0</formula>
    </cfRule>
    <cfRule type="cellIs" dxfId="5298" priority="32" operator="greaterThan">
      <formula>0</formula>
    </cfRule>
  </conditionalFormatting>
  <conditionalFormatting sqref="AI113">
    <cfRule type="cellIs" dxfId="5297" priority="29" operator="equal">
      <formula>0</formula>
    </cfRule>
    <cfRule type="cellIs" dxfId="5296" priority="30" operator="greaterThan">
      <formula>0</formula>
    </cfRule>
  </conditionalFormatting>
  <conditionalFormatting sqref="AJ113">
    <cfRule type="cellIs" dxfId="5295" priority="27" operator="equal">
      <formula>0</formula>
    </cfRule>
    <cfRule type="cellIs" dxfId="5294" priority="28" operator="greaterThan">
      <formula>0</formula>
    </cfRule>
  </conditionalFormatting>
  <conditionalFormatting sqref="AK113">
    <cfRule type="cellIs" dxfId="5293" priority="25" operator="equal">
      <formula>0</formula>
    </cfRule>
    <cfRule type="cellIs" dxfId="5292" priority="26" operator="greaterThan">
      <formula>0</formula>
    </cfRule>
  </conditionalFormatting>
  <conditionalFormatting sqref="V121:V122">
    <cfRule type="cellIs" dxfId="5291" priority="23" operator="equal">
      <formula>0</formula>
    </cfRule>
    <cfRule type="cellIs" dxfId="5290" priority="24" operator="greaterThan">
      <formula>0</formula>
    </cfRule>
  </conditionalFormatting>
  <conditionalFormatting sqref="W121:W122">
    <cfRule type="cellIs" dxfId="5289" priority="21" operator="equal">
      <formula>0</formula>
    </cfRule>
    <cfRule type="cellIs" dxfId="5288" priority="22" operator="greaterThan">
      <formula>0</formula>
    </cfRule>
  </conditionalFormatting>
  <conditionalFormatting sqref="X121:X122">
    <cfRule type="cellIs" dxfId="5287" priority="19" operator="equal">
      <formula>0</formula>
    </cfRule>
    <cfRule type="cellIs" dxfId="5286" priority="20" operator="greaterThan">
      <formula>0</formula>
    </cfRule>
  </conditionalFormatting>
  <conditionalFormatting sqref="Y121:Y122">
    <cfRule type="cellIs" dxfId="5285" priority="17" operator="equal">
      <formula>0</formula>
    </cfRule>
    <cfRule type="cellIs" dxfId="5284" priority="18" operator="greaterThan">
      <formula>0</formula>
    </cfRule>
  </conditionalFormatting>
  <conditionalFormatting sqref="Z121:Z122">
    <cfRule type="cellIs" dxfId="5283" priority="15" operator="equal">
      <formula>0</formula>
    </cfRule>
    <cfRule type="cellIs" dxfId="5282" priority="16" operator="greaterThan">
      <formula>0</formula>
    </cfRule>
  </conditionalFormatting>
  <conditionalFormatting sqref="AA121:AA122">
    <cfRule type="cellIs" dxfId="5281" priority="13" operator="equal">
      <formula>0</formula>
    </cfRule>
    <cfRule type="cellIs" dxfId="5280" priority="14" operator="greaterThan">
      <formula>0</formula>
    </cfRule>
  </conditionalFormatting>
  <conditionalFormatting sqref="AB121:AB122">
    <cfRule type="cellIs" dxfId="5279" priority="11" operator="equal">
      <formula>0</formula>
    </cfRule>
    <cfRule type="cellIs" dxfId="5278" priority="12" operator="greaterThan">
      <formula>0</formula>
    </cfRule>
  </conditionalFormatting>
  <conditionalFormatting sqref="AC121:AC122">
    <cfRule type="cellIs" dxfId="5277" priority="9" operator="equal">
      <formula>0</formula>
    </cfRule>
    <cfRule type="cellIs" dxfId="5276" priority="10" operator="greaterThan">
      <formula>0</formula>
    </cfRule>
  </conditionalFormatting>
  <conditionalFormatting sqref="AH120">
    <cfRule type="cellIs" dxfId="5275" priority="7" operator="equal">
      <formula>0</formula>
    </cfRule>
    <cfRule type="cellIs" dxfId="5274" priority="8" operator="greaterThan">
      <formula>0</formula>
    </cfRule>
  </conditionalFormatting>
  <conditionalFormatting sqref="AI120">
    <cfRule type="cellIs" dxfId="5273" priority="5" operator="equal">
      <formula>0</formula>
    </cfRule>
    <cfRule type="cellIs" dxfId="5272" priority="6" operator="greaterThan">
      <formula>0</formula>
    </cfRule>
  </conditionalFormatting>
  <conditionalFormatting sqref="AJ120">
    <cfRule type="cellIs" dxfId="5271" priority="3" operator="equal">
      <formula>0</formula>
    </cfRule>
    <cfRule type="cellIs" dxfId="5270" priority="4" operator="greaterThan">
      <formula>0</formula>
    </cfRule>
  </conditionalFormatting>
  <conditionalFormatting sqref="AK120">
    <cfRule type="cellIs" dxfId="5269" priority="1" operator="equal">
      <formula>0</formula>
    </cfRule>
    <cfRule type="cellIs" dxfId="5268" priority="2" operator="greaterThan">
      <formula>0</formula>
    </cfRule>
  </conditionalFormatting>
  <dataValidations count="2">
    <dataValidation type="list" allowBlank="1" showInputMessage="1" showErrorMessage="1" sqref="B6" xr:uid="{00000000-0002-0000-0800-000001000000}">
      <formula1>OFFSET(Anchor_Cell,1,MATCH($B$5,Team_Regions,0)-1,COUNTA(OFFSET(Anchor_Cell,1,MATCH(B5,Regions,0)-1,100)),1)</formula1>
    </dataValidation>
    <dataValidation type="list" allowBlank="1" showInputMessage="1" showErrorMessage="1" sqref="B5" xr:uid="{853D782F-5BD6-4D79-A2B6-88C6986BDB1F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S80"/>
  <sheetViews>
    <sheetView showGridLines="0" topLeftCell="A33" zoomScale="83" zoomScaleNormal="83" workbookViewId="0">
      <selection activeCell="E41" sqref="A41:E41"/>
    </sheetView>
  </sheetViews>
  <sheetFormatPr baseColWidth="10" defaultColWidth="9.1640625" defaultRowHeight="14" x14ac:dyDescent="0.15"/>
  <cols>
    <col min="2" max="2" width="39.5" customWidth="1"/>
    <col min="3" max="3" width="19.1640625" customWidth="1"/>
    <col min="4" max="4" width="20.5" bestFit="1" customWidth="1"/>
    <col min="5" max="5" width="14.83203125" customWidth="1"/>
    <col min="6" max="6" width="17.1640625" customWidth="1"/>
    <col min="7" max="7" width="18.5" customWidth="1"/>
    <col min="8" max="8" width="19.1640625" customWidth="1"/>
    <col min="9" max="9" width="17.5" customWidth="1"/>
    <col min="10" max="10" width="20.5" customWidth="1"/>
    <col min="11" max="11" width="26.5" bestFit="1" customWidth="1"/>
    <col min="12" max="12" width="16.83203125" customWidth="1"/>
    <col min="13" max="13" width="17.83203125" bestFit="1" customWidth="1"/>
    <col min="14" max="14" width="8.5" bestFit="1" customWidth="1"/>
    <col min="17" max="17" width="10" bestFit="1" customWidth="1"/>
  </cols>
  <sheetData>
    <row r="1" spans="1:19" ht="43.5" customHeight="1" x14ac:dyDescent="0.15">
      <c r="A1" s="263" t="s">
        <v>1226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</row>
    <row r="2" spans="1:19" ht="37.5" customHeight="1" x14ac:dyDescent="0.15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</row>
    <row r="4" spans="1:19" ht="57" customHeight="1" x14ac:dyDescent="0.15">
      <c r="B4" s="40" t="s">
        <v>1227</v>
      </c>
    </row>
    <row r="5" spans="1:19" ht="24" customHeight="1" x14ac:dyDescent="0.15">
      <c r="B5" s="61" t="s">
        <v>27</v>
      </c>
      <c r="D5" t="s">
        <v>1228</v>
      </c>
      <c r="F5" s="44"/>
    </row>
    <row r="6" spans="1:19" ht="24" customHeight="1" x14ac:dyDescent="0.15">
      <c r="B6" s="62" t="s">
        <v>259</v>
      </c>
    </row>
    <row r="8" spans="1:19" ht="23" x14ac:dyDescent="0.15">
      <c r="B8" s="284" t="s">
        <v>1134</v>
      </c>
      <c r="C8" s="285"/>
      <c r="D8" s="285"/>
      <c r="E8" s="285"/>
      <c r="F8" s="288"/>
    </row>
    <row r="9" spans="1:19" ht="56" x14ac:dyDescent="0.15">
      <c r="B9" s="74"/>
      <c r="C9" s="244" t="s">
        <v>1135</v>
      </c>
      <c r="D9" s="75" t="s">
        <v>1136</v>
      </c>
      <c r="E9" s="75" t="s">
        <v>1137</v>
      </c>
      <c r="F9" s="75" t="s">
        <v>1138</v>
      </c>
      <c r="G9" s="76"/>
      <c r="H9" s="244" t="s">
        <v>1208</v>
      </c>
      <c r="I9" s="244" t="s">
        <v>1140</v>
      </c>
      <c r="J9" s="76"/>
      <c r="K9" s="244" t="s">
        <v>1141</v>
      </c>
      <c r="L9" s="244" t="s">
        <v>1142</v>
      </c>
      <c r="M9" s="76"/>
    </row>
    <row r="10" spans="1:19" x14ac:dyDescent="0.15">
      <c r="B10" s="77" t="str">
        <f>B6</f>
        <v>Bucks Male 2 - N59</v>
      </c>
      <c r="C10" s="124" t="str">
        <f>IFERROR(SUM((SUMIFS('capacity data'!$G:$G,'capacity data'!$E:$E,"PO",'capacity data'!$C:$C,B6))-SUMIFS('capacity data'!$H:$H,'capacity data'!$E:$E,"PO",'capacity data'!$C:$C,B6))/SUMIFS('capacity data'!$G:$G,'capacity data'!$E:$E,"PO",'capacity data'!$C:$C,B6),"")</f>
        <v/>
      </c>
      <c r="D10" s="79" t="str">
        <f>IFERROR(SUM((SUMIFS('capacity data'!$G:$G,'capacity data'!$E:$E,"PSO",'capacity data'!$C:$C,B6))-SUMIFS('capacity data'!$H:$H,'capacity data'!$E:$E,"PSO",'capacity data'!$C:$C,B6))/SUMIFS('capacity data'!$G:$G,'capacity data'!$E:$E,"PSO",'capacity data'!$C:$C,B6),"")</f>
        <v/>
      </c>
      <c r="E10" s="79" t="str">
        <f>IFERROR(SUM((SUMIFS('capacity data'!$G:$G,'capacity data'!$E:$E,"TPO",'capacity data'!$C:$C,B6))-SUMIFS('capacity data'!$H:$H,'capacity data'!$E:$E,"TPO",'capacity data'!$C:$C,B6))/SUMIFS('capacity data'!$G:$G,'capacity data'!$E:$E,"TPO",'capacity data'!$C:$C,B6),"")</f>
        <v/>
      </c>
      <c r="F10" s="79" t="str">
        <f>IFERROR(SUM((SUMIFS('capacity data'!G:G,'capacity data'!C:C,'team overview'!B6))-SUMIFS('capacity data'!H:H,'capacity data'!C:C,'team overview'!B6))/SUMIFS('capacity data'!G:G,'capacity data'!C:C,'team overview'!B6),"")</f>
        <v/>
      </c>
      <c r="G10" s="76"/>
      <c r="H10" s="78" t="e">
        <f>SUMIFS('capacity data'!$L:$L,'capacity data'!$C:$C,$B$6,'capacity data'!$E:$E,"PSO")/SUM((SUMIFS('capacity data'!$G:$G,'capacity data'!$E:$E,"PSO",'capacity data'!$C:$C,$B$6))-SUMIFS('capacity data'!$H:$H,'capacity data'!$E:$E,"PSO",'capacity data'!$C:$C,$B$6))</f>
        <v>#DIV/0!</v>
      </c>
      <c r="I10" s="236" t="e">
        <f>SUMIFS('capacity data'!$L:$L,'capacity data'!$C:$C,$B$6,'capacity data'!$E:$E,"PSO")/SUMIFS('capacity data'!$G:$G,'capacity data'!$E:$E,"PSO",'capacity data'!$C:$C,$B$6)</f>
        <v>#DIV/0!</v>
      </c>
      <c r="J10" s="76"/>
      <c r="K10" s="78" t="e">
        <f>SUMIFS('capacity data'!$L:$L,'capacity data'!$C:$C,$B$6,'capacity data'!$E:$E,"TPO")/SUM((SUMIFS('capacity data'!$G:$G,'capacity data'!$E:$E,"TPO",'capacity data'!$C:$C,$B$6))-SUMIFS('capacity data'!$H:$H,'capacity data'!$E:$E,"TPO",'capacity data'!$C:$C,$B$6))</f>
        <v>#DIV/0!</v>
      </c>
      <c r="L10" s="236" t="e">
        <f>SUMIFS('capacity data'!$L:$L,'capacity data'!$C:$C,$B$6,'capacity data'!$E:$E,"TPO")/SUMIFS('capacity data'!$G:$G,'capacity data'!$E:$E,"TPO",'capacity data'!$C:$C,$B$6)</f>
        <v>#DIV/0!</v>
      </c>
      <c r="M10" s="76"/>
    </row>
    <row r="11" spans="1:19" x14ac:dyDescent="0.15">
      <c r="B11" s="119" t="s">
        <v>1143</v>
      </c>
      <c r="C11" s="120" t="e">
        <f>SUM((SUMIF('capacity data'!E:E,"PO",'capacity data'!G:G))-SUMIF('capacity data'!E:E,"PO",'capacity data'!H:H))/SUMIF('capacity data'!E:E,"PO",'capacity data'!G:G)</f>
        <v>#DIV/0!</v>
      </c>
      <c r="D11" s="120" t="e">
        <f>SUM((SUMIF('capacity data'!E:E,"PSO",'capacity data'!G:G))-SUMIF('capacity data'!E:E,"PSO",'capacity data'!H:H))/SUMIF('capacity data'!E:E,"PSO",'capacity data'!G:G)</f>
        <v>#DIV/0!</v>
      </c>
      <c r="E11" s="120" t="e">
        <f>SUM((SUMIF('capacity data'!E:E,"PSO",'capacity data'!G:G))-SUMIF('capacity data'!E:E,"PSO",'capacity data'!H:H))/SUMIF('capacity data'!E:E,"PSO",'capacity data'!G:G)</f>
        <v>#DIV/0!</v>
      </c>
      <c r="F11" s="94" t="e">
        <f>SUM((SUM('capacity data'!G:G)-SUM('capacity data'!H:H))/SUM('capacity data'!G:G))</f>
        <v>#DIV/0!</v>
      </c>
      <c r="G11" s="76"/>
      <c r="H11" s="130" t="e">
        <f>SUMIF('capacity data'!$E:$E,"PSO",'capacity data'!$L:$L)/SUM(SUMIF('capacity data'!$E:$E,"PSO",'capacity data'!$G:$G)-SUMIF('capacity data'!$E:$E,"PSO",'capacity data'!$H:$H))</f>
        <v>#DIV/0!</v>
      </c>
      <c r="I11" s="131" t="e">
        <f>SUMIF('capacity data'!$E:$E,"PSO",'capacity data'!$L:$L)/SUMIF('capacity data'!$E:$E,"PSO",'capacity data'!$G:$G)</f>
        <v>#DIV/0!</v>
      </c>
      <c r="J11" s="76"/>
      <c r="K11" s="130" t="e">
        <f>SUMIF('capacity data'!$E:$E,"TPO",'capacity data'!$L:$L)/SUM(SUMIF('capacity data'!$E:$E,"TPO",'capacity data'!$G:$G)-SUMIF('capacity data'!$E:$E,"TPO",'capacity data'!$H:$H))</f>
        <v>#DIV/0!</v>
      </c>
      <c r="L11" s="131" t="e">
        <f>SUMIF('capacity data'!$E:$E,"TPO",'capacity data'!$L:$L)/SUMIF('capacity data'!$E:$E,"TPO",'capacity data'!$G:$G)</f>
        <v>#DIV/0!</v>
      </c>
      <c r="M11" s="76"/>
    </row>
    <row r="12" spans="1:19" x14ac:dyDescent="0.15">
      <c r="B12" s="132" t="s">
        <v>1144</v>
      </c>
      <c r="C12" s="133" t="e">
        <f>+C10-C11</f>
        <v>#VALUE!</v>
      </c>
      <c r="D12" s="116" t="str">
        <f>IFERROR(+D10-D11,"N/A")</f>
        <v>N/A</v>
      </c>
      <c r="E12" s="116" t="str">
        <f>IFERROR(+E10-E11,"N/A")</f>
        <v>N/A</v>
      </c>
      <c r="F12" s="116" t="e">
        <f>+F10-F11</f>
        <v>#VALUE!</v>
      </c>
      <c r="G12" s="76"/>
      <c r="H12" s="112" t="e">
        <f>+H10-H11</f>
        <v>#DIV/0!</v>
      </c>
      <c r="I12" s="134" t="e">
        <f>+I10-I11</f>
        <v>#DIV/0!</v>
      </c>
      <c r="J12" s="76"/>
      <c r="K12" s="112" t="e">
        <f>+K10-K11</f>
        <v>#DIV/0!</v>
      </c>
      <c r="L12" s="134" t="e">
        <f>+L10-L11</f>
        <v>#DIV/0!</v>
      </c>
      <c r="M12" s="76"/>
    </row>
    <row r="13" spans="1:19" x14ac:dyDescent="0.15"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</row>
    <row r="14" spans="1:19" ht="63.75" customHeight="1" x14ac:dyDescent="0.15">
      <c r="B14" s="81"/>
      <c r="C14" s="82" t="s">
        <v>1146</v>
      </c>
      <c r="D14" s="82" t="s">
        <v>1147</v>
      </c>
      <c r="E14" s="82" t="s">
        <v>1148</v>
      </c>
      <c r="F14" s="82" t="s">
        <v>1149</v>
      </c>
      <c r="G14" s="82" t="s">
        <v>1150</v>
      </c>
      <c r="H14" s="82" t="s">
        <v>1151</v>
      </c>
      <c r="I14" s="82" t="s">
        <v>1152</v>
      </c>
      <c r="J14" s="83" t="s">
        <v>1153</v>
      </c>
      <c r="K14" s="82" t="s">
        <v>1154</v>
      </c>
      <c r="L14" s="82" t="s">
        <v>1155</v>
      </c>
      <c r="M14" s="82" t="s">
        <v>1156</v>
      </c>
    </row>
    <row r="15" spans="1:19" ht="20.25" customHeight="1" x14ac:dyDescent="0.15">
      <c r="B15" s="84" t="str">
        <f>B6</f>
        <v>Bucks Male 2 - N59</v>
      </c>
      <c r="C15" s="238">
        <f>COUNTIFS('capacity data'!C:C,'team overview'!B6,'capacity data'!E:E,"PO")</f>
        <v>0</v>
      </c>
      <c r="D15" s="238">
        <f>COUNTIFS('capacity data'!C:C,B6,'capacity data'!E:E,"PO",'capacity data'!F:F,"&gt;110%")</f>
        <v>0</v>
      </c>
      <c r="E15" s="85" t="e">
        <f>D15/C15</f>
        <v>#DIV/0!</v>
      </c>
      <c r="F15" s="238">
        <f>COUNTIFS('capacity data'!C:C,'team overview'!B6,'capacity data'!E:E,"PSO")</f>
        <v>0</v>
      </c>
      <c r="G15" s="238">
        <f>COUNTIFS('capacity data'!C:C,B6,'capacity data'!E:E,"PSO",'capacity data'!F:F,"&gt;110%")</f>
        <v>0</v>
      </c>
      <c r="H15" s="86" t="str">
        <f>IFERROR(G15/F15,"N/A")</f>
        <v>N/A</v>
      </c>
      <c r="I15" s="238">
        <f>COUNTIFS('capacity data'!C:C,B6,'capacity data'!E:E,"PSO",'capacity data'!F:F,"&lt;910%")</f>
        <v>0</v>
      </c>
      <c r="J15" s="86" t="str">
        <f>IFERROR(I15/F15,"")</f>
        <v/>
      </c>
      <c r="K15" s="238">
        <f>COUNTIFS('capacity data'!C:C,'team overview'!B6,'capacity data'!E:E,"TPO")</f>
        <v>0</v>
      </c>
      <c r="L15" s="238">
        <f>COUNTIFS('capacity data'!C:C,B6,'capacity data'!E:E,"TPO",'capacity data'!F:F,"&gt;110%")</f>
        <v>0</v>
      </c>
      <c r="M15" s="79" t="str">
        <f>IFERROR(L15/K15,"N/A")</f>
        <v>N/A</v>
      </c>
    </row>
    <row r="16" spans="1:19" x14ac:dyDescent="0.15">
      <c r="B16" s="119" t="s">
        <v>1157</v>
      </c>
      <c r="C16" s="92">
        <f>COUNTIF('capacity data'!E:E,"PO")</f>
        <v>0</v>
      </c>
      <c r="D16" s="92">
        <f>COUNTIFS('capacity data'!E:E,"PO",'capacity data'!F:F,"&gt;110%")</f>
        <v>0</v>
      </c>
      <c r="E16" s="120" t="e">
        <f>D16/C16</f>
        <v>#DIV/0!</v>
      </c>
      <c r="F16" s="92">
        <f>COUNTIF('capacity data'!E:E,"PSO")</f>
        <v>0</v>
      </c>
      <c r="G16" s="92">
        <f>COUNTIFS('capacity data'!E:E,"PSO",'capacity data'!F:F,"&gt;110%")</f>
        <v>0</v>
      </c>
      <c r="H16" s="120" t="e">
        <f>G16/F16</f>
        <v>#DIV/0!</v>
      </c>
      <c r="I16" s="92">
        <f>COUNTIFS('capacity data'!E:E,"PSO",'capacity data'!F:F,"&lt;90%")</f>
        <v>0</v>
      </c>
      <c r="J16" s="120" t="e">
        <f>I16/F16</f>
        <v>#DIV/0!</v>
      </c>
      <c r="K16" s="92">
        <f>COUNTIF('capacity data'!E:E,"TPO")</f>
        <v>0</v>
      </c>
      <c r="L16" s="92">
        <f>COUNTIFS('capacity data'!E:E,"TPO",'capacity data'!F:F,"&gt;110%")</f>
        <v>0</v>
      </c>
      <c r="M16" s="120" t="e">
        <f>L16/K16</f>
        <v>#DIV/0!</v>
      </c>
    </row>
    <row r="17" spans="2:13" x14ac:dyDescent="0.15">
      <c r="B17" s="118" t="s">
        <v>1144</v>
      </c>
      <c r="C17" s="113" t="s">
        <v>1158</v>
      </c>
      <c r="D17" s="113" t="s">
        <v>1158</v>
      </c>
      <c r="E17" s="114" t="e">
        <f>+E15-E16</f>
        <v>#DIV/0!</v>
      </c>
      <c r="F17" s="113" t="s">
        <v>1158</v>
      </c>
      <c r="G17" s="113" t="s">
        <v>1158</v>
      </c>
      <c r="H17" s="114" t="str">
        <f>IFERROR(+H15-H16,"N/A")</f>
        <v>N/A</v>
      </c>
      <c r="I17" s="113" t="s">
        <v>1158</v>
      </c>
      <c r="J17" s="114" t="str">
        <f>IFERROR(+J15-J16,"N/A")</f>
        <v>N/A</v>
      </c>
      <c r="K17" s="113" t="s">
        <v>1158</v>
      </c>
      <c r="L17" s="113" t="s">
        <v>1158</v>
      </c>
      <c r="M17" s="114" t="str">
        <f>IFERROR(+M15-M16,"N/A")</f>
        <v>N/A</v>
      </c>
    </row>
    <row r="19" spans="2:13" ht="23" x14ac:dyDescent="0.25">
      <c r="B19" s="280" t="s">
        <v>1159</v>
      </c>
      <c r="C19" s="281"/>
      <c r="D19" s="281"/>
      <c r="E19" s="281"/>
      <c r="F19" s="281"/>
      <c r="G19" s="282"/>
      <c r="H19" s="283"/>
    </row>
    <row r="20" spans="2:13" ht="66" customHeight="1" x14ac:dyDescent="0.15">
      <c r="B20" s="88"/>
      <c r="C20" s="75" t="s">
        <v>1160</v>
      </c>
      <c r="D20" s="75" t="s">
        <v>1209</v>
      </c>
      <c r="E20" s="75" t="s">
        <v>1210</v>
      </c>
      <c r="F20" s="75" t="s">
        <v>1163</v>
      </c>
      <c r="G20" s="244" t="s">
        <v>1211</v>
      </c>
      <c r="H20" s="244" t="s">
        <v>1212</v>
      </c>
    </row>
    <row r="21" spans="2:13" x14ac:dyDescent="0.15">
      <c r="B21" s="74" t="str">
        <f>B6</f>
        <v>Bucks Male 2 - N59</v>
      </c>
      <c r="C21" s="87">
        <f>SUMIFS('capacity data'!K:K,'capacity data'!C:C,'team overview'!B6,'capacity data'!E:E,"SPO")</f>
        <v>0</v>
      </c>
      <c r="D21" s="87">
        <f>SUMIFS('capacity data'!K:K,'capacity data'!C:C,'team overview'!B6,'capacity data'!E:E,"DMY")</f>
        <v>0</v>
      </c>
      <c r="E21" s="87">
        <f>SUM(C21:D21)</f>
        <v>0</v>
      </c>
      <c r="F21" s="89">
        <f>SUMIF('capacity data'!C:C,'team overview'!B6,'capacity data'!K:K)</f>
        <v>0</v>
      </c>
      <c r="G21" s="78" t="e">
        <f>E21/F21</f>
        <v>#DIV/0!</v>
      </c>
      <c r="H21" s="90">
        <f>SUMIF('caseload data'!C:C,'team overview'!#REF!,'caseload data'!U:U)</f>
        <v>0</v>
      </c>
    </row>
    <row r="22" spans="2:13" x14ac:dyDescent="0.15">
      <c r="B22" s="91" t="s">
        <v>1157</v>
      </c>
      <c r="C22" s="92">
        <f>SUMIF('capacity data'!E:E,"SPO",'capacity data'!K:K)</f>
        <v>0</v>
      </c>
      <c r="D22" s="92">
        <f>SUMIF('capacity data'!E:E,"DMY",'capacity data'!K:K)</f>
        <v>0</v>
      </c>
      <c r="E22" s="92">
        <f>SUM(C22:D22)</f>
        <v>0</v>
      </c>
      <c r="F22" s="93">
        <f>SUM('capacity data'!K:K)</f>
        <v>0</v>
      </c>
      <c r="G22" s="94" t="e">
        <f>E22/F22</f>
        <v>#DIV/0!</v>
      </c>
      <c r="H22" s="92">
        <f>SUM('caseload data'!U:U)</f>
        <v>0</v>
      </c>
    </row>
    <row r="23" spans="2:13" x14ac:dyDescent="0.15">
      <c r="B23" s="129" t="s">
        <v>1144</v>
      </c>
      <c r="C23" s="113" t="s">
        <v>1158</v>
      </c>
      <c r="D23" s="113" t="s">
        <v>1158</v>
      </c>
      <c r="E23" s="113" t="s">
        <v>1158</v>
      </c>
      <c r="F23" s="117" t="s">
        <v>1158</v>
      </c>
      <c r="G23" s="117" t="e">
        <f>+G21-G22</f>
        <v>#DIV/0!</v>
      </c>
      <c r="H23" s="113" t="s">
        <v>1158</v>
      </c>
    </row>
    <row r="26" spans="2:13" ht="25" x14ac:dyDescent="0.25">
      <c r="B26" s="302" t="s">
        <v>1166</v>
      </c>
      <c r="C26" s="302"/>
      <c r="D26" s="302"/>
      <c r="E26" s="302"/>
      <c r="F26" s="302"/>
      <c r="G26" s="302"/>
      <c r="H26" s="302"/>
      <c r="I26" s="302"/>
      <c r="J26" s="302"/>
      <c r="K26" s="302"/>
    </row>
    <row r="27" spans="2:13" ht="83.25" customHeight="1" x14ac:dyDescent="0.15">
      <c r="B27" s="96"/>
      <c r="C27" s="244" t="s">
        <v>1167</v>
      </c>
      <c r="D27" s="244" t="s">
        <v>1168</v>
      </c>
      <c r="E27" s="244" t="s">
        <v>1169</v>
      </c>
      <c r="F27" s="244" t="s">
        <v>1170</v>
      </c>
      <c r="G27" s="244" t="s">
        <v>1171</v>
      </c>
      <c r="H27" s="244" t="s">
        <v>1172</v>
      </c>
      <c r="I27" s="244" t="s">
        <v>1173</v>
      </c>
      <c r="J27" s="244" t="s">
        <v>1174</v>
      </c>
      <c r="K27" s="244" t="s">
        <v>1175</v>
      </c>
    </row>
    <row r="28" spans="2:13" x14ac:dyDescent="0.15">
      <c r="B28" s="74" t="str">
        <f>B6</f>
        <v>Bucks Male 2 - N59</v>
      </c>
      <c r="C28" s="97">
        <f>SUMIFS('capacity data'!I:I,'capacity data'!C:C,'team overview'!B6,'capacity data'!E:E,"PO")</f>
        <v>0</v>
      </c>
      <c r="D28" s="98">
        <f>SUMIFS('capacity data'!J:J,'capacity data'!C:C,'team overview'!B6,'capacity data'!E:E,"PO")</f>
        <v>0</v>
      </c>
      <c r="E28" s="99" t="e">
        <f>D28/C28</f>
        <v>#DIV/0!</v>
      </c>
      <c r="F28" s="98">
        <f>SUMIFS('capacity data'!I:I,'capacity data'!C:C,'team overview'!B6,'capacity data'!E:E,"PSO")</f>
        <v>0</v>
      </c>
      <c r="G28" s="98">
        <f>SUMIFS('capacity data'!J:J,'capacity data'!C:C,'team overview'!B6,'capacity data'!E:E,"PSO")</f>
        <v>0</v>
      </c>
      <c r="H28" s="99" t="str">
        <f>IFERROR(G28/F28,"N/A")</f>
        <v>N/A</v>
      </c>
      <c r="I28" s="98">
        <f>SUMIFS('capacity data'!I:I,'capacity data'!C:C,'team overview'!B6,'capacity data'!E:E,"TPO")</f>
        <v>0</v>
      </c>
      <c r="J28" s="100">
        <f>SUMIFS('capacity data'!J:J,'capacity data'!C:C,'team overview'!B6,'capacity data'!E:E,"TPO")</f>
        <v>0</v>
      </c>
      <c r="K28" s="99" t="str">
        <f>IFERROR(J28/I28,"N/A")</f>
        <v>N/A</v>
      </c>
    </row>
    <row r="29" spans="2:13" x14ac:dyDescent="0.15">
      <c r="B29" s="119" t="s">
        <v>1176</v>
      </c>
      <c r="C29" s="121">
        <f>SUMIF('capacity data'!E:E,"PO",'capacity data'!I:I)</f>
        <v>0</v>
      </c>
      <c r="D29" s="121">
        <f>SUMIF('capacity data'!E:E,"PO",'capacity data'!J:J)</f>
        <v>0</v>
      </c>
      <c r="E29" s="122" t="e">
        <f>D29/C29</f>
        <v>#DIV/0!</v>
      </c>
      <c r="F29" s="121">
        <f>SUMIF('capacity data'!E:E,"PSO",'capacity data'!I:I)</f>
        <v>0</v>
      </c>
      <c r="G29" s="121">
        <f>SUMIF('capacity data'!E:E,"PSO",'capacity data'!J:J)</f>
        <v>0</v>
      </c>
      <c r="H29" s="122" t="e">
        <f>G29/F29</f>
        <v>#DIV/0!</v>
      </c>
      <c r="I29" s="121">
        <f>SUMIF('capacity data'!E:E,"TPO",'capacity data'!I:I)</f>
        <v>0</v>
      </c>
      <c r="J29" s="121">
        <f>SUMIF('capacity data'!E:E,"TPO",'capacity data'!J:J)</f>
        <v>0</v>
      </c>
      <c r="K29" s="122" t="e">
        <f>J29/I29</f>
        <v>#DIV/0!</v>
      </c>
    </row>
    <row r="30" spans="2:13" x14ac:dyDescent="0.15">
      <c r="B30" s="118" t="s">
        <v>1144</v>
      </c>
      <c r="C30" s="113" t="s">
        <v>1158</v>
      </c>
      <c r="D30" s="113" t="s">
        <v>1158</v>
      </c>
      <c r="E30" s="112" t="e">
        <f>+E28-E29</f>
        <v>#DIV/0!</v>
      </c>
      <c r="F30" s="113" t="s">
        <v>1158</v>
      </c>
      <c r="G30" s="113" t="s">
        <v>1158</v>
      </c>
      <c r="H30" s="112" t="str">
        <f>IFERROR(+H28-H29,"N/A")</f>
        <v>N/A</v>
      </c>
      <c r="I30" s="113" t="s">
        <v>1158</v>
      </c>
      <c r="J30" s="113" t="s">
        <v>1158</v>
      </c>
      <c r="K30" s="112" t="str">
        <f>IFERROR(+K28-K29,"N/A")</f>
        <v>N/A</v>
      </c>
    </row>
    <row r="32" spans="2:13" ht="37.5" customHeight="1" x14ac:dyDescent="0.2">
      <c r="B32" s="277" t="s">
        <v>1229</v>
      </c>
      <c r="C32" s="278"/>
      <c r="D32" s="278"/>
      <c r="F32" s="279" t="s">
        <v>1230</v>
      </c>
      <c r="G32" s="279"/>
    </row>
    <row r="33" spans="1:7" ht="60.75" customHeight="1" x14ac:dyDescent="0.15">
      <c r="B33" s="88" t="s">
        <v>1179</v>
      </c>
      <c r="C33" s="244" t="s">
        <v>1180</v>
      </c>
      <c r="D33" s="244" t="s">
        <v>1181</v>
      </c>
      <c r="E33" s="76"/>
      <c r="F33" s="240" t="s">
        <v>1231</v>
      </c>
      <c r="G33" s="239">
        <f>COUNTIFS('reductions data'!C:C,'team overview'!B6,'reductions data'!K:K,"ACTIVE")</f>
        <v>0</v>
      </c>
    </row>
    <row r="34" spans="1:7" x14ac:dyDescent="0.15">
      <c r="B34" s="125" t="s">
        <v>1115</v>
      </c>
      <c r="C34" s="101">
        <f>COUNTIFS('reductions data'!C:C,'team overview'!$B$6,'reductions data'!G:G,'team overview'!B34)</f>
        <v>0</v>
      </c>
      <c r="D34" s="102">
        <f>SUMIFS('reductions data'!H:H,'reductions data'!$C:$C,'team overview'!$B$6,'reductions data'!G:G,'team overview'!B34)</f>
        <v>0</v>
      </c>
      <c r="E34" s="76"/>
      <c r="F34" s="297" t="s">
        <v>1232</v>
      </c>
      <c r="G34" s="298">
        <f>SUMIF('reductions data'!C:C,'team overview'!B6,'reductions data'!H:H)</f>
        <v>0</v>
      </c>
    </row>
    <row r="35" spans="1:7" x14ac:dyDescent="0.15">
      <c r="B35" s="126" t="s">
        <v>1096</v>
      </c>
      <c r="C35" s="103">
        <f>COUNTIFS('reductions data'!C:C,'team overview'!$B$6,'reductions data'!G:G,'team overview'!B35)</f>
        <v>0</v>
      </c>
      <c r="D35" s="102">
        <f>SUMIFS('reductions data'!H:H,'reductions data'!$C:$C,'team overview'!$B$6,'reductions data'!G:G,'team overview'!B35)</f>
        <v>0</v>
      </c>
      <c r="E35" s="76"/>
      <c r="F35" s="269"/>
      <c r="G35" s="269"/>
    </row>
    <row r="36" spans="1:7" x14ac:dyDescent="0.15">
      <c r="B36" s="126" t="s">
        <v>1101</v>
      </c>
      <c r="C36" s="103">
        <f>COUNTIFS('reductions data'!C:C,'team overview'!$B$6,'reductions data'!G:G,'team overview'!B36)</f>
        <v>0</v>
      </c>
      <c r="D36" s="102">
        <f>SUMIFS('reductions data'!H:H,'reductions data'!$C:$C,'team overview'!$B$6,'reductions data'!G:G,'team overview'!B36)</f>
        <v>0</v>
      </c>
      <c r="E36" s="104"/>
      <c r="F36" s="269"/>
      <c r="G36" s="269"/>
    </row>
    <row r="37" spans="1:7" x14ac:dyDescent="0.15">
      <c r="B37" s="126" t="s">
        <v>1079</v>
      </c>
      <c r="C37" s="103">
        <f>COUNTIFS('reductions data'!C:C,'team overview'!$B$6,'reductions data'!G:G,'team overview'!B37)</f>
        <v>0</v>
      </c>
      <c r="D37" s="102">
        <f>SUMIFS('reductions data'!H:H,'reductions data'!$C:$C,'team overview'!$B$6,'reductions data'!G:G,'team overview'!B37)</f>
        <v>0</v>
      </c>
      <c r="E37" s="104"/>
      <c r="F37" s="299" t="s">
        <v>1233</v>
      </c>
      <c r="G37" s="298">
        <f>SUMIF('capacity data'!C:C,'team overview'!B6,'capacity data'!I:I)</f>
        <v>0</v>
      </c>
    </row>
    <row r="38" spans="1:7" x14ac:dyDescent="0.15">
      <c r="B38" s="126" t="s">
        <v>1116</v>
      </c>
      <c r="C38" s="103">
        <f>COUNTIFS('reductions data'!C:C,'team overview'!$B$6,'reductions data'!G:G,'team overview'!B38)</f>
        <v>0</v>
      </c>
      <c r="D38" s="102">
        <f>SUMIFS('reductions data'!H:H,'reductions data'!$C:$C,'team overview'!$B$6,'reductions data'!G:G,'team overview'!B38)</f>
        <v>0</v>
      </c>
      <c r="E38" s="104"/>
      <c r="F38" s="269"/>
      <c r="G38" s="269"/>
    </row>
    <row r="39" spans="1:7" x14ac:dyDescent="0.15">
      <c r="B39" s="126" t="s">
        <v>1109</v>
      </c>
      <c r="C39" s="103">
        <f>COUNTIFS('reductions data'!C:C,'team overview'!$B$6,'reductions data'!G:G,'team overview'!B39)</f>
        <v>0</v>
      </c>
      <c r="D39" s="102">
        <f>SUMIFS('reductions data'!H:H,'reductions data'!$C:$C,'team overview'!$B$6,'reductions data'!G:G,'team overview'!B39)</f>
        <v>0</v>
      </c>
      <c r="E39" s="104"/>
      <c r="F39" s="269"/>
      <c r="G39" s="269"/>
    </row>
    <row r="40" spans="1:7" x14ac:dyDescent="0.15">
      <c r="B40" s="126" t="s">
        <v>1089</v>
      </c>
      <c r="C40" s="103">
        <f>COUNTIFS('reductions data'!C:C,'team overview'!$B$6,'reductions data'!G:G,'team overview'!B40)</f>
        <v>0</v>
      </c>
      <c r="D40" s="102">
        <f>SUMIFS('reductions data'!H:H,'reductions data'!$C:$C,'team overview'!$B$6,'reductions data'!G:G,'team overview'!B40)</f>
        <v>0</v>
      </c>
      <c r="E40" s="104"/>
      <c r="F40" s="249"/>
      <c r="G40" s="249"/>
    </row>
    <row r="41" spans="1:7" ht="15.75" customHeight="1" x14ac:dyDescent="0.15">
      <c r="A41" s="104"/>
      <c r="B41" s="104"/>
      <c r="C41" s="104"/>
      <c r="D41" s="104"/>
      <c r="E41" s="104"/>
      <c r="F41" s="300" t="s">
        <v>1234</v>
      </c>
      <c r="G41" s="301" t="e">
        <f>G34/G37</f>
        <v>#DIV/0!</v>
      </c>
    </row>
    <row r="42" spans="1:7" x14ac:dyDescent="0.15">
      <c r="B42" s="126" t="s">
        <v>1117</v>
      </c>
      <c r="C42" s="103">
        <f>COUNTIFS('reductions data'!C:C,'team overview'!$B$6,'reductions data'!G:G,'team overview'!B42)</f>
        <v>0</v>
      </c>
      <c r="D42" s="102">
        <f>SUMIFS('reductions data'!H:H,'reductions data'!$C:$C,'team overview'!$B$6,'reductions data'!G:G,'team overview'!B42)</f>
        <v>0</v>
      </c>
      <c r="E42" s="104"/>
      <c r="F42" s="292"/>
      <c r="G42" s="295"/>
    </row>
    <row r="43" spans="1:7" x14ac:dyDescent="0.15">
      <c r="B43" s="126" t="s">
        <v>1086</v>
      </c>
      <c r="C43" s="103">
        <f>COUNTIFS('reductions data'!C:C,'team overview'!$B$6,'reductions data'!G:G,'team overview'!B43)</f>
        <v>0</v>
      </c>
      <c r="D43" s="102">
        <f>SUMIFS('reductions data'!H:H,'reductions data'!$C:$C,'team overview'!$B$6,'reductions data'!G:G,'team overview'!B43)</f>
        <v>0</v>
      </c>
      <c r="E43" s="104"/>
      <c r="F43" s="292"/>
      <c r="G43" s="295"/>
    </row>
    <row r="44" spans="1:7" x14ac:dyDescent="0.15">
      <c r="B44" s="126" t="s">
        <v>1091</v>
      </c>
      <c r="C44" s="103">
        <f>COUNTIFS('reductions data'!C:C,'team overview'!$B$6,'reductions data'!G:G,'team overview'!B44)</f>
        <v>0</v>
      </c>
      <c r="D44" s="102">
        <f>SUMIFS('reductions data'!H:H,'reductions data'!$C:$C,'team overview'!$B$6,'reductions data'!G:G,'team overview'!B44)</f>
        <v>0</v>
      </c>
      <c r="E44" s="104"/>
      <c r="F44" s="292"/>
      <c r="G44" s="295"/>
    </row>
    <row r="45" spans="1:7" x14ac:dyDescent="0.15">
      <c r="B45" s="126" t="s">
        <v>1102</v>
      </c>
      <c r="C45" s="103">
        <f>COUNTIFS('reductions data'!C:C,'team overview'!$B$6,'reductions data'!G:G,'team overview'!B45)</f>
        <v>0</v>
      </c>
      <c r="D45" s="102">
        <f>SUMIFS('reductions data'!H:H,'reductions data'!$C:$C,'team overview'!$B$6,'reductions data'!G:G,'team overview'!B45)</f>
        <v>0</v>
      </c>
      <c r="E45" s="104"/>
      <c r="F45" s="293"/>
      <c r="G45" s="296"/>
    </row>
    <row r="46" spans="1:7" ht="15.75" customHeight="1" x14ac:dyDescent="0.15">
      <c r="B46" s="126" t="s">
        <v>1085</v>
      </c>
      <c r="C46" s="103">
        <f>COUNTIFS('reductions data'!C:C,'team overview'!$B$6,'reductions data'!G:G,'team overview'!B46)</f>
        <v>0</v>
      </c>
      <c r="D46" s="102">
        <f>SUMIFS('reductions data'!H:H,'reductions data'!$C:$C,'team overview'!$B$6,'reductions data'!G:G,'team overview'!B46)</f>
        <v>0</v>
      </c>
      <c r="E46" s="104"/>
      <c r="F46" s="291" t="s">
        <v>1186</v>
      </c>
      <c r="G46" s="294" t="e">
        <f>+G41-'div &amp; regional reduction hours'!N21</f>
        <v>#DIV/0!</v>
      </c>
    </row>
    <row r="47" spans="1:7" x14ac:dyDescent="0.15">
      <c r="B47" s="126" t="s">
        <v>1092</v>
      </c>
      <c r="C47" s="103">
        <f>COUNTIFS('reductions data'!C:C,'team overview'!$B$6,'reductions data'!G:G,'team overview'!B47)</f>
        <v>0</v>
      </c>
      <c r="D47" s="102">
        <f>SUMIFS('reductions data'!H:H,'reductions data'!$C:$C,'team overview'!$B$6,'reductions data'!G:G,'team overview'!B47)</f>
        <v>0</v>
      </c>
      <c r="E47" s="104"/>
      <c r="F47" s="292"/>
      <c r="G47" s="295"/>
    </row>
    <row r="48" spans="1:7" x14ac:dyDescent="0.15">
      <c r="B48" s="126" t="s">
        <v>1118</v>
      </c>
      <c r="C48" s="103">
        <f>COUNTIFS('reductions data'!C:C,'team overview'!$B$6,'reductions data'!G:G,'team overview'!B48)</f>
        <v>0</v>
      </c>
      <c r="D48" s="102">
        <f>SUMIFS('reductions data'!H:H,'reductions data'!$C:$C,'team overview'!$B$6,'reductions data'!G:G,'team overview'!B48)</f>
        <v>0</v>
      </c>
      <c r="E48" s="104"/>
      <c r="F48" s="292"/>
      <c r="G48" s="295"/>
    </row>
    <row r="49" spans="2:7" x14ac:dyDescent="0.15">
      <c r="B49" s="126" t="s">
        <v>1187</v>
      </c>
      <c r="C49" s="103">
        <f>COUNTIFS('reductions data'!C:C,'team overview'!$B$6,'reductions data'!G:G,'team overview'!B49)</f>
        <v>0</v>
      </c>
      <c r="D49" s="102">
        <f>SUMIFS('reductions data'!H:H,'reductions data'!$C:$C,'team overview'!$B$6,'reductions data'!G:G,'team overview'!B49)</f>
        <v>0</v>
      </c>
      <c r="E49" s="104"/>
      <c r="F49" s="292"/>
      <c r="G49" s="295"/>
    </row>
    <row r="50" spans="2:7" x14ac:dyDescent="0.15">
      <c r="B50" s="126" t="s">
        <v>1120</v>
      </c>
      <c r="C50" s="103">
        <f>COUNTIFS('reductions data'!C:C,'team overview'!$B$6,'reductions data'!G:G,'team overview'!B50)</f>
        <v>0</v>
      </c>
      <c r="D50" s="102">
        <f>SUMIFS('reductions data'!H:H,'reductions data'!$C:$C,'team overview'!$B$6,'reductions data'!G:G,'team overview'!B50)</f>
        <v>0</v>
      </c>
      <c r="E50" s="104"/>
      <c r="F50" s="293"/>
      <c r="G50" s="296"/>
    </row>
    <row r="51" spans="2:7" x14ac:dyDescent="0.15">
      <c r="B51" s="126" t="s">
        <v>1121</v>
      </c>
      <c r="C51" s="103">
        <f>COUNTIFS('reductions data'!C:C,'team overview'!$B$6,'reductions data'!G:G,'team overview'!B51)</f>
        <v>0</v>
      </c>
      <c r="D51" s="102">
        <f>SUMIFS('reductions data'!H:H,'reductions data'!$C:$C,'team overview'!$B$6,'reductions data'!G:G,'team overview'!B51)</f>
        <v>0</v>
      </c>
      <c r="E51" s="104"/>
      <c r="F51" s="104"/>
      <c r="G51" s="76"/>
    </row>
    <row r="52" spans="2:7" x14ac:dyDescent="0.15">
      <c r="B52" s="126" t="s">
        <v>1081</v>
      </c>
      <c r="C52" s="103">
        <f>COUNTIFS('reductions data'!C:C,'team overview'!$B$6,'reductions data'!G:G,'team overview'!B52)</f>
        <v>0</v>
      </c>
      <c r="D52" s="102">
        <f>SUMIFS('reductions data'!H:H,'reductions data'!$C:$C,'team overview'!$B$6,'reductions data'!G:G,'team overview'!B52)</f>
        <v>0</v>
      </c>
      <c r="E52" s="104"/>
      <c r="F52" s="104"/>
      <c r="G52" s="76"/>
    </row>
    <row r="53" spans="2:7" x14ac:dyDescent="0.15">
      <c r="B53" s="126" t="s">
        <v>1122</v>
      </c>
      <c r="C53" s="103">
        <f>COUNTIFS('reductions data'!C:C,'team overview'!$B$6,'reductions data'!G:G,'team overview'!B53)</f>
        <v>0</v>
      </c>
      <c r="D53" s="102">
        <f>SUMIFS('reductions data'!H:H,'reductions data'!$C:$C,'team overview'!$B$6,'reductions data'!G:G,'team overview'!B53)</f>
        <v>0</v>
      </c>
      <c r="E53" s="104"/>
      <c r="F53" s="104"/>
      <c r="G53" s="76"/>
    </row>
    <row r="54" spans="2:7" x14ac:dyDescent="0.15">
      <c r="B54" s="126" t="s">
        <v>1093</v>
      </c>
      <c r="C54" s="103">
        <f>COUNTIFS('reductions data'!C:C,'team overview'!$B$6,'reductions data'!G:G,'team overview'!B54)</f>
        <v>0</v>
      </c>
      <c r="D54" s="102">
        <f>SUMIFS('reductions data'!H:H,'reductions data'!$C:$C,'team overview'!$B$6,'reductions data'!G:G,'team overview'!B54)</f>
        <v>0</v>
      </c>
      <c r="E54" s="104"/>
      <c r="F54" s="104"/>
      <c r="G54" s="76"/>
    </row>
    <row r="55" spans="2:7" x14ac:dyDescent="0.15">
      <c r="B55" s="126" t="s">
        <v>1123</v>
      </c>
      <c r="C55" s="103">
        <f>COUNTIFS('reductions data'!C:C,'team overview'!$B$6,'reductions data'!G:G,'team overview'!B55)</f>
        <v>0</v>
      </c>
      <c r="D55" s="102">
        <f>SUMIFS('reductions data'!H:H,'reductions data'!$C:$C,'team overview'!$B$6,'reductions data'!G:G,'team overview'!B55)</f>
        <v>0</v>
      </c>
      <c r="E55" s="104"/>
      <c r="F55" s="104"/>
      <c r="G55" s="76"/>
    </row>
    <row r="56" spans="2:7" x14ac:dyDescent="0.15">
      <c r="B56" s="126" t="s">
        <v>1124</v>
      </c>
      <c r="C56" s="103">
        <f>COUNTIFS('reductions data'!C:C,'team overview'!$B$6,'reductions data'!G:G,'team overview'!B56)</f>
        <v>0</v>
      </c>
      <c r="D56" s="102">
        <f>SUMIFS('reductions data'!H:H,'reductions data'!$C:$C,'team overview'!$B$6,'reductions data'!G:G,'team overview'!B56)</f>
        <v>0</v>
      </c>
      <c r="E56" s="104"/>
      <c r="F56" s="104"/>
      <c r="G56" s="76"/>
    </row>
    <row r="57" spans="2:7" x14ac:dyDescent="0.15">
      <c r="B57" s="126" t="s">
        <v>1088</v>
      </c>
      <c r="C57" s="103">
        <f>COUNTIFS('reductions data'!C:C,'team overview'!$B$6,'reductions data'!G:G,'team overview'!B57)</f>
        <v>0</v>
      </c>
      <c r="D57" s="102">
        <f>SUMIFS('reductions data'!H:H,'reductions data'!$C:$C,'team overview'!$B$6,'reductions data'!G:G,'team overview'!B57)</f>
        <v>0</v>
      </c>
      <c r="E57" s="104"/>
      <c r="F57" s="104"/>
      <c r="G57" s="76"/>
    </row>
    <row r="58" spans="2:7" x14ac:dyDescent="0.15">
      <c r="B58" s="215" t="s">
        <v>1188</v>
      </c>
      <c r="C58" s="103">
        <f>COUNTIFS('reductions data'!C:C,'team overview'!$B$6,'reductions data'!G:G,'team overview'!B58)</f>
        <v>0</v>
      </c>
      <c r="D58" s="102">
        <f>SUMIFS('reductions data'!H:H,'reductions data'!$C:$C,'team overview'!$B$6,'reductions data'!G:G,'team overview'!B58)</f>
        <v>0</v>
      </c>
      <c r="E58" s="104"/>
      <c r="F58" s="104"/>
      <c r="G58" s="76"/>
    </row>
    <row r="59" spans="2:7" x14ac:dyDescent="0.15">
      <c r="B59" s="126" t="s">
        <v>1107</v>
      </c>
      <c r="C59" s="103">
        <f>COUNTIFS('reductions data'!C:C,'team overview'!$B$6,'reductions data'!G:G,'team overview'!B59)</f>
        <v>0</v>
      </c>
      <c r="D59" s="102">
        <f>SUMIFS('reductions data'!H:H,'reductions data'!$C:$C,'team overview'!$B$6,'reductions data'!G:G,'team overview'!B59)</f>
        <v>0</v>
      </c>
      <c r="E59" s="104"/>
      <c r="F59" s="104"/>
      <c r="G59" s="76"/>
    </row>
    <row r="60" spans="2:7" x14ac:dyDescent="0.15">
      <c r="B60" s="126" t="s">
        <v>1099</v>
      </c>
      <c r="C60" s="103">
        <f>COUNTIFS('reductions data'!C:C,'team overview'!$B$6,'reductions data'!G:G,'team overview'!B60)</f>
        <v>0</v>
      </c>
      <c r="D60" s="102">
        <f>SUMIFS('reductions data'!H:H,'reductions data'!$C:$C,'team overview'!$B$6,'reductions data'!G:G,'team overview'!B60)</f>
        <v>0</v>
      </c>
      <c r="E60" s="104"/>
      <c r="F60" s="104"/>
      <c r="G60" s="76"/>
    </row>
    <row r="61" spans="2:7" x14ac:dyDescent="0.15">
      <c r="B61" s="126" t="s">
        <v>1082</v>
      </c>
      <c r="C61" s="103">
        <f>COUNTIFS('reductions data'!C:C,'team overview'!$B$6,'reductions data'!G:G,'team overview'!B61)</f>
        <v>0</v>
      </c>
      <c r="D61" s="102">
        <f>SUMIFS('reductions data'!H:H,'reductions data'!$C:$C,'team overview'!$B$6,'reductions data'!G:G,'team overview'!B61)</f>
        <v>0</v>
      </c>
      <c r="E61" s="104"/>
      <c r="F61" s="104"/>
      <c r="G61" s="76"/>
    </row>
    <row r="62" spans="2:7" x14ac:dyDescent="0.15">
      <c r="B62" s="126" t="s">
        <v>1090</v>
      </c>
      <c r="C62" s="103">
        <f>COUNTIFS('reductions data'!C:C,'team overview'!$B$6,'reductions data'!G:G,'team overview'!B62)</f>
        <v>0</v>
      </c>
      <c r="D62" s="102">
        <f>SUMIFS('reductions data'!H:H,'reductions data'!$C:$C,'team overview'!$B$6,'reductions data'!G:G,'team overview'!B62)</f>
        <v>0</v>
      </c>
      <c r="E62" s="104"/>
      <c r="F62" s="104"/>
      <c r="G62" s="76"/>
    </row>
    <row r="63" spans="2:7" x14ac:dyDescent="0.15">
      <c r="B63" s="126" t="s">
        <v>1105</v>
      </c>
      <c r="C63" s="103">
        <f>COUNTIFS('reductions data'!C:C,'team overview'!$B$6,'reductions data'!G:G,'team overview'!B63)</f>
        <v>0</v>
      </c>
      <c r="D63" s="102">
        <f>SUMIFS('reductions data'!H:H,'reductions data'!$C:$C,'team overview'!$B$6,'reductions data'!G:G,'team overview'!B63)</f>
        <v>0</v>
      </c>
      <c r="E63" s="104"/>
      <c r="F63" s="104"/>
      <c r="G63" s="76"/>
    </row>
    <row r="64" spans="2:7" x14ac:dyDescent="0.15">
      <c r="B64" s="126" t="s">
        <v>1087</v>
      </c>
      <c r="C64" s="103">
        <f>COUNTIFS('reductions data'!C:C,'team overview'!$B$6,'reductions data'!G:G,'team overview'!B64)</f>
        <v>0</v>
      </c>
      <c r="D64" s="102">
        <f>SUMIFS('reductions data'!H:H,'reductions data'!$C:$C,'team overview'!$B$6,'reductions data'!G:G,'team overview'!B64)</f>
        <v>0</v>
      </c>
      <c r="E64" s="104"/>
      <c r="F64" s="104"/>
      <c r="G64" s="76"/>
    </row>
    <row r="65" spans="2:19" x14ac:dyDescent="0.15">
      <c r="B65" s="126" t="s">
        <v>1080</v>
      </c>
      <c r="C65" s="103">
        <f>COUNTIFS('reductions data'!C:C,'team overview'!$B$6,'reductions data'!G:G,'team overview'!B65)</f>
        <v>0</v>
      </c>
      <c r="D65" s="102">
        <f>SUMIFS('reductions data'!H:H,'reductions data'!$C:$C,'team overview'!$B$6,'reductions data'!G:G,'team overview'!B65)</f>
        <v>0</v>
      </c>
      <c r="E65" s="104"/>
      <c r="F65" s="104"/>
      <c r="G65" s="76"/>
    </row>
    <row r="66" spans="2:19" x14ac:dyDescent="0.15">
      <c r="B66" s="126" t="s">
        <v>1100</v>
      </c>
      <c r="C66" s="103">
        <f>COUNTIFS('reductions data'!C:C,'team overview'!$B$6,'reductions data'!G:G,'team overview'!B66)</f>
        <v>0</v>
      </c>
      <c r="D66" s="102">
        <f>SUMIFS('reductions data'!H:H,'reductions data'!$C:$C,'team overview'!$B$6,'reductions data'!G:G,'team overview'!B66)</f>
        <v>0</v>
      </c>
      <c r="E66" s="104"/>
      <c r="F66" s="104"/>
      <c r="G66" s="76"/>
    </row>
    <row r="67" spans="2:19" x14ac:dyDescent="0.15">
      <c r="B67" s="126" t="s">
        <v>1108</v>
      </c>
      <c r="C67" s="103">
        <f>COUNTIFS('reductions data'!C:C,'team overview'!$B$6,'reductions data'!G:G,'team overview'!B67)</f>
        <v>0</v>
      </c>
      <c r="D67" s="102">
        <f>SUMIFS('reductions data'!H:H,'reductions data'!$C:$C,'team overview'!$B$6,'reductions data'!G:G,'team overview'!B67)</f>
        <v>0</v>
      </c>
      <c r="E67" s="104"/>
      <c r="F67" s="104"/>
      <c r="G67" s="76"/>
    </row>
    <row r="68" spans="2:19" x14ac:dyDescent="0.15">
      <c r="B68" s="126" t="s">
        <v>1106</v>
      </c>
      <c r="C68" s="103">
        <f>COUNTIFS('reductions data'!C:C,'team overview'!$B$6,'reductions data'!G:G,'team overview'!B68)</f>
        <v>0</v>
      </c>
      <c r="D68" s="102">
        <f>SUMIFS('reductions data'!H:H,'reductions data'!$C:$C,'team overview'!$B$6,'reductions data'!G:G,'team overview'!B68)</f>
        <v>0</v>
      </c>
      <c r="E68" s="104"/>
      <c r="F68" s="104"/>
      <c r="G68" s="76"/>
    </row>
    <row r="69" spans="2:19" x14ac:dyDescent="0.15">
      <c r="B69" s="126" t="s">
        <v>1095</v>
      </c>
      <c r="C69" s="103">
        <f>COUNTIFS('reductions data'!C:C,'team overview'!$B$6,'reductions data'!G:G,'team overview'!B69)</f>
        <v>0</v>
      </c>
      <c r="D69" s="102">
        <f>SUMIFS('reductions data'!H:H,'reductions data'!$C:$C,'team overview'!$B$6,'reductions data'!G:G,'team overview'!B69)</f>
        <v>0</v>
      </c>
      <c r="E69" s="104"/>
      <c r="F69" s="104"/>
      <c r="G69" s="76"/>
    </row>
    <row r="70" spans="2:19" x14ac:dyDescent="0.15">
      <c r="B70" s="126" t="s">
        <v>1127</v>
      </c>
      <c r="C70" s="103">
        <f>COUNTIFS('reductions data'!C:C,'team overview'!$B$6,'reductions data'!G:G,'team overview'!B70)</f>
        <v>0</v>
      </c>
      <c r="D70" s="102">
        <f>SUMIFS('reductions data'!H:H,'reductions data'!$C:$C,'team overview'!$B$6,'reductions data'!G:G,'team overview'!B70)</f>
        <v>0</v>
      </c>
      <c r="E70" s="104"/>
      <c r="F70" s="104"/>
      <c r="G70" s="76"/>
    </row>
    <row r="71" spans="2:19" x14ac:dyDescent="0.15">
      <c r="B71" s="126" t="s">
        <v>1097</v>
      </c>
      <c r="C71" s="103">
        <f>COUNTIFS('reductions data'!C:C,'team overview'!$B$6,'reductions data'!G:G,'team overview'!B71)</f>
        <v>0</v>
      </c>
      <c r="D71" s="102">
        <f>SUMIFS('reductions data'!H:H,'reductions data'!$C:$C,'team overview'!$B$6,'reductions data'!G:G,'team overview'!B71)</f>
        <v>0</v>
      </c>
      <c r="E71" s="104"/>
      <c r="F71" s="104"/>
      <c r="G71" s="76"/>
    </row>
    <row r="72" spans="2:19" x14ac:dyDescent="0.15">
      <c r="B72" s="126" t="s">
        <v>1128</v>
      </c>
      <c r="C72" s="103">
        <f>COUNTIFS('reductions data'!C:C,'team overview'!$B$6,'reductions data'!G:G,'team overview'!B72)</f>
        <v>0</v>
      </c>
      <c r="D72" s="102">
        <f>SUMIFS('reductions data'!H:H,'reductions data'!$C:$C,'team overview'!$B$6,'reductions data'!G:G,'team overview'!B72)</f>
        <v>0</v>
      </c>
      <c r="E72" s="104"/>
      <c r="F72" s="104"/>
      <c r="G72" s="76"/>
    </row>
    <row r="73" spans="2:19" x14ac:dyDescent="0.15">
      <c r="B73" s="126" t="s">
        <v>1083</v>
      </c>
      <c r="C73" s="103">
        <f>COUNTIFS('reductions data'!C:C,'team overview'!$B$6,'reductions data'!G:G,'team overview'!B73)</f>
        <v>0</v>
      </c>
      <c r="D73" s="102">
        <f>SUMIFS('reductions data'!H:H,'reductions data'!$C:$C,'team overview'!$B$6,'reductions data'!G:G,'team overview'!B73)</f>
        <v>0</v>
      </c>
      <c r="E73" s="104"/>
      <c r="F73" s="104"/>
      <c r="G73" s="76"/>
    </row>
    <row r="74" spans="2:19" x14ac:dyDescent="0.15">
      <c r="B74" s="126" t="s">
        <v>1084</v>
      </c>
      <c r="C74" s="103">
        <f>COUNTIFS('reductions data'!C:C,'team overview'!$B$6,'reductions data'!G:G,'team overview'!B74)</f>
        <v>0</v>
      </c>
      <c r="D74" s="102">
        <f>SUMIFS('reductions data'!H:H,'reductions data'!$C:$C,'team overview'!$B$6,'reductions data'!G:G,'team overview'!B74)</f>
        <v>0</v>
      </c>
      <c r="E74" s="104"/>
      <c r="F74" s="104"/>
      <c r="G74" s="76"/>
    </row>
    <row r="75" spans="2:19" x14ac:dyDescent="0.15">
      <c r="B75" s="126" t="s">
        <v>1110</v>
      </c>
      <c r="C75" s="103">
        <f>COUNTIFS('reductions data'!C:C,'team overview'!$B$6,'reductions data'!G:G,'team overview'!B75)</f>
        <v>0</v>
      </c>
      <c r="D75" s="102">
        <f>SUMIFS('reductions data'!H:H,'reductions data'!$C:$C,'team overview'!$B$6,'reductions data'!G:G,'team overview'!B75)</f>
        <v>0</v>
      </c>
      <c r="E75" s="104"/>
      <c r="F75" s="104"/>
      <c r="G75" s="76"/>
    </row>
    <row r="76" spans="2:19" x14ac:dyDescent="0.15">
      <c r="B76" s="126" t="s">
        <v>1103</v>
      </c>
      <c r="C76" s="103">
        <f>COUNTIFS('reductions data'!C:C,'team overview'!$B$6,'reductions data'!G:G,'team overview'!B76)</f>
        <v>0</v>
      </c>
      <c r="D76" s="102">
        <f>SUMIFS('reductions data'!H:H,'reductions data'!$C:$C,'team overview'!$B$6,'reductions data'!G:G,'team overview'!B76)</f>
        <v>0</v>
      </c>
      <c r="E76" s="104"/>
      <c r="F76" s="104"/>
      <c r="G76" s="76"/>
    </row>
    <row r="77" spans="2:19" x14ac:dyDescent="0.15">
      <c r="B77" s="104"/>
      <c r="C77" s="104"/>
      <c r="D77" s="104"/>
      <c r="E77" s="104"/>
      <c r="F77" s="104"/>
      <c r="G77" s="76"/>
    </row>
    <row r="78" spans="2:19" x14ac:dyDescent="0.15">
      <c r="B78" s="104"/>
      <c r="C78" s="104"/>
      <c r="D78" s="104"/>
      <c r="E78" s="104"/>
      <c r="F78" s="104"/>
      <c r="G78" s="76"/>
      <c r="S78" s="45"/>
    </row>
    <row r="79" spans="2:19" x14ac:dyDescent="0.15">
      <c r="B79" s="104"/>
      <c r="C79" s="104"/>
      <c r="D79" s="104"/>
      <c r="E79" s="104"/>
      <c r="F79" s="104"/>
      <c r="G79" s="76"/>
    </row>
    <row r="80" spans="2:19" ht="16" x14ac:dyDescent="0.2">
      <c r="B80" s="68"/>
      <c r="C80" s="66"/>
      <c r="D80" s="67"/>
      <c r="E80" s="1"/>
      <c r="F80" s="1"/>
    </row>
  </sheetData>
  <mergeCells count="15">
    <mergeCell ref="B32:D32"/>
    <mergeCell ref="F32:G32"/>
    <mergeCell ref="A1:S1"/>
    <mergeCell ref="A2:S2"/>
    <mergeCell ref="B8:F8"/>
    <mergeCell ref="B19:H19"/>
    <mergeCell ref="B26:K26"/>
    <mergeCell ref="F46:F50"/>
    <mergeCell ref="G46:G50"/>
    <mergeCell ref="F34:F36"/>
    <mergeCell ref="G34:G36"/>
    <mergeCell ref="F37:F39"/>
    <mergeCell ref="G37:G39"/>
    <mergeCell ref="F41:F45"/>
    <mergeCell ref="G41:G45"/>
  </mergeCells>
  <conditionalFormatting sqref="C11:E11 C10:F10">
    <cfRule type="cellIs" dxfId="5267" priority="3" operator="lessThan">
      <formula>0.9</formula>
    </cfRule>
    <cfRule type="cellIs" dxfId="5266" priority="4" operator="greaterThanOrEqual">
      <formula>1.1</formula>
    </cfRule>
  </conditionalFormatting>
  <conditionalFormatting sqref="F11">
    <cfRule type="cellIs" dxfId="5265" priority="1" operator="lessThan">
      <formula>0.9</formula>
    </cfRule>
    <cfRule type="cellIs" dxfId="5264" priority="2" operator="greaterThanOrEqual">
      <formula>1.1</formula>
    </cfRule>
  </conditionalFormatting>
  <dataValidations count="2">
    <dataValidation type="list" allowBlank="1" showInputMessage="1" showErrorMessage="1" sqref="B5" xr:uid="{4B8F142B-4063-4AD5-B318-91BFFDFF1B8F}">
      <formula1>Regions</formula1>
    </dataValidation>
    <dataValidation type="list" allowBlank="1" showInputMessage="1" showErrorMessage="1" sqref="B6" xr:uid="{00000000-0002-0000-0900-000001000000}">
      <formula1>OFFSET(Second_Anchor,1,MATCH($B$5,Team_Regions,0)-1,COUNTA(OFFSET(Second_Anchor,1,MATCH(B5,Team_Regions,0)-1,100)),1)</formula1>
    </dataValidation>
  </dataValidation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O213"/>
  <sheetViews>
    <sheetView showGridLines="0" topLeftCell="V1" zoomScale="85" zoomScaleNormal="70" workbookViewId="0">
      <selection activeCell="A205" sqref="A205:XFD208"/>
    </sheetView>
  </sheetViews>
  <sheetFormatPr baseColWidth="10" defaultColWidth="8.83203125" defaultRowHeight="14" x14ac:dyDescent="0.15"/>
  <cols>
    <col min="2" max="2" width="40.83203125" bestFit="1" customWidth="1"/>
    <col min="3" max="3" width="35" bestFit="1" customWidth="1"/>
    <col min="14" max="15" width="10" bestFit="1" customWidth="1"/>
    <col min="16" max="16" width="10.5" customWidth="1"/>
    <col min="17" max="17" width="10" bestFit="1" customWidth="1"/>
    <col min="18" max="18" width="10.1640625" bestFit="1" customWidth="1"/>
    <col min="19" max="19" width="10.83203125" bestFit="1" customWidth="1"/>
    <col min="20" max="20" width="11.5" bestFit="1" customWidth="1"/>
    <col min="23" max="23" width="40.83203125" bestFit="1" customWidth="1"/>
    <col min="24" max="24" width="20.1640625" customWidth="1"/>
    <col min="25" max="25" width="11.5" bestFit="1" customWidth="1"/>
    <col min="26" max="26" width="12.1640625" bestFit="1" customWidth="1"/>
    <col min="27" max="27" width="11.5" bestFit="1" customWidth="1"/>
    <col min="28" max="29" width="12.1640625" bestFit="1" customWidth="1"/>
    <col min="30" max="31" width="11.5" bestFit="1" customWidth="1"/>
  </cols>
  <sheetData>
    <row r="1" spans="1:41" ht="70.5" customHeight="1" x14ac:dyDescent="0.15">
      <c r="A1" s="316" t="s">
        <v>1516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  <c r="V1" s="317"/>
      <c r="W1" s="317"/>
      <c r="X1" s="317"/>
      <c r="Y1" s="317"/>
      <c r="Z1" s="317"/>
      <c r="AA1" s="317"/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317"/>
      <c r="AN1" s="317"/>
      <c r="AO1" t="s">
        <v>1235</v>
      </c>
    </row>
    <row r="2" spans="1:41" ht="51" customHeight="1" x14ac:dyDescent="0.15">
      <c r="A2" s="318"/>
      <c r="B2" s="318"/>
      <c r="C2" s="318"/>
      <c r="D2" s="318"/>
      <c r="E2" s="318"/>
      <c r="F2" s="318"/>
      <c r="G2" s="318"/>
      <c r="H2" s="318"/>
      <c r="I2" s="318"/>
      <c r="J2" s="318"/>
      <c r="K2" s="318"/>
      <c r="L2" s="318"/>
      <c r="M2" s="318"/>
      <c r="N2" s="318"/>
      <c r="O2" s="318"/>
      <c r="P2" s="318"/>
      <c r="Q2" s="318"/>
      <c r="R2" s="318"/>
      <c r="S2" s="318"/>
      <c r="T2" s="318"/>
      <c r="U2" s="318"/>
      <c r="V2" s="318"/>
      <c r="W2" s="318"/>
      <c r="X2" s="318"/>
      <c r="Y2" s="318"/>
      <c r="Z2" s="318"/>
      <c r="AA2" s="318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8"/>
      <c r="AM2" s="318"/>
      <c r="AN2" s="318"/>
    </row>
    <row r="7" spans="1:41" ht="51" customHeight="1" x14ac:dyDescent="0.15"/>
    <row r="8" spans="1:41" ht="15" thickBot="1" x14ac:dyDescent="0.2"/>
    <row r="9" spans="1:41" ht="17" thickBot="1" x14ac:dyDescent="0.25">
      <c r="B9" s="1"/>
      <c r="C9" s="2"/>
      <c r="D9" s="310" t="s">
        <v>1236</v>
      </c>
      <c r="E9" s="311"/>
      <c r="F9" s="311"/>
      <c r="G9" s="311"/>
      <c r="H9" s="311"/>
      <c r="I9" s="311"/>
      <c r="J9" s="311"/>
      <c r="K9" s="311"/>
      <c r="L9" s="311"/>
      <c r="M9" s="311"/>
      <c r="N9" s="311"/>
      <c r="O9" s="311"/>
      <c r="P9" s="311"/>
      <c r="Q9" s="311"/>
      <c r="R9" s="311"/>
      <c r="S9" s="311"/>
      <c r="T9" s="312"/>
      <c r="W9" s="1"/>
      <c r="X9" s="2"/>
      <c r="Y9" s="322" t="s">
        <v>1237</v>
      </c>
      <c r="Z9" s="323"/>
      <c r="AA9" s="323"/>
      <c r="AB9" s="323"/>
      <c r="AC9" s="323"/>
      <c r="AD9" s="323"/>
      <c r="AE9" s="323"/>
      <c r="AF9" s="323"/>
      <c r="AG9" s="323"/>
      <c r="AH9" s="323"/>
      <c r="AI9" s="323"/>
      <c r="AJ9" s="323"/>
      <c r="AK9" s="323"/>
      <c r="AL9" s="323"/>
      <c r="AM9" s="323"/>
      <c r="AN9" s="323"/>
    </row>
    <row r="10" spans="1:41" x14ac:dyDescent="0.15">
      <c r="B10" s="137" t="s">
        <v>1238</v>
      </c>
      <c r="C10" s="138" t="s">
        <v>1239</v>
      </c>
      <c r="D10" s="42" t="s">
        <v>1019</v>
      </c>
      <c r="E10" s="42" t="s">
        <v>1020</v>
      </c>
      <c r="F10" s="42" t="s">
        <v>1021</v>
      </c>
      <c r="G10" s="42" t="s">
        <v>1022</v>
      </c>
      <c r="H10" s="42" t="s">
        <v>1023</v>
      </c>
      <c r="I10" s="42" t="s">
        <v>1024</v>
      </c>
      <c r="J10" s="42" t="s">
        <v>1025</v>
      </c>
      <c r="K10" s="42" t="s">
        <v>1026</v>
      </c>
      <c r="L10" s="42" t="s">
        <v>1027</v>
      </c>
      <c r="M10" s="42" t="s">
        <v>1028</v>
      </c>
      <c r="N10" s="42" t="s">
        <v>1029</v>
      </c>
      <c r="O10" s="42" t="s">
        <v>1030</v>
      </c>
      <c r="P10" s="42" t="s">
        <v>1031</v>
      </c>
      <c r="Q10" s="42" t="s">
        <v>1032</v>
      </c>
      <c r="R10" s="42" t="s">
        <v>1033</v>
      </c>
      <c r="S10" s="42" t="s">
        <v>1034</v>
      </c>
      <c r="T10" s="138" t="s">
        <v>1036</v>
      </c>
      <c r="U10" s="76"/>
      <c r="V10" s="76"/>
      <c r="W10" s="137" t="s">
        <v>1238</v>
      </c>
      <c r="X10" s="139" t="s">
        <v>1239</v>
      </c>
      <c r="Y10" s="42" t="s">
        <v>1019</v>
      </c>
      <c r="Z10" s="42" t="s">
        <v>1020</v>
      </c>
      <c r="AA10" s="42" t="s">
        <v>1021</v>
      </c>
      <c r="AB10" s="42" t="s">
        <v>1022</v>
      </c>
      <c r="AC10" s="42" t="s">
        <v>1023</v>
      </c>
      <c r="AD10" s="42" t="s">
        <v>1024</v>
      </c>
      <c r="AE10" s="42" t="s">
        <v>1025</v>
      </c>
      <c r="AF10" s="42" t="s">
        <v>1026</v>
      </c>
      <c r="AG10" s="42" t="s">
        <v>1027</v>
      </c>
      <c r="AH10" s="42" t="s">
        <v>1028</v>
      </c>
      <c r="AI10" s="42" t="s">
        <v>1029</v>
      </c>
      <c r="AJ10" s="42" t="s">
        <v>1030</v>
      </c>
      <c r="AK10" s="42" t="s">
        <v>1031</v>
      </c>
      <c r="AL10" s="42" t="s">
        <v>1032</v>
      </c>
      <c r="AM10" s="42" t="s">
        <v>1033</v>
      </c>
      <c r="AN10" s="42" t="s">
        <v>1034</v>
      </c>
    </row>
    <row r="11" spans="1:41" x14ac:dyDescent="0.15">
      <c r="B11" s="306" t="s">
        <v>1355</v>
      </c>
      <c r="C11" s="141" t="s">
        <v>1037</v>
      </c>
      <c r="D11" s="107">
        <f>SUMIFS('caseload data'!E:E,'caseload data'!$D:$D,"PO",'caseload data'!$A:$A,EMR)</f>
        <v>0</v>
      </c>
      <c r="E11" s="107">
        <f>SUMIFS('caseload data'!F:F,'caseload data'!$D:$D,"PO",'caseload data'!$A:$A,EMR)</f>
        <v>0</v>
      </c>
      <c r="F11" s="107">
        <f>SUMIFS('caseload data'!G:G,'caseload data'!$D:$D,"PO",'caseload data'!$A:$A,EMR)</f>
        <v>0</v>
      </c>
      <c r="G11" s="107">
        <f>SUMIFS('caseload data'!H:H,'caseload data'!$D:$D,"PO",'caseload data'!$A:$A,EMR)</f>
        <v>0</v>
      </c>
      <c r="H11" s="107">
        <f>SUMIFS('caseload data'!I:I,'caseload data'!$D:$D,"PO",'caseload data'!$A:$A,EMR)</f>
        <v>0</v>
      </c>
      <c r="I11" s="107">
        <f>SUMIFS('caseload data'!J:J,'caseload data'!$D:$D,"PO",'caseload data'!$A:$A,EMR)</f>
        <v>0</v>
      </c>
      <c r="J11" s="107">
        <f>SUMIFS('caseload data'!K:K,'caseload data'!$D:$D,"PO",'caseload data'!$A:$A,EMR)</f>
        <v>0</v>
      </c>
      <c r="K11" s="107">
        <f>SUMIFS('caseload data'!L:L,'caseload data'!$D:$D,"PO",'caseload data'!$A:$A,EMR)</f>
        <v>0</v>
      </c>
      <c r="L11" s="107">
        <f>SUMIFS('caseload data'!M:M,'caseload data'!$D:$D,"PO",'caseload data'!$A:$A,EMR)</f>
        <v>0</v>
      </c>
      <c r="M11" s="107">
        <f>SUMIFS('caseload data'!N:N,'caseload data'!$D:$D,"PO",'caseload data'!$A:$A,EMR)</f>
        <v>0</v>
      </c>
      <c r="N11" s="107">
        <f>SUMIFS('caseload data'!O:O,'caseload data'!$D:$D,"PO",'caseload data'!$A:$A,EMR)</f>
        <v>0</v>
      </c>
      <c r="O11" s="107">
        <f>SUMIFS('caseload data'!P:P,'caseload data'!$D:$D,"PO",'caseload data'!$A:$A,EMR)</f>
        <v>0</v>
      </c>
      <c r="P11" s="107">
        <f>SUMIFS('caseload data'!Q:Q,'caseload data'!$D:$D,"PO",'caseload data'!$A:$A,EMR)</f>
        <v>0</v>
      </c>
      <c r="Q11" s="107">
        <f>SUMIFS('caseload data'!R:R,'caseload data'!$D:$D,"PO",'caseload data'!$A:$A,EMR)</f>
        <v>0</v>
      </c>
      <c r="R11" s="107">
        <f>SUMIFS('caseload data'!S:S,'caseload data'!$D:$D,"PO",'caseload data'!$A:$A,EMR)</f>
        <v>0</v>
      </c>
      <c r="S11" s="107">
        <f>SUMIFS('caseload data'!T:T,'caseload data'!$D:$D,"PO",'caseload data'!$A:$A,EMR)</f>
        <v>0</v>
      </c>
      <c r="T11" s="107">
        <f>SUMIFS('caseload data'!V:V,'caseload data'!$D:$D,"PO",'caseload data'!$A:$A,'national caseload'!B11:B13)</f>
        <v>0</v>
      </c>
      <c r="U11" s="76"/>
      <c r="V11" s="76"/>
      <c r="W11" s="306" t="s">
        <v>1355</v>
      </c>
      <c r="X11" s="141" t="s">
        <v>1037</v>
      </c>
      <c r="Y11" s="187" t="e">
        <f t="shared" ref="Y11:AN14" si="0">SUM(D11)/SUM(D$11:D$14)</f>
        <v>#DIV/0!</v>
      </c>
      <c r="Z11" s="187" t="e">
        <f t="shared" si="0"/>
        <v>#DIV/0!</v>
      </c>
      <c r="AA11" s="187" t="e">
        <f t="shared" si="0"/>
        <v>#DIV/0!</v>
      </c>
      <c r="AB11" s="187" t="e">
        <f t="shared" si="0"/>
        <v>#DIV/0!</v>
      </c>
      <c r="AC11" s="187" t="e">
        <f t="shared" si="0"/>
        <v>#DIV/0!</v>
      </c>
      <c r="AD11" s="187" t="e">
        <f t="shared" si="0"/>
        <v>#DIV/0!</v>
      </c>
      <c r="AE11" s="187" t="e">
        <f t="shared" si="0"/>
        <v>#DIV/0!</v>
      </c>
      <c r="AF11" s="187" t="e">
        <f t="shared" si="0"/>
        <v>#DIV/0!</v>
      </c>
      <c r="AG11" s="187" t="e">
        <f t="shared" si="0"/>
        <v>#DIV/0!</v>
      </c>
      <c r="AH11" s="187" t="e">
        <f t="shared" si="0"/>
        <v>#DIV/0!</v>
      </c>
      <c r="AI11" s="187" t="e">
        <f t="shared" si="0"/>
        <v>#DIV/0!</v>
      </c>
      <c r="AJ11" s="187" t="e">
        <f t="shared" si="0"/>
        <v>#DIV/0!</v>
      </c>
      <c r="AK11" s="187" t="e">
        <f t="shared" si="0"/>
        <v>#DIV/0!</v>
      </c>
      <c r="AL11" s="187" t="e">
        <f t="shared" si="0"/>
        <v>#DIV/0!</v>
      </c>
      <c r="AM11" s="187" t="e">
        <f t="shared" si="0"/>
        <v>#DIV/0!</v>
      </c>
      <c r="AN11" s="187" t="e">
        <f t="shared" si="0"/>
        <v>#DIV/0!</v>
      </c>
    </row>
    <row r="12" spans="1:41" x14ac:dyDescent="0.15">
      <c r="B12" s="307"/>
      <c r="C12" s="142" t="s">
        <v>1038</v>
      </c>
      <c r="D12" s="107">
        <f>SUMIFS('caseload data'!E:E,'caseload data'!$D:$D,"PSO",'caseload data'!$A:$A,"East Midlands Region")</f>
        <v>0</v>
      </c>
      <c r="E12" s="107">
        <f>SUMIFS('caseload data'!F:F,'caseload data'!$D:$D,"PSO",'caseload data'!$A:$A,"East Midlands Region")</f>
        <v>0</v>
      </c>
      <c r="F12" s="107">
        <f>SUMIFS('caseload data'!G:G,'caseload data'!$D:$D,"PSO",'caseload data'!$A:$A,"East Midlands Region")</f>
        <v>0</v>
      </c>
      <c r="G12" s="107">
        <f>SUMIFS('caseload data'!H:H,'caseload data'!$D:$D,"PSO",'caseload data'!$A:$A,"East Midlands Region")</f>
        <v>0</v>
      </c>
      <c r="H12" s="107">
        <f>SUMIFS('caseload data'!I:I,'caseload data'!$D:$D,"PSO",'caseload data'!$A:$A,"East Midlands Region")</f>
        <v>0</v>
      </c>
      <c r="I12" s="107">
        <f>SUMIFS('caseload data'!J:J,'caseload data'!$D:$D,"PSO",'caseload data'!$A:$A,"East Midlands Region")</f>
        <v>0</v>
      </c>
      <c r="J12" s="107">
        <f>SUMIFS('caseload data'!K:K,'caseload data'!$D:$D,"PSO",'caseload data'!$A:$A,"East Midlands Region")</f>
        <v>0</v>
      </c>
      <c r="K12" s="107">
        <f>SUMIFS('caseload data'!L:L,'caseload data'!$D:$D,"PSO",'caseload data'!$A:$A,"East Midlands Region")</f>
        <v>0</v>
      </c>
      <c r="L12" s="107">
        <f>SUMIFS('caseload data'!M:M,'caseload data'!$D:$D,"PSO",'caseload data'!$A:$A,"East Midlands Region")</f>
        <v>0</v>
      </c>
      <c r="M12" s="107">
        <f>SUMIFS('caseload data'!N:N,'caseload data'!$D:$D,"PSO",'caseload data'!$A:$A,"East Midlands Region")</f>
        <v>0</v>
      </c>
      <c r="N12" s="107">
        <f>SUMIFS('caseload data'!O:O,'caseload data'!$D:$D,"PSO",'caseload data'!$A:$A,"East Midlands Region")</f>
        <v>0</v>
      </c>
      <c r="O12" s="107">
        <f>SUMIFS('caseload data'!P:P,'caseload data'!$D:$D,"PSO",'caseload data'!$A:$A,"East Midlands Region")</f>
        <v>0</v>
      </c>
      <c r="P12" s="107">
        <f>SUMIFS('caseload data'!Q:Q,'caseload data'!$D:$D,"PSO",'caseload data'!$A:$A,"East Midlands Region")</f>
        <v>0</v>
      </c>
      <c r="Q12" s="107">
        <f>SUMIFS('caseload data'!R:R,'caseload data'!$D:$D,"PSO",'caseload data'!$A:$A,"East Midlands Region")</f>
        <v>0</v>
      </c>
      <c r="R12" s="107">
        <f>SUMIFS('caseload data'!S:S,'caseload data'!$D:$D,"PSO",'caseload data'!$A:$A,"East Midlands Region")</f>
        <v>0</v>
      </c>
      <c r="S12" s="107">
        <f>SUMIFS('caseload data'!T:T,'caseload data'!$D:$D,"PSO",'caseload data'!$A:$A,"East Midlands Region")</f>
        <v>0</v>
      </c>
      <c r="T12" s="107">
        <f>SUMIFS('caseload data'!V:V,'caseload data'!$D:$D,"PSO",'caseload data'!$A:$A,"East Midlands Region")</f>
        <v>0</v>
      </c>
      <c r="U12" s="76"/>
      <c r="V12" s="76"/>
      <c r="W12" s="307"/>
      <c r="X12" s="142" t="s">
        <v>1038</v>
      </c>
      <c r="Y12" s="187" t="e">
        <f t="shared" si="0"/>
        <v>#DIV/0!</v>
      </c>
      <c r="Z12" s="187" t="e">
        <f t="shared" si="0"/>
        <v>#DIV/0!</v>
      </c>
      <c r="AA12" s="187" t="e">
        <f t="shared" si="0"/>
        <v>#DIV/0!</v>
      </c>
      <c r="AB12" s="187" t="e">
        <f t="shared" si="0"/>
        <v>#DIV/0!</v>
      </c>
      <c r="AC12" s="187" t="e">
        <f t="shared" si="0"/>
        <v>#DIV/0!</v>
      </c>
      <c r="AD12" s="187" t="e">
        <f t="shared" si="0"/>
        <v>#DIV/0!</v>
      </c>
      <c r="AE12" s="187" t="e">
        <f t="shared" si="0"/>
        <v>#DIV/0!</v>
      </c>
      <c r="AF12" s="187" t="e">
        <f t="shared" si="0"/>
        <v>#DIV/0!</v>
      </c>
      <c r="AG12" s="187" t="e">
        <f t="shared" si="0"/>
        <v>#DIV/0!</v>
      </c>
      <c r="AH12" s="187" t="e">
        <f t="shared" si="0"/>
        <v>#DIV/0!</v>
      </c>
      <c r="AI12" s="187" t="e">
        <f t="shared" si="0"/>
        <v>#DIV/0!</v>
      </c>
      <c r="AJ12" s="187" t="e">
        <f t="shared" si="0"/>
        <v>#DIV/0!</v>
      </c>
      <c r="AK12" s="187" t="e">
        <f t="shared" si="0"/>
        <v>#DIV/0!</v>
      </c>
      <c r="AL12" s="187" t="e">
        <f t="shared" si="0"/>
        <v>#DIV/0!</v>
      </c>
      <c r="AM12" s="187" t="e">
        <f t="shared" si="0"/>
        <v>#DIV/0!</v>
      </c>
      <c r="AN12" s="187" t="e">
        <f t="shared" si="0"/>
        <v>#DIV/0!</v>
      </c>
    </row>
    <row r="13" spans="1:41" x14ac:dyDescent="0.15">
      <c r="B13" s="307"/>
      <c r="C13" s="142" t="s">
        <v>1039</v>
      </c>
      <c r="D13" s="107">
        <f>SUMIFS('caseload data'!E:E,'caseload data'!$D:$D,"TPO",'caseload data'!$A:$A,"East Midlands Region")</f>
        <v>0</v>
      </c>
      <c r="E13" s="107">
        <f>SUMIFS('caseload data'!F:F,'caseload data'!$D:$D,"TPO",'caseload data'!$A:$A,"East Midlands Region")</f>
        <v>0</v>
      </c>
      <c r="F13" s="107">
        <f>SUMIFS('caseload data'!G:G,'caseload data'!$D:$D,"TPO",'caseload data'!$A:$A,"East Midlands Region")</f>
        <v>0</v>
      </c>
      <c r="G13" s="107">
        <f>SUMIFS('caseload data'!H:H,'caseload data'!$D:$D,"TPO",'caseload data'!$A:$A,"East Midlands Region")</f>
        <v>0</v>
      </c>
      <c r="H13" s="107">
        <f>SUMIFS('caseload data'!I:I,'caseload data'!$D:$D,"TPO",'caseload data'!$A:$A,"East Midlands Region")</f>
        <v>0</v>
      </c>
      <c r="I13" s="107">
        <f>SUMIFS('caseload data'!J:J,'caseload data'!$D:$D,"TPO",'caseload data'!$A:$A,"East Midlands Region")</f>
        <v>0</v>
      </c>
      <c r="J13" s="107">
        <f>SUMIFS('caseload data'!K:K,'caseload data'!$D:$D,"TPO",'caseload data'!$A:$A,"East Midlands Region")</f>
        <v>0</v>
      </c>
      <c r="K13" s="107">
        <f>SUMIFS('caseload data'!L:L,'caseload data'!$D:$D,"TPO",'caseload data'!$A:$A,"East Midlands Region")</f>
        <v>0</v>
      </c>
      <c r="L13" s="107">
        <f>SUMIFS('caseload data'!M:M,'caseload data'!$D:$D,"TPO",'caseload data'!$A:$A,"East Midlands Region")</f>
        <v>0</v>
      </c>
      <c r="M13" s="107">
        <f>SUMIFS('caseload data'!N:N,'caseload data'!$D:$D,"TPO",'caseload data'!$A:$A,"East Midlands Region")</f>
        <v>0</v>
      </c>
      <c r="N13" s="107">
        <f>SUMIFS('caseload data'!O:O,'caseload data'!$D:$D,"TPO",'caseload data'!$A:$A,"East Midlands Region")</f>
        <v>0</v>
      </c>
      <c r="O13" s="107">
        <f>SUMIFS('caseload data'!P:P,'caseload data'!$D:$D,"TPO",'caseload data'!$A:$A,"East Midlands Region")</f>
        <v>0</v>
      </c>
      <c r="P13" s="107">
        <f>SUMIFS('caseload data'!Q:Q,'caseload data'!$D:$D,"TPO",'caseload data'!$A:$A,"East Midlands Region")</f>
        <v>0</v>
      </c>
      <c r="Q13" s="107">
        <f>SUMIFS('caseload data'!R:R,'caseload data'!$D:$D,"TPO",'caseload data'!$A:$A,"East Midlands Region")</f>
        <v>0</v>
      </c>
      <c r="R13" s="107">
        <f>SUMIFS('caseload data'!S:S,'caseload data'!$D:$D,"TPO",'caseload data'!$A:$A,"East Midlands Region")</f>
        <v>0</v>
      </c>
      <c r="S13" s="107">
        <f>SUMIFS('caseload data'!T:T,'caseload data'!$D:$D,"TPO",'caseload data'!$A:$A,"East Midlands Region")</f>
        <v>0</v>
      </c>
      <c r="T13" s="107">
        <f>SUMIFS('caseload data'!V:V,'caseload data'!$D:$D,"TPO",'caseload data'!$A:$A,"East Midlands Region")</f>
        <v>0</v>
      </c>
      <c r="U13" s="76"/>
      <c r="V13" s="76"/>
      <c r="W13" s="307"/>
      <c r="X13" s="142" t="s">
        <v>1039</v>
      </c>
      <c r="Y13" s="187" t="e">
        <f t="shared" si="0"/>
        <v>#DIV/0!</v>
      </c>
      <c r="Z13" s="187" t="e">
        <f t="shared" si="0"/>
        <v>#DIV/0!</v>
      </c>
      <c r="AA13" s="187" t="e">
        <f t="shared" si="0"/>
        <v>#DIV/0!</v>
      </c>
      <c r="AB13" s="187" t="e">
        <f t="shared" si="0"/>
        <v>#DIV/0!</v>
      </c>
      <c r="AC13" s="187" t="e">
        <f t="shared" si="0"/>
        <v>#DIV/0!</v>
      </c>
      <c r="AD13" s="187" t="e">
        <f t="shared" si="0"/>
        <v>#DIV/0!</v>
      </c>
      <c r="AE13" s="187" t="e">
        <f t="shared" si="0"/>
        <v>#DIV/0!</v>
      </c>
      <c r="AF13" s="187" t="e">
        <f t="shared" si="0"/>
        <v>#DIV/0!</v>
      </c>
      <c r="AG13" s="187" t="e">
        <f t="shared" si="0"/>
        <v>#DIV/0!</v>
      </c>
      <c r="AH13" s="187" t="e">
        <f t="shared" si="0"/>
        <v>#DIV/0!</v>
      </c>
      <c r="AI13" s="187" t="e">
        <f t="shared" si="0"/>
        <v>#DIV/0!</v>
      </c>
      <c r="AJ13" s="187" t="e">
        <f t="shared" si="0"/>
        <v>#DIV/0!</v>
      </c>
      <c r="AK13" s="187" t="e">
        <f t="shared" si="0"/>
        <v>#DIV/0!</v>
      </c>
      <c r="AL13" s="187" t="e">
        <f t="shared" si="0"/>
        <v>#DIV/0!</v>
      </c>
      <c r="AM13" s="187" t="e">
        <f t="shared" si="0"/>
        <v>#DIV/0!</v>
      </c>
      <c r="AN13" s="187" t="e">
        <f t="shared" si="0"/>
        <v>#DIV/0!</v>
      </c>
    </row>
    <row r="14" spans="1:41" x14ac:dyDescent="0.15">
      <c r="B14" s="308"/>
      <c r="C14" s="143" t="s">
        <v>1040</v>
      </c>
      <c r="D14" s="107">
        <f>SUMIFS('caseload data'!E:E,'caseload data'!$D:$D,"SPO",'caseload data'!$A:$A,"East Midlands Region")</f>
        <v>0</v>
      </c>
      <c r="E14" s="107">
        <f>SUMIFS('caseload data'!F:F,'caseload data'!$D:$D,"SPO",'caseload data'!$A:$A,"East Midlands Region")</f>
        <v>0</v>
      </c>
      <c r="F14" s="107">
        <f>SUMIFS('caseload data'!G:G,'caseload data'!$D:$D,"SPO",'caseload data'!$A:$A,"East Midlands Region")</f>
        <v>0</v>
      </c>
      <c r="G14" s="107">
        <f>SUMIFS('caseload data'!H:H,'caseload data'!$D:$D,"SPO",'caseload data'!$A:$A,"East Midlands Region")</f>
        <v>0</v>
      </c>
      <c r="H14" s="107">
        <f>SUMIFS('caseload data'!I:I,'caseload data'!$D:$D,"SPO",'caseload data'!$A:$A,"East Midlands Region")</f>
        <v>0</v>
      </c>
      <c r="I14" s="107">
        <f>SUMIFS('caseload data'!J:J,'caseload data'!$D:$D,"SPO",'caseload data'!$A:$A,"East Midlands Region")</f>
        <v>0</v>
      </c>
      <c r="J14" s="107">
        <f>SUMIFS('caseload data'!K:K,'caseload data'!$D:$D,"SPO",'caseload data'!$A:$A,"East Midlands Region")</f>
        <v>0</v>
      </c>
      <c r="K14" s="107">
        <f>SUMIFS('caseload data'!L:L,'caseload data'!$D:$D,"SPO",'caseload data'!$A:$A,"East Midlands Region")</f>
        <v>0</v>
      </c>
      <c r="L14" s="107">
        <f>SUMIFS('caseload data'!M:M,'caseload data'!$D:$D,"SPO",'caseload data'!$A:$A,"East Midlands Region")</f>
        <v>0</v>
      </c>
      <c r="M14" s="107">
        <f>SUMIFS('caseload data'!N:N,'caseload data'!$D:$D,"SPO",'caseload data'!$A:$A,"East Midlands Region")</f>
        <v>0</v>
      </c>
      <c r="N14" s="107">
        <f>SUMIFS('caseload data'!O:O,'caseload data'!$D:$D,"SPO",'caseload data'!$A:$A,"East Midlands Region")</f>
        <v>0</v>
      </c>
      <c r="O14" s="107">
        <f>SUMIFS('caseload data'!P:P,'caseload data'!$D:$D,"SPO",'caseload data'!$A:$A,"East Midlands Region")</f>
        <v>0</v>
      </c>
      <c r="P14" s="107">
        <f>SUMIFS('caseload data'!Q:Q,'caseload data'!$D:$D,"SPO",'caseload data'!$A:$A,"East Midlands Region")</f>
        <v>0</v>
      </c>
      <c r="Q14" s="107">
        <f>SUMIFS('caseload data'!R:R,'caseload data'!$D:$D,"SPO",'caseload data'!$A:$A,"East Midlands Region")</f>
        <v>0</v>
      </c>
      <c r="R14" s="107">
        <f>SUMIFS('caseload data'!S:S,'caseload data'!$D:$D,"SPO",'caseload data'!$A:$A,"East Midlands Region")</f>
        <v>0</v>
      </c>
      <c r="S14" s="107">
        <f>SUMIFS('caseload data'!T:T,'caseload data'!$D:$D,"SPO",'caseload data'!$A:$A,"East Midlands Region")</f>
        <v>0</v>
      </c>
      <c r="T14" s="107">
        <f>SUMIFS('caseload data'!V:V,'caseload data'!$D:$D,"SPO",'caseload data'!$A:$A,"East Midlands Region")</f>
        <v>0</v>
      </c>
      <c r="U14" s="76"/>
      <c r="V14" s="76"/>
      <c r="W14" s="308"/>
      <c r="X14" s="143" t="s">
        <v>1040</v>
      </c>
      <c r="Y14" s="187" t="e">
        <f t="shared" si="0"/>
        <v>#DIV/0!</v>
      </c>
      <c r="Z14" s="187" t="e">
        <f t="shared" si="0"/>
        <v>#DIV/0!</v>
      </c>
      <c r="AA14" s="187" t="e">
        <f t="shared" si="0"/>
        <v>#DIV/0!</v>
      </c>
      <c r="AB14" s="187" t="e">
        <f t="shared" si="0"/>
        <v>#DIV/0!</v>
      </c>
      <c r="AC14" s="187" t="e">
        <f t="shared" si="0"/>
        <v>#DIV/0!</v>
      </c>
      <c r="AD14" s="187" t="e">
        <f t="shared" si="0"/>
        <v>#DIV/0!</v>
      </c>
      <c r="AE14" s="187" t="e">
        <f t="shared" si="0"/>
        <v>#DIV/0!</v>
      </c>
      <c r="AF14" s="187" t="e">
        <f t="shared" si="0"/>
        <v>#DIV/0!</v>
      </c>
      <c r="AG14" s="187" t="e">
        <f t="shared" si="0"/>
        <v>#DIV/0!</v>
      </c>
      <c r="AH14" s="187" t="e">
        <f t="shared" si="0"/>
        <v>#DIV/0!</v>
      </c>
      <c r="AI14" s="187" t="e">
        <f t="shared" si="0"/>
        <v>#DIV/0!</v>
      </c>
      <c r="AJ14" s="187" t="e">
        <f t="shared" si="0"/>
        <v>#DIV/0!</v>
      </c>
      <c r="AK14" s="187" t="e">
        <f t="shared" si="0"/>
        <v>#DIV/0!</v>
      </c>
      <c r="AL14" s="187" t="e">
        <f t="shared" si="0"/>
        <v>#DIV/0!</v>
      </c>
      <c r="AM14" s="187" t="e">
        <f t="shared" si="0"/>
        <v>#DIV/0!</v>
      </c>
      <c r="AN14" s="187" t="e">
        <f t="shared" si="0"/>
        <v>#DIV/0!</v>
      </c>
    </row>
    <row r="15" spans="1:41" x14ac:dyDescent="0.15">
      <c r="B15" s="306" t="s">
        <v>20</v>
      </c>
      <c r="C15" s="141" t="s">
        <v>1037</v>
      </c>
      <c r="D15" s="107">
        <f>SUMIFS('caseload data'!E:E,'caseload data'!$D:$D,"PO",'caseload data'!$A:$A,EoE)</f>
        <v>0</v>
      </c>
      <c r="E15" s="107">
        <f>SUMIFS('caseload data'!F:F,'caseload data'!$D:$D,"PO",'caseload data'!$A:$A,EoE)</f>
        <v>0</v>
      </c>
      <c r="F15" s="107">
        <f>SUMIFS('caseload data'!G:G,'caseload data'!$D:$D,"PO",'caseload data'!$A:$A,EoE)</f>
        <v>0</v>
      </c>
      <c r="G15" s="107">
        <f>SUMIFS('caseload data'!H:H,'caseload data'!$D:$D,"PO",'caseload data'!$A:$A,EoE)</f>
        <v>0</v>
      </c>
      <c r="H15" s="107">
        <f>SUMIFS('caseload data'!I:I,'caseload data'!$D:$D,"PO",'caseload data'!$A:$A,EoE)</f>
        <v>0</v>
      </c>
      <c r="I15" s="107">
        <f>SUMIFS('caseload data'!J:J,'caseload data'!$D:$D,"PO",'caseload data'!$A:$A,EoE)</f>
        <v>0</v>
      </c>
      <c r="J15" s="107">
        <f>SUMIFS('caseload data'!K:K,'caseload data'!$D:$D,"PO",'caseload data'!$A:$A,EoE)</f>
        <v>0</v>
      </c>
      <c r="K15" s="107">
        <f>SUMIFS('caseload data'!L:L,'caseload data'!$D:$D,"PO",'caseload data'!$A:$A,EoE)</f>
        <v>0</v>
      </c>
      <c r="L15" s="107">
        <f>SUMIFS('caseload data'!M:M,'caseload data'!$D:$D,"PO",'caseload data'!$A:$A,EoE)</f>
        <v>0</v>
      </c>
      <c r="M15" s="107">
        <f>SUMIFS('caseload data'!N:N,'caseload data'!$D:$D,"PO",'caseload data'!$A:$A,EoE)</f>
        <v>0</v>
      </c>
      <c r="N15" s="107">
        <f>SUMIFS('caseload data'!O:O,'caseload data'!$D:$D,"PO",'caseload data'!$A:$A,EoE)</f>
        <v>0</v>
      </c>
      <c r="O15" s="107">
        <f>SUMIFS('caseload data'!P:P,'caseload data'!$D:$D,"PO",'caseload data'!$A:$A,EoE)</f>
        <v>0</v>
      </c>
      <c r="P15" s="107">
        <f>SUMIFS('caseload data'!Q:Q,'caseload data'!$D:$D,"PO",'caseload data'!$A:$A,EoE)</f>
        <v>0</v>
      </c>
      <c r="Q15" s="107">
        <f>SUMIFS('caseload data'!R:R,'caseload data'!$D:$D,"PO",'caseload data'!$A:$A,EoE)</f>
        <v>0</v>
      </c>
      <c r="R15" s="107">
        <f>SUMIFS('caseload data'!S:S,'caseload data'!$D:$D,"PO",'caseload data'!$A:$A,EoE)</f>
        <v>0</v>
      </c>
      <c r="S15" s="107">
        <f>SUMIFS('caseload data'!T:T,'caseload data'!$D:$D,"PO",'caseload data'!$A:$A,EoE)</f>
        <v>0</v>
      </c>
      <c r="T15" s="107">
        <f>SUMIFS('caseload data'!V:V,'caseload data'!$D:$D,"PO",'caseload data'!$A:$A,EoE)</f>
        <v>0</v>
      </c>
      <c r="U15" s="76"/>
      <c r="V15" s="76"/>
      <c r="W15" s="306" t="s">
        <v>20</v>
      </c>
      <c r="X15" s="141" t="s">
        <v>1037</v>
      </c>
      <c r="Y15" s="187" t="e">
        <f>SUM(D15)/SUM(D$15:D$18)</f>
        <v>#DIV/0!</v>
      </c>
      <c r="Z15" s="187" t="e">
        <f t="shared" ref="Z15:AN18" si="1">SUM(E15)/SUM(E$15:E$18)</f>
        <v>#DIV/0!</v>
      </c>
      <c r="AA15" s="187" t="e">
        <f t="shared" si="1"/>
        <v>#DIV/0!</v>
      </c>
      <c r="AB15" s="187" t="e">
        <f t="shared" si="1"/>
        <v>#DIV/0!</v>
      </c>
      <c r="AC15" s="187" t="e">
        <f t="shared" si="1"/>
        <v>#DIV/0!</v>
      </c>
      <c r="AD15" s="187" t="e">
        <f t="shared" si="1"/>
        <v>#DIV/0!</v>
      </c>
      <c r="AE15" s="187" t="e">
        <f t="shared" si="1"/>
        <v>#DIV/0!</v>
      </c>
      <c r="AF15" s="187" t="e">
        <f t="shared" si="1"/>
        <v>#DIV/0!</v>
      </c>
      <c r="AG15" s="187" t="e">
        <f t="shared" si="1"/>
        <v>#DIV/0!</v>
      </c>
      <c r="AH15" s="187" t="e">
        <f t="shared" si="1"/>
        <v>#DIV/0!</v>
      </c>
      <c r="AI15" s="187" t="e">
        <f t="shared" si="1"/>
        <v>#DIV/0!</v>
      </c>
      <c r="AJ15" s="187" t="e">
        <f t="shared" si="1"/>
        <v>#DIV/0!</v>
      </c>
      <c r="AK15" s="187" t="e">
        <f t="shared" si="1"/>
        <v>#DIV/0!</v>
      </c>
      <c r="AL15" s="187" t="e">
        <f t="shared" si="1"/>
        <v>#DIV/0!</v>
      </c>
      <c r="AM15" s="187" t="e">
        <f t="shared" si="1"/>
        <v>#DIV/0!</v>
      </c>
      <c r="AN15" s="187" t="e">
        <f t="shared" si="1"/>
        <v>#DIV/0!</v>
      </c>
    </row>
    <row r="16" spans="1:41" x14ac:dyDescent="0.15">
      <c r="B16" s="307"/>
      <c r="C16" s="142" t="s">
        <v>1038</v>
      </c>
      <c r="D16" s="107">
        <f>SUMIFS('caseload data'!E:E,'caseload data'!$D:$D,"PSO",'caseload data'!$A:$A,"East of England")</f>
        <v>0</v>
      </c>
      <c r="E16" s="107">
        <f>SUMIFS('caseload data'!F:F,'caseload data'!$D:$D,"PSO",'caseload data'!$A:$A,"East of England")</f>
        <v>0</v>
      </c>
      <c r="F16" s="107">
        <f>SUMIFS('caseload data'!G:G,'caseload data'!$D:$D,"PSO",'caseload data'!$A:$A,"East of England")</f>
        <v>0</v>
      </c>
      <c r="G16" s="107">
        <f>SUMIFS('caseload data'!H:H,'caseload data'!$D:$D,"PSO",'caseload data'!$A:$A,"East of England")</f>
        <v>0</v>
      </c>
      <c r="H16" s="107">
        <f>SUMIFS('caseload data'!I:I,'caseload data'!$D:$D,"PSO",'caseload data'!$A:$A,"East of England")</f>
        <v>0</v>
      </c>
      <c r="I16" s="107">
        <f>SUMIFS('caseload data'!J:J,'caseload data'!$D:$D,"PSO",'caseload data'!$A:$A,"East of England")</f>
        <v>0</v>
      </c>
      <c r="J16" s="107">
        <f>SUMIFS('caseload data'!K:K,'caseload data'!$D:$D,"PSO",'caseload data'!$A:$A,"East of England")</f>
        <v>0</v>
      </c>
      <c r="K16" s="107">
        <f>SUMIFS('caseload data'!L:L,'caseload data'!$D:$D,"PSO",'caseload data'!$A:$A,"East of England")</f>
        <v>0</v>
      </c>
      <c r="L16" s="107">
        <f>SUMIFS('caseload data'!M:M,'caseload data'!$D:$D,"PSO",'caseload data'!$A:$A,"East of England")</f>
        <v>0</v>
      </c>
      <c r="M16" s="107">
        <f>SUMIFS('caseload data'!N:N,'caseload data'!$D:$D,"PSO",'caseload data'!$A:$A,"East of England")</f>
        <v>0</v>
      </c>
      <c r="N16" s="107">
        <f>SUMIFS('caseload data'!O:O,'caseload data'!$D:$D,"PSO",'caseload data'!$A:$A,"East of England")</f>
        <v>0</v>
      </c>
      <c r="O16" s="107">
        <f>SUMIFS('caseload data'!P:P,'caseload data'!$D:$D,"PSO",'caseload data'!$A:$A,"East of England")</f>
        <v>0</v>
      </c>
      <c r="P16" s="107">
        <f>SUMIFS('caseload data'!Q:Q,'caseload data'!$D:$D,"PSO",'caseload data'!$A:$A,"East of England")</f>
        <v>0</v>
      </c>
      <c r="Q16" s="107">
        <f>SUMIFS('caseload data'!R:R,'caseload data'!$D:$D,"PSO",'caseload data'!$A:$A,"East of England")</f>
        <v>0</v>
      </c>
      <c r="R16" s="107">
        <f>SUMIFS('caseload data'!S:S,'caseload data'!$D:$D,"PSO",'caseload data'!$A:$A,"East of England")</f>
        <v>0</v>
      </c>
      <c r="S16" s="107">
        <f>SUMIFS('caseload data'!T:T,'caseload data'!$D:$D,"PSO",'caseload data'!$A:$A,"East of England")</f>
        <v>0</v>
      </c>
      <c r="T16" s="107">
        <f>SUMIFS('caseload data'!V:V,'caseload data'!$D:$D,"PSO",'caseload data'!$A:$A,"East of England")</f>
        <v>0</v>
      </c>
      <c r="U16" s="76"/>
      <c r="V16" s="76"/>
      <c r="W16" s="307"/>
      <c r="X16" s="142" t="s">
        <v>1038</v>
      </c>
      <c r="Y16" s="187" t="e">
        <f>SUM(D16)/SUM(D$15:D$18)</f>
        <v>#DIV/0!</v>
      </c>
      <c r="Z16" s="187" t="e">
        <f t="shared" si="1"/>
        <v>#DIV/0!</v>
      </c>
      <c r="AA16" s="187" t="e">
        <f t="shared" si="1"/>
        <v>#DIV/0!</v>
      </c>
      <c r="AB16" s="187" t="e">
        <f t="shared" si="1"/>
        <v>#DIV/0!</v>
      </c>
      <c r="AC16" s="187" t="e">
        <f t="shared" si="1"/>
        <v>#DIV/0!</v>
      </c>
      <c r="AD16" s="187" t="e">
        <f t="shared" si="1"/>
        <v>#DIV/0!</v>
      </c>
      <c r="AE16" s="187" t="e">
        <f t="shared" si="1"/>
        <v>#DIV/0!</v>
      </c>
      <c r="AF16" s="187" t="e">
        <f t="shared" si="1"/>
        <v>#DIV/0!</v>
      </c>
      <c r="AG16" s="187" t="e">
        <f t="shared" si="1"/>
        <v>#DIV/0!</v>
      </c>
      <c r="AH16" s="187" t="e">
        <f t="shared" si="1"/>
        <v>#DIV/0!</v>
      </c>
      <c r="AI16" s="187" t="e">
        <f t="shared" si="1"/>
        <v>#DIV/0!</v>
      </c>
      <c r="AJ16" s="187" t="e">
        <f t="shared" si="1"/>
        <v>#DIV/0!</v>
      </c>
      <c r="AK16" s="187" t="e">
        <f t="shared" si="1"/>
        <v>#DIV/0!</v>
      </c>
      <c r="AL16" s="187" t="e">
        <f t="shared" si="1"/>
        <v>#DIV/0!</v>
      </c>
      <c r="AM16" s="187" t="e">
        <f t="shared" si="1"/>
        <v>#DIV/0!</v>
      </c>
      <c r="AN16" s="187" t="e">
        <f t="shared" si="1"/>
        <v>#DIV/0!</v>
      </c>
    </row>
    <row r="17" spans="2:40" x14ac:dyDescent="0.15">
      <c r="B17" s="307"/>
      <c r="C17" s="142" t="s">
        <v>1039</v>
      </c>
      <c r="D17" s="107">
        <f>SUMIFS('caseload data'!E:E,'caseload data'!$D:$D,"TPO",'caseload data'!$A:$A,"East of England")</f>
        <v>0</v>
      </c>
      <c r="E17" s="107">
        <f>SUMIFS('caseload data'!F:F,'caseload data'!$D:$D,"TPO",'caseload data'!$A:$A,"East of England")</f>
        <v>0</v>
      </c>
      <c r="F17" s="107">
        <f>SUMIFS('caseload data'!G:G,'caseload data'!$D:$D,"TPO",'caseload data'!$A:$A,"East of England")</f>
        <v>0</v>
      </c>
      <c r="G17" s="107">
        <f>SUMIFS('caseload data'!H:H,'caseload data'!$D:$D,"TPO",'caseload data'!$A:$A,"East of England")</f>
        <v>0</v>
      </c>
      <c r="H17" s="107">
        <f>SUMIFS('caseload data'!I:I,'caseload data'!$D:$D,"TPO",'caseload data'!$A:$A,"East of England")</f>
        <v>0</v>
      </c>
      <c r="I17" s="107">
        <f>SUMIFS('caseload data'!J:J,'caseload data'!$D:$D,"TPO",'caseload data'!$A:$A,"East of England")</f>
        <v>0</v>
      </c>
      <c r="J17" s="107">
        <f>SUMIFS('caseload data'!K:K,'caseload data'!$D:$D,"TPO",'caseload data'!$A:$A,"East of England")</f>
        <v>0</v>
      </c>
      <c r="K17" s="107">
        <f>SUMIFS('caseload data'!L:L,'caseload data'!$D:$D,"TPO",'caseload data'!$A:$A,"East of England")</f>
        <v>0</v>
      </c>
      <c r="L17" s="107">
        <f>SUMIFS('caseload data'!M:M,'caseload data'!$D:$D,"TPO",'caseload data'!$A:$A,"East of England")</f>
        <v>0</v>
      </c>
      <c r="M17" s="107">
        <f>SUMIFS('caseload data'!N:N,'caseload data'!$D:$D,"TPO",'caseload data'!$A:$A,"East of England")</f>
        <v>0</v>
      </c>
      <c r="N17" s="107">
        <f>SUMIFS('caseload data'!O:O,'caseload data'!$D:$D,"TPO",'caseload data'!$A:$A,"East of England")</f>
        <v>0</v>
      </c>
      <c r="O17" s="107">
        <f>SUMIFS('caseload data'!P:P,'caseload data'!$D:$D,"TPO",'caseload data'!$A:$A,"East of England")</f>
        <v>0</v>
      </c>
      <c r="P17" s="107">
        <f>SUMIFS('caseload data'!Q:Q,'caseload data'!$D:$D,"TPO",'caseload data'!$A:$A,"East of England")</f>
        <v>0</v>
      </c>
      <c r="Q17" s="107">
        <f>SUMIFS('caseload data'!R:R,'caseload data'!$D:$D,"TPO",'caseload data'!$A:$A,"East of England")</f>
        <v>0</v>
      </c>
      <c r="R17" s="107">
        <f>SUMIFS('caseload data'!S:S,'caseload data'!$D:$D,"TPO",'caseload data'!$A:$A,"East of England")</f>
        <v>0</v>
      </c>
      <c r="S17" s="107">
        <f>SUMIFS('caseload data'!T:T,'caseload data'!$D:$D,"TPO",'caseload data'!$A:$A,"East of England")</f>
        <v>0</v>
      </c>
      <c r="T17" s="107">
        <f>SUMIFS('caseload data'!V:V,'caseload data'!$D:$D,"TPO",'caseload data'!$A:$A,"East of England")</f>
        <v>0</v>
      </c>
      <c r="U17" s="76"/>
      <c r="V17" s="76"/>
      <c r="W17" s="307"/>
      <c r="X17" s="142" t="s">
        <v>1039</v>
      </c>
      <c r="Y17" s="187" t="e">
        <f>SUM(D17)/SUM(D$15:D$18)</f>
        <v>#DIV/0!</v>
      </c>
      <c r="Z17" s="187" t="e">
        <f t="shared" si="1"/>
        <v>#DIV/0!</v>
      </c>
      <c r="AA17" s="187" t="e">
        <f t="shared" si="1"/>
        <v>#DIV/0!</v>
      </c>
      <c r="AB17" s="187" t="e">
        <f t="shared" si="1"/>
        <v>#DIV/0!</v>
      </c>
      <c r="AC17" s="187" t="e">
        <f t="shared" si="1"/>
        <v>#DIV/0!</v>
      </c>
      <c r="AD17" s="187" t="e">
        <f t="shared" si="1"/>
        <v>#DIV/0!</v>
      </c>
      <c r="AE17" s="187" t="e">
        <f t="shared" si="1"/>
        <v>#DIV/0!</v>
      </c>
      <c r="AF17" s="187" t="e">
        <f t="shared" si="1"/>
        <v>#DIV/0!</v>
      </c>
      <c r="AG17" s="187" t="e">
        <f t="shared" si="1"/>
        <v>#DIV/0!</v>
      </c>
      <c r="AH17" s="187" t="e">
        <f t="shared" si="1"/>
        <v>#DIV/0!</v>
      </c>
      <c r="AI17" s="187" t="e">
        <f t="shared" si="1"/>
        <v>#DIV/0!</v>
      </c>
      <c r="AJ17" s="187" t="e">
        <f t="shared" si="1"/>
        <v>#DIV/0!</v>
      </c>
      <c r="AK17" s="187" t="e">
        <f t="shared" si="1"/>
        <v>#DIV/0!</v>
      </c>
      <c r="AL17" s="187" t="e">
        <f t="shared" si="1"/>
        <v>#DIV/0!</v>
      </c>
      <c r="AM17" s="187" t="e">
        <f t="shared" si="1"/>
        <v>#DIV/0!</v>
      </c>
      <c r="AN17" s="187" t="e">
        <f t="shared" si="1"/>
        <v>#DIV/0!</v>
      </c>
    </row>
    <row r="18" spans="2:40" x14ac:dyDescent="0.15">
      <c r="B18" s="308"/>
      <c r="C18" s="143" t="s">
        <v>1040</v>
      </c>
      <c r="D18" s="107">
        <f>SUMIFS('caseload data'!E:E,'caseload data'!$D:$D,"SPO",'caseload data'!$A:$A,"East of England")</f>
        <v>0</v>
      </c>
      <c r="E18" s="107">
        <f>SUMIFS('caseload data'!F:F,'caseload data'!$D:$D,"SPO",'caseload data'!$A:$A,"East of England")</f>
        <v>0</v>
      </c>
      <c r="F18" s="107">
        <f>SUMIFS('caseload data'!G:G,'caseload data'!$D:$D,"SPO",'caseload data'!$A:$A,"East of England")</f>
        <v>0</v>
      </c>
      <c r="G18" s="107">
        <f>SUMIFS('caseload data'!H:H,'caseload data'!$D:$D,"SPO",'caseload data'!$A:$A,"East of England")</f>
        <v>0</v>
      </c>
      <c r="H18" s="107">
        <f>SUMIFS('caseload data'!I:I,'caseload data'!$D:$D,"SPO",'caseload data'!$A:$A,"East of England")</f>
        <v>0</v>
      </c>
      <c r="I18" s="107">
        <f>SUMIFS('caseload data'!J:J,'caseload data'!$D:$D,"SPO",'caseload data'!$A:$A,"East of England")</f>
        <v>0</v>
      </c>
      <c r="J18" s="107">
        <f>SUMIFS('caseload data'!K:K,'caseload data'!$D:$D,"SPO",'caseload data'!$A:$A,"East of England")</f>
        <v>0</v>
      </c>
      <c r="K18" s="107">
        <f>SUMIFS('caseload data'!L:L,'caseload data'!$D:$D,"SPO",'caseload data'!$A:$A,"East of England")</f>
        <v>0</v>
      </c>
      <c r="L18" s="107">
        <f>SUMIFS('caseload data'!M:M,'caseload data'!$D:$D,"SPO",'caseload data'!$A:$A,"East of England")</f>
        <v>0</v>
      </c>
      <c r="M18" s="107">
        <f>SUMIFS('caseload data'!N:N,'caseload data'!$D:$D,"SPO",'caseload data'!$A:$A,"East of England")</f>
        <v>0</v>
      </c>
      <c r="N18" s="107">
        <f>SUMIFS('caseload data'!O:O,'caseload data'!$D:$D,"SPO",'caseload data'!$A:$A,"East of England")</f>
        <v>0</v>
      </c>
      <c r="O18" s="107">
        <f>SUMIFS('caseload data'!P:P,'caseload data'!$D:$D,"SPO",'caseload data'!$A:$A,"East of England")</f>
        <v>0</v>
      </c>
      <c r="P18" s="107">
        <f>SUMIFS('caseload data'!Q:Q,'caseload data'!$D:$D,"SPO",'caseload data'!$A:$A,"East of England")</f>
        <v>0</v>
      </c>
      <c r="Q18" s="107">
        <f>SUMIFS('caseload data'!R:R,'caseload data'!$D:$D,"SPO",'caseload data'!$A:$A,"East of England")</f>
        <v>0</v>
      </c>
      <c r="R18" s="107">
        <f>SUMIFS('caseload data'!S:S,'caseload data'!$D:$D,"SPO",'caseload data'!$A:$A,"East of England")</f>
        <v>0</v>
      </c>
      <c r="S18" s="107">
        <f>SUMIFS('caseload data'!T:T,'caseload data'!$D:$D,"SPO",'caseload data'!$A:$A,"East of England")</f>
        <v>0</v>
      </c>
      <c r="T18" s="107">
        <f>SUMIFS('caseload data'!V:V,'caseload data'!$D:$D,"SPO",'caseload data'!$A:$A,"East of England")</f>
        <v>0</v>
      </c>
      <c r="U18" s="76"/>
      <c r="V18" s="76"/>
      <c r="W18" s="308"/>
      <c r="X18" s="143" t="s">
        <v>1040</v>
      </c>
      <c r="Y18" s="187" t="e">
        <f>SUM(D18)/SUM(D$15:D$18)</f>
        <v>#DIV/0!</v>
      </c>
      <c r="Z18" s="187" t="e">
        <f t="shared" si="1"/>
        <v>#DIV/0!</v>
      </c>
      <c r="AA18" s="187" t="e">
        <f t="shared" si="1"/>
        <v>#DIV/0!</v>
      </c>
      <c r="AB18" s="187" t="e">
        <f t="shared" si="1"/>
        <v>#DIV/0!</v>
      </c>
      <c r="AC18" s="187" t="e">
        <f t="shared" si="1"/>
        <v>#DIV/0!</v>
      </c>
      <c r="AD18" s="187" t="e">
        <f t="shared" si="1"/>
        <v>#DIV/0!</v>
      </c>
      <c r="AE18" s="187" t="e">
        <f t="shared" si="1"/>
        <v>#DIV/0!</v>
      </c>
      <c r="AF18" s="187" t="e">
        <f t="shared" si="1"/>
        <v>#DIV/0!</v>
      </c>
      <c r="AG18" s="187" t="e">
        <f t="shared" si="1"/>
        <v>#DIV/0!</v>
      </c>
      <c r="AH18" s="187" t="e">
        <f t="shared" si="1"/>
        <v>#DIV/0!</v>
      </c>
      <c r="AI18" s="187" t="e">
        <f t="shared" si="1"/>
        <v>#DIV/0!</v>
      </c>
      <c r="AJ18" s="187" t="e">
        <f t="shared" si="1"/>
        <v>#DIV/0!</v>
      </c>
      <c r="AK18" s="187" t="e">
        <f t="shared" si="1"/>
        <v>#DIV/0!</v>
      </c>
      <c r="AL18" s="187" t="e">
        <f t="shared" si="1"/>
        <v>#DIV/0!</v>
      </c>
      <c r="AM18" s="187" t="e">
        <f t="shared" si="1"/>
        <v>#DIV/0!</v>
      </c>
      <c r="AN18" s="187" t="e">
        <f t="shared" si="1"/>
        <v>#DIV/0!</v>
      </c>
    </row>
    <row r="19" spans="2:40" x14ac:dyDescent="0.15">
      <c r="B19" s="306" t="s">
        <v>21</v>
      </c>
      <c r="C19" s="141" t="s">
        <v>1037</v>
      </c>
      <c r="D19" s="107">
        <f>SUMIFS('caseload data'!E:E,'caseload data'!$D:$D,"PO",'caseload data'!$A:$A,'national caseload'!$B$19:$B$21)</f>
        <v>0</v>
      </c>
      <c r="E19" s="107">
        <f>SUMIFS('caseload data'!F:F,'caseload data'!$D:$D,"PO",'caseload data'!$A:$A,'national caseload'!$B$19:$B$21)</f>
        <v>0</v>
      </c>
      <c r="F19" s="107">
        <f>SUMIFS('caseload data'!G:G,'caseload data'!$D:$D,"PO",'caseload data'!$A:$A,'national caseload'!$B$19:$B$21)</f>
        <v>0</v>
      </c>
      <c r="G19" s="107">
        <f>SUMIFS('caseload data'!H:H,'caseload data'!$D:$D,"PO",'caseload data'!$A:$A,'national caseload'!$B$19:$B$21)</f>
        <v>0</v>
      </c>
      <c r="H19" s="107">
        <f>SUMIFS('caseload data'!I:I,'caseload data'!$D:$D,"PO",'caseload data'!$A:$A,'national caseload'!$B$19:$B$21)</f>
        <v>0</v>
      </c>
      <c r="I19" s="107">
        <f>SUMIFS('caseload data'!J:J,'caseload data'!$D:$D,"PO",'caseload data'!$A:$A,'national caseload'!$B$19:$B$21)</f>
        <v>0</v>
      </c>
      <c r="J19" s="107">
        <f>SUMIFS('caseload data'!K:K,'caseload data'!$D:$D,"PO",'caseload data'!$A:$A,'national caseload'!$B$19:$B$21)</f>
        <v>0</v>
      </c>
      <c r="K19" s="107">
        <f>SUMIFS('caseload data'!L:L,'caseload data'!$D:$D,"PO",'caseload data'!$A:$A,'national caseload'!$B$19:$B$21)</f>
        <v>0</v>
      </c>
      <c r="L19" s="107">
        <f>SUMIFS('caseload data'!M:M,'caseload data'!$D:$D,"PO",'caseload data'!$A:$A,'national caseload'!$B$19:$B$21)</f>
        <v>0</v>
      </c>
      <c r="M19" s="107">
        <f>SUMIFS('caseload data'!N:N,'caseload data'!$D:$D,"PO",'caseload data'!$A:$A,'national caseload'!$B$19:$B$21)</f>
        <v>0</v>
      </c>
      <c r="N19" s="107">
        <f>SUMIFS('caseload data'!O:O,'caseload data'!$D:$D,"PO",'caseload data'!$A:$A,'national caseload'!$B$19:$B$21)</f>
        <v>0</v>
      </c>
      <c r="O19" s="107">
        <f>SUMIFS('caseload data'!P:P,'caseload data'!$D:$D,"PO",'caseload data'!$A:$A,'national caseload'!$B$19:$B$21)</f>
        <v>0</v>
      </c>
      <c r="P19" s="107">
        <f>SUMIFS('caseload data'!Q:Q,'caseload data'!$D:$D,"PO",'caseload data'!$A:$A,'national caseload'!$B$19:$B$21)</f>
        <v>0</v>
      </c>
      <c r="Q19" s="107">
        <f>SUMIFS('caseload data'!R:R,'caseload data'!$D:$D,"PO",'caseload data'!$A:$A,'national caseload'!$B$19:$B$21)</f>
        <v>0</v>
      </c>
      <c r="R19" s="107">
        <f>SUMIFS('caseload data'!S:S,'caseload data'!$D:$D,"PO",'caseload data'!$A:$A,'national caseload'!$B$19:$B$21)</f>
        <v>0</v>
      </c>
      <c r="S19" s="107">
        <f>SUMIFS('caseload data'!T:T,'caseload data'!$D:$D,"PO",'caseload data'!$A:$A,'national caseload'!$B$19:$B$21)</f>
        <v>0</v>
      </c>
      <c r="T19" s="107">
        <f>SUMIFS('caseload data'!V:V,'caseload data'!$D:$D,"PO",'caseload data'!$A:$A,'national caseload'!B19:B21)</f>
        <v>0</v>
      </c>
      <c r="U19" s="76"/>
      <c r="V19" s="76"/>
      <c r="W19" s="306" t="s">
        <v>21</v>
      </c>
      <c r="X19" s="141" t="s">
        <v>1037</v>
      </c>
      <c r="Y19" s="187" t="e">
        <f>SUM(D19)/SUM(D$19:D$22)</f>
        <v>#DIV/0!</v>
      </c>
      <c r="Z19" s="187" t="e">
        <f t="shared" ref="Z19:AN22" si="2">SUM(E19)/SUM(E$19:E$22)</f>
        <v>#DIV/0!</v>
      </c>
      <c r="AA19" s="187" t="e">
        <f t="shared" si="2"/>
        <v>#DIV/0!</v>
      </c>
      <c r="AB19" s="187" t="e">
        <f t="shared" si="2"/>
        <v>#DIV/0!</v>
      </c>
      <c r="AC19" s="187" t="e">
        <f t="shared" si="2"/>
        <v>#DIV/0!</v>
      </c>
      <c r="AD19" s="187" t="e">
        <f t="shared" si="2"/>
        <v>#DIV/0!</v>
      </c>
      <c r="AE19" s="187" t="e">
        <f t="shared" si="2"/>
        <v>#DIV/0!</v>
      </c>
      <c r="AF19" s="187" t="e">
        <f t="shared" si="2"/>
        <v>#DIV/0!</v>
      </c>
      <c r="AG19" s="187" t="e">
        <f t="shared" si="2"/>
        <v>#DIV/0!</v>
      </c>
      <c r="AH19" s="187" t="e">
        <f t="shared" si="2"/>
        <v>#DIV/0!</v>
      </c>
      <c r="AI19" s="187" t="e">
        <f t="shared" si="2"/>
        <v>#DIV/0!</v>
      </c>
      <c r="AJ19" s="187" t="e">
        <f t="shared" si="2"/>
        <v>#DIV/0!</v>
      </c>
      <c r="AK19" s="187" t="e">
        <f t="shared" si="2"/>
        <v>#DIV/0!</v>
      </c>
      <c r="AL19" s="187" t="e">
        <f t="shared" si="2"/>
        <v>#DIV/0!</v>
      </c>
      <c r="AM19" s="187" t="e">
        <f t="shared" si="2"/>
        <v>#DIV/0!</v>
      </c>
      <c r="AN19" s="187" t="e">
        <f t="shared" si="2"/>
        <v>#DIV/0!</v>
      </c>
    </row>
    <row r="20" spans="2:40" x14ac:dyDescent="0.15">
      <c r="B20" s="307"/>
      <c r="C20" s="142" t="s">
        <v>1038</v>
      </c>
      <c r="D20" s="107">
        <f>SUMIFS('caseload data'!E:E,'caseload data'!$D:$D,"PSO",'caseload data'!$A:$A,"NPS Greater Manchester")</f>
        <v>0</v>
      </c>
      <c r="E20" s="107">
        <f>SUMIFS('caseload data'!F:F,'caseload data'!$D:$D,"PSO",'caseload data'!$A:$A,"NPS Greater Manchester")</f>
        <v>0</v>
      </c>
      <c r="F20" s="107">
        <f>SUMIFS('caseload data'!G:G,'caseload data'!$D:$D,"PSO",'caseload data'!$A:$A,"NPS Greater Manchester")</f>
        <v>0</v>
      </c>
      <c r="G20" s="107">
        <f>SUMIFS('caseload data'!H:H,'caseload data'!$D:$D,"PSO",'caseload data'!$A:$A,"NPS Greater Manchester")</f>
        <v>0</v>
      </c>
      <c r="H20" s="107">
        <f>SUMIFS('caseload data'!I:I,'caseload data'!$D:$D,"PSO",'caseload data'!$A:$A,"NPS Greater Manchester")</f>
        <v>0</v>
      </c>
      <c r="I20" s="107">
        <f>SUMIFS('caseload data'!J:J,'caseload data'!$D:$D,"PSO",'caseload data'!$A:$A,"NPS Greater Manchester")</f>
        <v>0</v>
      </c>
      <c r="J20" s="107">
        <f>SUMIFS('caseload data'!K:K,'caseload data'!$D:$D,"PSO",'caseload data'!$A:$A,"NPS Greater Manchester")</f>
        <v>0</v>
      </c>
      <c r="K20" s="107">
        <f>SUMIFS('caseload data'!L:L,'caseload data'!$D:$D,"PSO",'caseload data'!$A:$A,"NPS Greater Manchester")</f>
        <v>0</v>
      </c>
      <c r="L20" s="107">
        <f>SUMIFS('caseload data'!M:M,'caseload data'!$D:$D,"PSO",'caseload data'!$A:$A,"NPS Greater Manchester")</f>
        <v>0</v>
      </c>
      <c r="M20" s="107">
        <f>SUMIFS('caseload data'!N:N,'caseload data'!$D:$D,"PSO",'caseload data'!$A:$A,"NPS Greater Manchester")</f>
        <v>0</v>
      </c>
      <c r="N20" s="107">
        <f>SUMIFS('caseload data'!O:O,'caseload data'!$D:$D,"PSO",'caseload data'!$A:$A,"NPS Greater Manchester")</f>
        <v>0</v>
      </c>
      <c r="O20" s="107">
        <f>SUMIFS('caseload data'!P:P,'caseload data'!$D:$D,"PSO",'caseload data'!$A:$A,"NPS Greater Manchester")</f>
        <v>0</v>
      </c>
      <c r="P20" s="107">
        <f>SUMIFS('caseload data'!Q:Q,'caseload data'!$D:$D,"PSO",'caseload data'!$A:$A,"NPS Greater Manchester")</f>
        <v>0</v>
      </c>
      <c r="Q20" s="107">
        <f>SUMIFS('caseload data'!R:R,'caseload data'!$D:$D,"PSO",'caseload data'!$A:$A,"NPS Greater Manchester")</f>
        <v>0</v>
      </c>
      <c r="R20" s="107">
        <f>SUMIFS('caseload data'!S:S,'caseload data'!$D:$D,"PSO",'caseload data'!$A:$A,"NPS Greater Manchester")</f>
        <v>0</v>
      </c>
      <c r="S20" s="107">
        <f>SUMIFS('caseload data'!T:T,'caseload data'!$D:$D,"PSO",'caseload data'!$A:$A,"NPS Greater Manchester")</f>
        <v>0</v>
      </c>
      <c r="T20" s="107">
        <f>SUMIFS('caseload data'!V:V,'caseload data'!$D:$D,"PSO",'caseload data'!$A:$A,"NPS Greater Manchester")</f>
        <v>0</v>
      </c>
      <c r="U20" s="76"/>
      <c r="V20" s="76"/>
      <c r="W20" s="307"/>
      <c r="X20" s="142" t="s">
        <v>1038</v>
      </c>
      <c r="Y20" s="187" t="e">
        <f>SUM(D20)/SUM(D$19:D$22)</f>
        <v>#DIV/0!</v>
      </c>
      <c r="Z20" s="187" t="e">
        <f t="shared" si="2"/>
        <v>#DIV/0!</v>
      </c>
      <c r="AA20" s="187" t="e">
        <f t="shared" si="2"/>
        <v>#DIV/0!</v>
      </c>
      <c r="AB20" s="187" t="e">
        <f t="shared" si="2"/>
        <v>#DIV/0!</v>
      </c>
      <c r="AC20" s="187" t="e">
        <f t="shared" si="2"/>
        <v>#DIV/0!</v>
      </c>
      <c r="AD20" s="187" t="e">
        <f t="shared" si="2"/>
        <v>#DIV/0!</v>
      </c>
      <c r="AE20" s="187" t="e">
        <f t="shared" si="2"/>
        <v>#DIV/0!</v>
      </c>
      <c r="AF20" s="187" t="e">
        <f t="shared" si="2"/>
        <v>#DIV/0!</v>
      </c>
      <c r="AG20" s="187" t="e">
        <f t="shared" si="2"/>
        <v>#DIV/0!</v>
      </c>
      <c r="AH20" s="187" t="e">
        <f t="shared" si="2"/>
        <v>#DIV/0!</v>
      </c>
      <c r="AI20" s="187" t="e">
        <f t="shared" si="2"/>
        <v>#DIV/0!</v>
      </c>
      <c r="AJ20" s="187" t="e">
        <f t="shared" si="2"/>
        <v>#DIV/0!</v>
      </c>
      <c r="AK20" s="187" t="e">
        <f t="shared" si="2"/>
        <v>#DIV/0!</v>
      </c>
      <c r="AL20" s="187" t="e">
        <f t="shared" si="2"/>
        <v>#DIV/0!</v>
      </c>
      <c r="AM20" s="187" t="e">
        <f t="shared" si="2"/>
        <v>#DIV/0!</v>
      </c>
      <c r="AN20" s="187" t="e">
        <f t="shared" si="2"/>
        <v>#DIV/0!</v>
      </c>
    </row>
    <row r="21" spans="2:40" x14ac:dyDescent="0.15">
      <c r="B21" s="307"/>
      <c r="C21" s="142" t="s">
        <v>1039</v>
      </c>
      <c r="D21" s="107">
        <f>SUMIFS('caseload data'!E:E,'caseload data'!$D:$D,"TPO",'caseload data'!$A:$A,"NPS Greater Manchester")</f>
        <v>0</v>
      </c>
      <c r="E21" s="107">
        <f>SUMIFS('caseload data'!F:F,'caseload data'!$D:$D,"TPO",'caseload data'!$A:$A,"NPS Greater Manchester")</f>
        <v>0</v>
      </c>
      <c r="F21" s="107">
        <f>SUMIFS('caseload data'!G:G,'caseload data'!$D:$D,"TPO",'caseload data'!$A:$A,"NPS Greater Manchester")</f>
        <v>0</v>
      </c>
      <c r="G21" s="107">
        <f>SUMIFS('caseload data'!H:H,'caseload data'!$D:$D,"TPO",'caseload data'!$A:$A,"NPS Greater Manchester")</f>
        <v>0</v>
      </c>
      <c r="H21" s="107">
        <f>SUMIFS('caseload data'!I:I,'caseload data'!$D:$D,"TPO",'caseload data'!$A:$A,"NPS Greater Manchester")</f>
        <v>0</v>
      </c>
      <c r="I21" s="107">
        <f>SUMIFS('caseload data'!J:J,'caseload data'!$D:$D,"TPO",'caseload data'!$A:$A,"NPS Greater Manchester")</f>
        <v>0</v>
      </c>
      <c r="J21" s="107">
        <f>SUMIFS('caseload data'!K:K,'caseload data'!$D:$D,"TPO",'caseload data'!$A:$A,"NPS Greater Manchester")</f>
        <v>0</v>
      </c>
      <c r="K21" s="107">
        <f>SUMIFS('caseload data'!L:L,'caseload data'!$D:$D,"TPO",'caseload data'!$A:$A,"NPS Greater Manchester")</f>
        <v>0</v>
      </c>
      <c r="L21" s="107">
        <f>SUMIFS('caseload data'!M:M,'caseload data'!$D:$D,"TPO",'caseload data'!$A:$A,"NPS Greater Manchester")</f>
        <v>0</v>
      </c>
      <c r="M21" s="107">
        <f>SUMIFS('caseload data'!N:N,'caseload data'!$D:$D,"TPO",'caseload data'!$A:$A,"NPS Greater Manchester")</f>
        <v>0</v>
      </c>
      <c r="N21" s="107">
        <f>SUMIFS('caseload data'!O:O,'caseload data'!$D:$D,"TPO",'caseload data'!$A:$A,"NPS Greater Manchester")</f>
        <v>0</v>
      </c>
      <c r="O21" s="107">
        <f>SUMIFS('caseload data'!P:P,'caseload data'!$D:$D,"TPO",'caseload data'!$A:$A,"NPS Greater Manchester")</f>
        <v>0</v>
      </c>
      <c r="P21" s="107">
        <f>SUMIFS('caseload data'!Q:Q,'caseload data'!$D:$D,"TPO",'caseload data'!$A:$A,"NPS Greater Manchester")</f>
        <v>0</v>
      </c>
      <c r="Q21" s="107">
        <f>SUMIFS('caseload data'!R:R,'caseload data'!$D:$D,"TPO",'caseload data'!$A:$A,"NPS Greater Manchester")</f>
        <v>0</v>
      </c>
      <c r="R21" s="107">
        <f>SUMIFS('caseload data'!S:S,'caseload data'!$D:$D,"TPO",'caseload data'!$A:$A,"NPS Greater Manchester")</f>
        <v>0</v>
      </c>
      <c r="S21" s="107">
        <f>SUMIFS('caseload data'!T:T,'caseload data'!$D:$D,"TPO",'caseload data'!$A:$A,"NPS Greater Manchester")</f>
        <v>0</v>
      </c>
      <c r="T21" s="107">
        <f>SUMIFS('caseload data'!V:V,'caseload data'!$D:$D,"TPO",'caseload data'!$A:$A,"NPS Greater Manchester")</f>
        <v>0</v>
      </c>
      <c r="U21" s="76"/>
      <c r="V21" s="76"/>
      <c r="W21" s="307"/>
      <c r="X21" s="142" t="s">
        <v>1039</v>
      </c>
      <c r="Y21" s="187" t="e">
        <f>SUM(D21)/SUM(D$19:D$22)</f>
        <v>#DIV/0!</v>
      </c>
      <c r="Z21" s="187" t="e">
        <f t="shared" si="2"/>
        <v>#DIV/0!</v>
      </c>
      <c r="AA21" s="187" t="e">
        <f t="shared" si="2"/>
        <v>#DIV/0!</v>
      </c>
      <c r="AB21" s="187" t="e">
        <f t="shared" si="2"/>
        <v>#DIV/0!</v>
      </c>
      <c r="AC21" s="187" t="e">
        <f t="shared" si="2"/>
        <v>#DIV/0!</v>
      </c>
      <c r="AD21" s="187" t="e">
        <f t="shared" si="2"/>
        <v>#DIV/0!</v>
      </c>
      <c r="AE21" s="187" t="e">
        <f t="shared" si="2"/>
        <v>#DIV/0!</v>
      </c>
      <c r="AF21" s="187" t="e">
        <f t="shared" si="2"/>
        <v>#DIV/0!</v>
      </c>
      <c r="AG21" s="187" t="e">
        <f t="shared" si="2"/>
        <v>#DIV/0!</v>
      </c>
      <c r="AH21" s="187" t="e">
        <f t="shared" si="2"/>
        <v>#DIV/0!</v>
      </c>
      <c r="AI21" s="187" t="e">
        <f t="shared" si="2"/>
        <v>#DIV/0!</v>
      </c>
      <c r="AJ21" s="187" t="e">
        <f t="shared" si="2"/>
        <v>#DIV/0!</v>
      </c>
      <c r="AK21" s="187" t="e">
        <f t="shared" si="2"/>
        <v>#DIV/0!</v>
      </c>
      <c r="AL21" s="187" t="e">
        <f t="shared" si="2"/>
        <v>#DIV/0!</v>
      </c>
      <c r="AM21" s="187" t="e">
        <f t="shared" si="2"/>
        <v>#DIV/0!</v>
      </c>
      <c r="AN21" s="187" t="e">
        <f t="shared" si="2"/>
        <v>#DIV/0!</v>
      </c>
    </row>
    <row r="22" spans="2:40" x14ac:dyDescent="0.15">
      <c r="B22" s="308"/>
      <c r="C22" s="143" t="s">
        <v>1040</v>
      </c>
      <c r="D22" s="107">
        <f>SUMIFS('caseload data'!E:E,'caseload data'!$D:$D,"SPO",'caseload data'!$A:$A,"NPS Greater Manchester")</f>
        <v>0</v>
      </c>
      <c r="E22" s="107">
        <f>SUMIFS('caseload data'!F:F,'caseload data'!$D:$D,"SPO",'caseload data'!$A:$A,"NPS Greater Manchester")</f>
        <v>0</v>
      </c>
      <c r="F22" s="107">
        <f>SUMIFS('caseload data'!G:G,'caseload data'!$D:$D,"SPO",'caseload data'!$A:$A,"NPS Greater Manchester")</f>
        <v>0</v>
      </c>
      <c r="G22" s="107">
        <f>SUMIFS('caseload data'!H:H,'caseload data'!$D:$D,"SPO",'caseload data'!$A:$A,"NPS Greater Manchester")</f>
        <v>0</v>
      </c>
      <c r="H22" s="107">
        <f>SUMIFS('caseload data'!I:I,'caseload data'!$D:$D,"SPO",'caseload data'!$A:$A,"NPS Greater Manchester")</f>
        <v>0</v>
      </c>
      <c r="I22" s="107">
        <f>SUMIFS('caseload data'!J:J,'caseload data'!$D:$D,"SPO",'caseload data'!$A:$A,"NPS Greater Manchester")</f>
        <v>0</v>
      </c>
      <c r="J22" s="107">
        <f>SUMIFS('caseload data'!K:K,'caseload data'!$D:$D,"SPO",'caseload data'!$A:$A,"NPS Greater Manchester")</f>
        <v>0</v>
      </c>
      <c r="K22" s="107">
        <f>SUMIFS('caseload data'!L:L,'caseload data'!$D:$D,"SPO",'caseload data'!$A:$A,"NPS Greater Manchester")</f>
        <v>0</v>
      </c>
      <c r="L22" s="107">
        <f>SUMIFS('caseload data'!M:M,'caseload data'!$D:$D,"SPO",'caseload data'!$A:$A,"NPS Greater Manchester")</f>
        <v>0</v>
      </c>
      <c r="M22" s="107">
        <f>SUMIFS('caseload data'!N:N,'caseload data'!$D:$D,"SPO",'caseload data'!$A:$A,"NPS Greater Manchester")</f>
        <v>0</v>
      </c>
      <c r="N22" s="107">
        <f>SUMIFS('caseload data'!O:O,'caseload data'!$D:$D,"SPO",'caseload data'!$A:$A,"NPS Greater Manchester")</f>
        <v>0</v>
      </c>
      <c r="O22" s="107">
        <f>SUMIFS('caseload data'!P:P,'caseload data'!$D:$D,"SPO",'caseload data'!$A:$A,"NPS Greater Manchester")</f>
        <v>0</v>
      </c>
      <c r="P22" s="107">
        <f>SUMIFS('caseload data'!Q:Q,'caseload data'!$D:$D,"SPO",'caseload data'!$A:$A,"NPS Greater Manchester")</f>
        <v>0</v>
      </c>
      <c r="Q22" s="107">
        <f>SUMIFS('caseload data'!R:R,'caseload data'!$D:$D,"SPO",'caseload data'!$A:$A,"NPS Greater Manchester")</f>
        <v>0</v>
      </c>
      <c r="R22" s="107">
        <f>SUMIFS('caseload data'!S:S,'caseload data'!$D:$D,"SPO",'caseload data'!$A:$A,"NPS Greater Manchester")</f>
        <v>0</v>
      </c>
      <c r="S22" s="107">
        <f>SUMIFS('caseload data'!T:T,'caseload data'!$D:$D,"SPO",'caseload data'!$A:$A,"NPS Greater Manchester")</f>
        <v>0</v>
      </c>
      <c r="T22" s="107">
        <f>SUMIFS('caseload data'!V:V,'caseload data'!$D:$D,"SPO",'caseload data'!$A:$A,"NPS Greater Manchester")</f>
        <v>0</v>
      </c>
      <c r="U22" s="76"/>
      <c r="V22" s="76"/>
      <c r="W22" s="308"/>
      <c r="X22" s="143" t="s">
        <v>1040</v>
      </c>
      <c r="Y22" s="187" t="e">
        <f>SUM(D22)/SUM(D$19:D$22)</f>
        <v>#DIV/0!</v>
      </c>
      <c r="Z22" s="187" t="e">
        <f t="shared" si="2"/>
        <v>#DIV/0!</v>
      </c>
      <c r="AA22" s="187" t="e">
        <f t="shared" si="2"/>
        <v>#DIV/0!</v>
      </c>
      <c r="AB22" s="187" t="e">
        <f t="shared" si="2"/>
        <v>#DIV/0!</v>
      </c>
      <c r="AC22" s="187" t="e">
        <f t="shared" si="2"/>
        <v>#DIV/0!</v>
      </c>
      <c r="AD22" s="187" t="e">
        <f t="shared" si="2"/>
        <v>#DIV/0!</v>
      </c>
      <c r="AE22" s="187" t="e">
        <f t="shared" si="2"/>
        <v>#DIV/0!</v>
      </c>
      <c r="AF22" s="187" t="e">
        <f t="shared" si="2"/>
        <v>#DIV/0!</v>
      </c>
      <c r="AG22" s="187" t="e">
        <f t="shared" si="2"/>
        <v>#DIV/0!</v>
      </c>
      <c r="AH22" s="187" t="e">
        <f t="shared" si="2"/>
        <v>#DIV/0!</v>
      </c>
      <c r="AI22" s="187" t="e">
        <f t="shared" si="2"/>
        <v>#DIV/0!</v>
      </c>
      <c r="AJ22" s="187" t="e">
        <f t="shared" si="2"/>
        <v>#DIV/0!</v>
      </c>
      <c r="AK22" s="187" t="e">
        <f t="shared" si="2"/>
        <v>#DIV/0!</v>
      </c>
      <c r="AL22" s="187" t="e">
        <f t="shared" si="2"/>
        <v>#DIV/0!</v>
      </c>
      <c r="AM22" s="187" t="e">
        <f t="shared" si="2"/>
        <v>#DIV/0!</v>
      </c>
      <c r="AN22" s="187" t="e">
        <f t="shared" si="2"/>
        <v>#DIV/0!</v>
      </c>
    </row>
    <row r="23" spans="2:40" x14ac:dyDescent="0.15">
      <c r="B23" s="306" t="s">
        <v>1357</v>
      </c>
      <c r="C23" s="141" t="s">
        <v>1037</v>
      </c>
      <c r="D23" s="107">
        <f>SUMIFS('caseload data'!E:E,'caseload data'!$D:$D,"PO",'caseload data'!$A:$A,'national caseload'!$B$23:$B$25)</f>
        <v>0</v>
      </c>
      <c r="E23" s="107">
        <f>SUMIFS('caseload data'!F:F,'caseload data'!$D:$D,"PO",'caseload data'!$A:$A,'national caseload'!$B$23:$B$25)</f>
        <v>0</v>
      </c>
      <c r="F23" s="107">
        <f>SUMIFS('caseload data'!G:G,'caseload data'!$D:$D,"PO",'caseload data'!$A:$A,'national caseload'!$B$23:$B$25)</f>
        <v>0</v>
      </c>
      <c r="G23" s="107">
        <f>SUMIFS('caseload data'!H:H,'caseload data'!$D:$D,"PO",'caseload data'!$A:$A,'national caseload'!$B$23:$B$25)</f>
        <v>0</v>
      </c>
      <c r="H23" s="107">
        <f>SUMIFS('caseload data'!I:I,'caseload data'!$D:$D,"PO",'caseload data'!$A:$A,'national caseload'!$B$23:$B$25)</f>
        <v>0</v>
      </c>
      <c r="I23" s="107">
        <f>SUMIFS('caseload data'!J:J,'caseload data'!$D:$D,"PO",'caseload data'!$A:$A,'national caseload'!$B$23:$B$25)</f>
        <v>0</v>
      </c>
      <c r="J23" s="107">
        <f>SUMIFS('caseload data'!K:K,'caseload data'!$D:$D,"PO",'caseload data'!$A:$A,'national caseload'!$B$23:$B$25)</f>
        <v>0</v>
      </c>
      <c r="K23" s="107">
        <f>SUMIFS('caseload data'!L:L,'caseload data'!$D:$D,"PO",'caseload data'!$A:$A,'national caseload'!$B$23:$B$25)</f>
        <v>0</v>
      </c>
      <c r="L23" s="107">
        <f>SUMIFS('caseload data'!M:M,'caseload data'!$D:$D,"PO",'caseload data'!$A:$A,'national caseload'!$B$23:$B$25)</f>
        <v>0</v>
      </c>
      <c r="M23" s="107">
        <f>SUMIFS('caseload data'!N:N,'caseload data'!$D:$D,"PO",'caseload data'!$A:$A,'national caseload'!$B$23:$B$25)</f>
        <v>0</v>
      </c>
      <c r="N23" s="107">
        <f>SUMIFS('caseload data'!O:O,'caseload data'!$D:$D,"PO",'caseload data'!$A:$A,'national caseload'!$B$23:$B$25)</f>
        <v>0</v>
      </c>
      <c r="O23" s="107">
        <f>SUMIFS('caseload data'!P:P,'caseload data'!$D:$D,"PO",'caseload data'!$A:$A,'national caseload'!$B$23:$B$25)</f>
        <v>0</v>
      </c>
      <c r="P23" s="107">
        <f>SUMIFS('caseload data'!Q:Q,'caseload data'!$D:$D,"PO",'caseload data'!$A:$A,'national caseload'!$B$23:$B$25)</f>
        <v>0</v>
      </c>
      <c r="Q23" s="107">
        <f>SUMIFS('caseload data'!R:R,'caseload data'!$D:$D,"PO",'caseload data'!$A:$A,'national caseload'!$B$23:$B$25)</f>
        <v>0</v>
      </c>
      <c r="R23" s="107">
        <f>SUMIFS('caseload data'!S:S,'caseload data'!$D:$D,"PO",'caseload data'!$A:$A,'national caseload'!$B$23:$B$25)</f>
        <v>0</v>
      </c>
      <c r="S23" s="107">
        <f>SUMIFS('caseload data'!T:T,'caseload data'!$D:$D,"PO",'caseload data'!$A:$A,'national caseload'!$B$23:$B$25)</f>
        <v>0</v>
      </c>
      <c r="T23" s="107">
        <f>SUMIFS('caseload data'!V:V,'caseload data'!$D:$D,"PO",'caseload data'!$A:$A,'national caseload'!B23:B25)</f>
        <v>0</v>
      </c>
      <c r="U23" s="76"/>
      <c r="V23" s="76"/>
      <c r="W23" s="306" t="s">
        <v>1357</v>
      </c>
      <c r="X23" s="141" t="s">
        <v>1037</v>
      </c>
      <c r="Y23" s="187" t="e">
        <f>SUM(D23)/SUM(D$23:D$26)</f>
        <v>#DIV/0!</v>
      </c>
      <c r="Z23" s="187" t="e">
        <f t="shared" ref="Z23:AN26" si="3">SUM(E23)/SUM(E$23:E$26)</f>
        <v>#DIV/0!</v>
      </c>
      <c r="AA23" s="187" t="e">
        <f t="shared" si="3"/>
        <v>#DIV/0!</v>
      </c>
      <c r="AB23" s="187" t="e">
        <f t="shared" si="3"/>
        <v>#DIV/0!</v>
      </c>
      <c r="AC23" s="187" t="e">
        <f t="shared" si="3"/>
        <v>#DIV/0!</v>
      </c>
      <c r="AD23" s="187" t="e">
        <f t="shared" si="3"/>
        <v>#DIV/0!</v>
      </c>
      <c r="AE23" s="187" t="e">
        <f t="shared" si="3"/>
        <v>#DIV/0!</v>
      </c>
      <c r="AF23" s="187" t="e">
        <f t="shared" si="3"/>
        <v>#DIV/0!</v>
      </c>
      <c r="AG23" s="187" t="e">
        <f t="shared" si="3"/>
        <v>#DIV/0!</v>
      </c>
      <c r="AH23" s="187" t="e">
        <f t="shared" si="3"/>
        <v>#DIV/0!</v>
      </c>
      <c r="AI23" s="187" t="e">
        <f t="shared" si="3"/>
        <v>#DIV/0!</v>
      </c>
      <c r="AJ23" s="187" t="e">
        <f t="shared" si="3"/>
        <v>#DIV/0!</v>
      </c>
      <c r="AK23" s="187" t="e">
        <f t="shared" si="3"/>
        <v>#DIV/0!</v>
      </c>
      <c r="AL23" s="187" t="e">
        <f t="shared" si="3"/>
        <v>#DIV/0!</v>
      </c>
      <c r="AM23" s="187" t="e">
        <f t="shared" si="3"/>
        <v>#DIV/0!</v>
      </c>
      <c r="AN23" s="187" t="e">
        <f t="shared" si="3"/>
        <v>#DIV/0!</v>
      </c>
    </row>
    <row r="24" spans="2:40" x14ac:dyDescent="0.15">
      <c r="B24" s="307"/>
      <c r="C24" s="142" t="s">
        <v>1038</v>
      </c>
      <c r="D24" s="107">
        <f>SUMIFS('caseload data'!E:E,'caseload data'!$D:$D,"PSO",'caseload data'!$A:$A,"Kent Surrey Sussex Region")</f>
        <v>0</v>
      </c>
      <c r="E24" s="107">
        <f>SUMIFS('caseload data'!F:F,'caseload data'!$D:$D,"PSO",'caseload data'!$A:$A,"Kent Surrey Sussex Region")</f>
        <v>0</v>
      </c>
      <c r="F24" s="107">
        <f>SUMIFS('caseload data'!G:G,'caseload data'!$D:$D,"PSO",'caseload data'!$A:$A,"Kent Surrey Sussex Region")</f>
        <v>0</v>
      </c>
      <c r="G24" s="107">
        <f>SUMIFS('caseload data'!H:H,'caseload data'!$D:$D,"PSO",'caseload data'!$A:$A,"Kent Surrey Sussex Region")</f>
        <v>0</v>
      </c>
      <c r="H24" s="107">
        <f>SUMIFS('caseload data'!I:I,'caseload data'!$D:$D,"PSO",'caseload data'!$A:$A,"Kent Surrey Sussex Region")</f>
        <v>0</v>
      </c>
      <c r="I24" s="107">
        <f>SUMIFS('caseload data'!J:J,'caseload data'!$D:$D,"PSO",'caseload data'!$A:$A,"Kent Surrey Sussex Region")</f>
        <v>0</v>
      </c>
      <c r="J24" s="107">
        <f>SUMIFS('caseload data'!K:K,'caseload data'!$D:$D,"PSO",'caseload data'!$A:$A,"Kent Surrey Sussex Region")</f>
        <v>0</v>
      </c>
      <c r="K24" s="107">
        <f>SUMIFS('caseload data'!L:L,'caseload data'!$D:$D,"PSO",'caseload data'!$A:$A,"Kent Surrey Sussex Region")</f>
        <v>0</v>
      </c>
      <c r="L24" s="107">
        <f>SUMIFS('caseload data'!M:M,'caseload data'!$D:$D,"PSO",'caseload data'!$A:$A,"Kent Surrey Sussex Region")</f>
        <v>0</v>
      </c>
      <c r="M24" s="107">
        <f>SUMIFS('caseload data'!N:N,'caseload data'!$D:$D,"PSO",'caseload data'!$A:$A,"Kent Surrey Sussex Region")</f>
        <v>0</v>
      </c>
      <c r="N24" s="107">
        <f>SUMIFS('caseload data'!O:O,'caseload data'!$D:$D,"PSO",'caseload data'!$A:$A,"Kent Surrey Sussex Region")</f>
        <v>0</v>
      </c>
      <c r="O24" s="107">
        <f>SUMIFS('caseload data'!P:P,'caseload data'!$D:$D,"PSO",'caseload data'!$A:$A,"Kent Surrey Sussex Region")</f>
        <v>0</v>
      </c>
      <c r="P24" s="107">
        <f>SUMIFS('caseload data'!Q:Q,'caseload data'!$D:$D,"PSO",'caseload data'!$A:$A,"Kent Surrey Sussex Region")</f>
        <v>0</v>
      </c>
      <c r="Q24" s="107">
        <f>SUMIFS('caseload data'!R:R,'caseload data'!$D:$D,"PSO",'caseload data'!$A:$A,"Kent Surrey Sussex Region")</f>
        <v>0</v>
      </c>
      <c r="R24" s="107">
        <f>SUMIFS('caseload data'!S:S,'caseload data'!$D:$D,"PSO",'caseload data'!$A:$A,"Kent Surrey Sussex Region")</f>
        <v>0</v>
      </c>
      <c r="S24" s="107">
        <f>SUMIFS('caseload data'!T:T,'caseload data'!$D:$D,"PSO",'caseload data'!$A:$A,"Kent Surrey Sussex Region")</f>
        <v>0</v>
      </c>
      <c r="T24" s="107">
        <f>SUMIFS('caseload data'!V:V,'caseload data'!$D:$D,"PSO",'caseload data'!$A:$A,"Kent Surrey Sussex Region")</f>
        <v>0</v>
      </c>
      <c r="U24" s="76"/>
      <c r="V24" s="76"/>
      <c r="W24" s="307"/>
      <c r="X24" s="142" t="s">
        <v>1038</v>
      </c>
      <c r="Y24" s="187" t="e">
        <f>SUM(D24)/SUM(D$23:D$26)</f>
        <v>#DIV/0!</v>
      </c>
      <c r="Z24" s="187" t="e">
        <f t="shared" si="3"/>
        <v>#DIV/0!</v>
      </c>
      <c r="AA24" s="187" t="e">
        <f t="shared" si="3"/>
        <v>#DIV/0!</v>
      </c>
      <c r="AB24" s="187" t="e">
        <f t="shared" si="3"/>
        <v>#DIV/0!</v>
      </c>
      <c r="AC24" s="187" t="e">
        <f t="shared" si="3"/>
        <v>#DIV/0!</v>
      </c>
      <c r="AD24" s="187" t="e">
        <f t="shared" si="3"/>
        <v>#DIV/0!</v>
      </c>
      <c r="AE24" s="187" t="e">
        <f t="shared" si="3"/>
        <v>#DIV/0!</v>
      </c>
      <c r="AF24" s="187" t="e">
        <f t="shared" si="3"/>
        <v>#DIV/0!</v>
      </c>
      <c r="AG24" s="187" t="e">
        <f t="shared" si="3"/>
        <v>#DIV/0!</v>
      </c>
      <c r="AH24" s="187" t="e">
        <f t="shared" si="3"/>
        <v>#DIV/0!</v>
      </c>
      <c r="AI24" s="187" t="e">
        <f t="shared" si="3"/>
        <v>#DIV/0!</v>
      </c>
      <c r="AJ24" s="187" t="e">
        <f t="shared" si="3"/>
        <v>#DIV/0!</v>
      </c>
      <c r="AK24" s="187" t="e">
        <f t="shared" si="3"/>
        <v>#DIV/0!</v>
      </c>
      <c r="AL24" s="187" t="e">
        <f t="shared" si="3"/>
        <v>#DIV/0!</v>
      </c>
      <c r="AM24" s="187" t="e">
        <f t="shared" si="3"/>
        <v>#DIV/0!</v>
      </c>
      <c r="AN24" s="187" t="e">
        <f t="shared" si="3"/>
        <v>#DIV/0!</v>
      </c>
    </row>
    <row r="25" spans="2:40" x14ac:dyDescent="0.15">
      <c r="B25" s="307"/>
      <c r="C25" s="142" t="s">
        <v>1039</v>
      </c>
      <c r="D25" s="107">
        <f>SUMIFS('caseload data'!E:E,'caseload data'!$D:$D,"TPO",'caseload data'!$A:$A,"Kent Surrey Sussex Region")</f>
        <v>0</v>
      </c>
      <c r="E25" s="107">
        <f>SUMIFS('caseload data'!F:F,'caseload data'!$D:$D,"TPO",'caseload data'!$A:$A,"Kent Surrey Sussex Region")</f>
        <v>0</v>
      </c>
      <c r="F25" s="107">
        <f>SUMIFS('caseload data'!G:G,'caseload data'!$D:$D,"TPO",'caseload data'!$A:$A,"Kent Surrey Sussex Region")</f>
        <v>0</v>
      </c>
      <c r="G25" s="107">
        <f>SUMIFS('caseload data'!H:H,'caseload data'!$D:$D,"TPO",'caseload data'!$A:$A,"Kent Surrey Sussex Region")</f>
        <v>0</v>
      </c>
      <c r="H25" s="107">
        <f>SUMIFS('caseload data'!I:I,'caseload data'!$D:$D,"TPO",'caseload data'!$A:$A,"Kent Surrey Sussex Region")</f>
        <v>0</v>
      </c>
      <c r="I25" s="107">
        <f>SUMIFS('caseload data'!J:J,'caseload data'!$D:$D,"TPO",'caseload data'!$A:$A,"Kent Surrey Sussex Region")</f>
        <v>0</v>
      </c>
      <c r="J25" s="107">
        <f>SUMIFS('caseload data'!K:K,'caseload data'!$D:$D,"TPO",'caseload data'!$A:$A,"Kent Surrey Sussex Region")</f>
        <v>0</v>
      </c>
      <c r="K25" s="107">
        <f>SUMIFS('caseload data'!L:L,'caseload data'!$D:$D,"TPO",'caseload data'!$A:$A,"Kent Surrey Sussex Region")</f>
        <v>0</v>
      </c>
      <c r="L25" s="107">
        <f>SUMIFS('caseload data'!M:M,'caseload data'!$D:$D,"TPO",'caseload data'!$A:$A,"Kent Surrey Sussex Region")</f>
        <v>0</v>
      </c>
      <c r="M25" s="107">
        <f>SUMIFS('caseload data'!N:N,'caseload data'!$D:$D,"TPO",'caseload data'!$A:$A,"Kent Surrey Sussex Region")</f>
        <v>0</v>
      </c>
      <c r="N25" s="107">
        <f>SUMIFS('caseload data'!O:O,'caseload data'!$D:$D,"TPO",'caseload data'!$A:$A,"Kent Surrey Sussex Region")</f>
        <v>0</v>
      </c>
      <c r="O25" s="107">
        <f>SUMIFS('caseload data'!P:P,'caseload data'!$D:$D,"TPO",'caseload data'!$A:$A,"Kent Surrey Sussex Region")</f>
        <v>0</v>
      </c>
      <c r="P25" s="107">
        <f>SUMIFS('caseload data'!Q:Q,'caseload data'!$D:$D,"TPO",'caseload data'!$A:$A,"Kent Surrey Sussex Region")</f>
        <v>0</v>
      </c>
      <c r="Q25" s="107">
        <f>SUMIFS('caseload data'!R:R,'caseload data'!$D:$D,"TPO",'caseload data'!$A:$A,"Kent Surrey Sussex Region")</f>
        <v>0</v>
      </c>
      <c r="R25" s="107">
        <f>SUMIFS('caseload data'!S:S,'caseload data'!$D:$D,"TPO",'caseload data'!$A:$A,"Kent Surrey Sussex Region")</f>
        <v>0</v>
      </c>
      <c r="S25" s="107">
        <f>SUMIFS('caseload data'!T:T,'caseload data'!$D:$D,"TPO",'caseload data'!$A:$A,"Kent Surrey Sussex Region")</f>
        <v>0</v>
      </c>
      <c r="T25" s="107">
        <f>SUMIFS('caseload data'!V:V,'caseload data'!$D:$D,"TPO",'caseload data'!$A:$A,"Kent Surrey Sussex Region")</f>
        <v>0</v>
      </c>
      <c r="U25" s="76"/>
      <c r="V25" s="76"/>
      <c r="W25" s="307"/>
      <c r="X25" s="142" t="s">
        <v>1039</v>
      </c>
      <c r="Y25" s="187" t="e">
        <f>SUM(D25)/SUM(D$23:D$26)</f>
        <v>#DIV/0!</v>
      </c>
      <c r="Z25" s="187" t="e">
        <f t="shared" si="3"/>
        <v>#DIV/0!</v>
      </c>
      <c r="AA25" s="187" t="e">
        <f t="shared" si="3"/>
        <v>#DIV/0!</v>
      </c>
      <c r="AB25" s="187" t="e">
        <f t="shared" si="3"/>
        <v>#DIV/0!</v>
      </c>
      <c r="AC25" s="187" t="e">
        <f t="shared" si="3"/>
        <v>#DIV/0!</v>
      </c>
      <c r="AD25" s="187" t="e">
        <f t="shared" si="3"/>
        <v>#DIV/0!</v>
      </c>
      <c r="AE25" s="187" t="e">
        <f t="shared" si="3"/>
        <v>#DIV/0!</v>
      </c>
      <c r="AF25" s="187" t="e">
        <f t="shared" si="3"/>
        <v>#DIV/0!</v>
      </c>
      <c r="AG25" s="187" t="e">
        <f t="shared" si="3"/>
        <v>#DIV/0!</v>
      </c>
      <c r="AH25" s="187" t="e">
        <f t="shared" si="3"/>
        <v>#DIV/0!</v>
      </c>
      <c r="AI25" s="187" t="e">
        <f t="shared" si="3"/>
        <v>#DIV/0!</v>
      </c>
      <c r="AJ25" s="187" t="e">
        <f t="shared" si="3"/>
        <v>#DIV/0!</v>
      </c>
      <c r="AK25" s="187" t="e">
        <f t="shared" si="3"/>
        <v>#DIV/0!</v>
      </c>
      <c r="AL25" s="187" t="e">
        <f t="shared" si="3"/>
        <v>#DIV/0!</v>
      </c>
      <c r="AM25" s="187" t="e">
        <f t="shared" si="3"/>
        <v>#DIV/0!</v>
      </c>
      <c r="AN25" s="187" t="e">
        <f t="shared" si="3"/>
        <v>#DIV/0!</v>
      </c>
    </row>
    <row r="26" spans="2:40" x14ac:dyDescent="0.15">
      <c r="B26" s="308"/>
      <c r="C26" s="143" t="s">
        <v>1040</v>
      </c>
      <c r="D26" s="107">
        <f>SUMIFS('caseload data'!E:E,'caseload data'!$D:$D,"SPO",'caseload data'!$A:$A,"Kent Surrey Sussex Region")</f>
        <v>0</v>
      </c>
      <c r="E26" s="107">
        <f>SUMIFS('caseload data'!F:F,'caseload data'!$D:$D,"SPO",'caseload data'!$A:$A,"Kent Surrey Sussex Region")</f>
        <v>0</v>
      </c>
      <c r="F26" s="107">
        <f>SUMIFS('caseload data'!G:G,'caseload data'!$D:$D,"SPO",'caseload data'!$A:$A,"Kent Surrey Sussex Region")</f>
        <v>0</v>
      </c>
      <c r="G26" s="107">
        <f>SUMIFS('caseload data'!H:H,'caseload data'!$D:$D,"SPO",'caseload data'!$A:$A,"Kent Surrey Sussex Region")</f>
        <v>0</v>
      </c>
      <c r="H26" s="107">
        <f>SUMIFS('caseload data'!I:I,'caseload data'!$D:$D,"SPO",'caseload data'!$A:$A,"Kent Surrey Sussex Region")</f>
        <v>0</v>
      </c>
      <c r="I26" s="107">
        <f>SUMIFS('caseload data'!J:J,'caseload data'!$D:$D,"SPO",'caseload data'!$A:$A,"Kent Surrey Sussex Region")</f>
        <v>0</v>
      </c>
      <c r="J26" s="107">
        <f>SUMIFS('caseload data'!K:K,'caseload data'!$D:$D,"SPO",'caseload data'!$A:$A,"Kent Surrey Sussex Region")</f>
        <v>0</v>
      </c>
      <c r="K26" s="107">
        <f>SUMIFS('caseload data'!L:L,'caseload data'!$D:$D,"SPO",'caseload data'!$A:$A,"Kent Surrey Sussex Region")</f>
        <v>0</v>
      </c>
      <c r="L26" s="107">
        <f>SUMIFS('caseload data'!M:M,'caseload data'!$D:$D,"SPO",'caseload data'!$A:$A,"Kent Surrey Sussex Region")</f>
        <v>0</v>
      </c>
      <c r="M26" s="107">
        <f>SUMIFS('caseload data'!N:N,'caseload data'!$D:$D,"SPO",'caseload data'!$A:$A,"Kent Surrey Sussex Region")</f>
        <v>0</v>
      </c>
      <c r="N26" s="107">
        <f>SUMIFS('caseload data'!O:O,'caseload data'!$D:$D,"SPO",'caseload data'!$A:$A,"Kent Surrey Sussex Region")</f>
        <v>0</v>
      </c>
      <c r="O26" s="107">
        <f>SUMIFS('caseload data'!P:P,'caseload data'!$D:$D,"SPO",'caseload data'!$A:$A,"Kent Surrey Sussex Region")</f>
        <v>0</v>
      </c>
      <c r="P26" s="107">
        <f>SUMIFS('caseload data'!Q:Q,'caseload data'!$D:$D,"SPO",'caseload data'!$A:$A,"Kent Surrey Sussex Region")</f>
        <v>0</v>
      </c>
      <c r="Q26" s="107">
        <f>SUMIFS('caseload data'!R:R,'caseload data'!$D:$D,"SPO",'caseload data'!$A:$A,"Kent Surrey Sussex Region")</f>
        <v>0</v>
      </c>
      <c r="R26" s="107">
        <f>SUMIFS('caseload data'!S:S,'caseload data'!$D:$D,"SPO",'caseload data'!$A:$A,"Kent Surrey Sussex Region")</f>
        <v>0</v>
      </c>
      <c r="S26" s="107">
        <f>SUMIFS('caseload data'!T:T,'caseload data'!$D:$D,"SPO",'caseload data'!$A:$A,"Kent Surrey Sussex Region")</f>
        <v>0</v>
      </c>
      <c r="T26" s="107">
        <f>SUMIFS('caseload data'!V:V,'caseload data'!$D:$D,"SPO",'caseload data'!$A:$A,"Kent Surrey Sussex Region")</f>
        <v>0</v>
      </c>
      <c r="U26" s="76"/>
      <c r="V26" s="76"/>
      <c r="W26" s="308"/>
      <c r="X26" s="143" t="s">
        <v>1040</v>
      </c>
      <c r="Y26" s="187" t="e">
        <f>SUM(D26)/SUM(D$23:D$26)</f>
        <v>#DIV/0!</v>
      </c>
      <c r="Z26" s="187" t="e">
        <f t="shared" si="3"/>
        <v>#DIV/0!</v>
      </c>
      <c r="AA26" s="187" t="e">
        <f t="shared" si="3"/>
        <v>#DIV/0!</v>
      </c>
      <c r="AB26" s="187" t="e">
        <f t="shared" si="3"/>
        <v>#DIV/0!</v>
      </c>
      <c r="AC26" s="187" t="e">
        <f t="shared" si="3"/>
        <v>#DIV/0!</v>
      </c>
      <c r="AD26" s="187" t="e">
        <f t="shared" si="3"/>
        <v>#DIV/0!</v>
      </c>
      <c r="AE26" s="187" t="e">
        <f t="shared" si="3"/>
        <v>#DIV/0!</v>
      </c>
      <c r="AF26" s="187" t="e">
        <f t="shared" si="3"/>
        <v>#DIV/0!</v>
      </c>
      <c r="AG26" s="187" t="e">
        <f t="shared" si="3"/>
        <v>#DIV/0!</v>
      </c>
      <c r="AH26" s="187" t="e">
        <f t="shared" si="3"/>
        <v>#DIV/0!</v>
      </c>
      <c r="AI26" s="187" t="e">
        <f t="shared" si="3"/>
        <v>#DIV/0!</v>
      </c>
      <c r="AJ26" s="187" t="e">
        <f t="shared" si="3"/>
        <v>#DIV/0!</v>
      </c>
      <c r="AK26" s="187" t="e">
        <f t="shared" si="3"/>
        <v>#DIV/0!</v>
      </c>
      <c r="AL26" s="187" t="e">
        <f t="shared" si="3"/>
        <v>#DIV/0!</v>
      </c>
      <c r="AM26" s="187" t="e">
        <f t="shared" si="3"/>
        <v>#DIV/0!</v>
      </c>
      <c r="AN26" s="187" t="e">
        <f t="shared" si="3"/>
        <v>#DIV/0!</v>
      </c>
    </row>
    <row r="27" spans="2:40" x14ac:dyDescent="0.15">
      <c r="B27" s="306" t="s">
        <v>22</v>
      </c>
      <c r="C27" s="141" t="s">
        <v>1037</v>
      </c>
      <c r="D27" s="107">
        <f>SUMIFS('caseload data'!E:E,'caseload data'!$D:$D,"PO",'caseload data'!$A:$A,'national caseload'!$B$27:$B$29)</f>
        <v>0</v>
      </c>
      <c r="E27" s="107">
        <f>SUMIFS('caseload data'!F:F,'caseload data'!$D:$D,"PO",'caseload data'!$A:$A,'national caseload'!$B$27:$B$29)</f>
        <v>0</v>
      </c>
      <c r="F27" s="107">
        <f>SUMIFS('caseload data'!G:G,'caseload data'!$D:$D,"PO",'caseload data'!$A:$A,'national caseload'!$B$27:$B$29)</f>
        <v>0</v>
      </c>
      <c r="G27" s="107">
        <f>SUMIFS('caseload data'!H:H,'caseload data'!$D:$D,"PO",'caseload data'!$A:$A,'national caseload'!$B$27:$B$29)</f>
        <v>0</v>
      </c>
      <c r="H27" s="107">
        <f>SUMIFS('caseload data'!I:I,'caseload data'!$D:$D,"PO",'caseload data'!$A:$A,'national caseload'!$B$27:$B$29)</f>
        <v>0</v>
      </c>
      <c r="I27" s="107">
        <f>SUMIFS('caseload data'!J:J,'caseload data'!$D:$D,"PO",'caseload data'!$A:$A,'national caseload'!$B$27:$B$29)</f>
        <v>0</v>
      </c>
      <c r="J27" s="107">
        <f>SUMIFS('caseload data'!K:K,'caseload data'!$D:$D,"PO",'caseload data'!$A:$A,'national caseload'!$B$27:$B$29)</f>
        <v>0</v>
      </c>
      <c r="K27" s="107">
        <f>SUMIFS('caseload data'!L:L,'caseload data'!$D:$D,"PO",'caseload data'!$A:$A,'national caseload'!$B$27:$B$29)</f>
        <v>0</v>
      </c>
      <c r="L27" s="107">
        <f>SUMIFS('caseload data'!M:M,'caseload data'!$D:$D,"PO",'caseload data'!$A:$A,'national caseload'!$B$27:$B$29)</f>
        <v>0</v>
      </c>
      <c r="M27" s="107">
        <f>SUMIFS('caseload data'!N:N,'caseload data'!$D:$D,"PO",'caseload data'!$A:$A,'national caseload'!$B$27:$B$29)</f>
        <v>0</v>
      </c>
      <c r="N27" s="107">
        <f>SUMIFS('caseload data'!O:O,'caseload data'!$D:$D,"PO",'caseload data'!$A:$A,'national caseload'!$B$27:$B$29)</f>
        <v>0</v>
      </c>
      <c r="O27" s="107">
        <f>SUMIFS('caseload data'!P:P,'caseload data'!$D:$D,"PO",'caseload data'!$A:$A,'national caseload'!$B$27:$B$29)</f>
        <v>0</v>
      </c>
      <c r="P27" s="107">
        <f>SUMIFS('caseload data'!Q:Q,'caseload data'!$D:$D,"PO",'caseload data'!$A:$A,'national caseload'!$B$27:$B$29)</f>
        <v>0</v>
      </c>
      <c r="Q27" s="107">
        <f>SUMIFS('caseload data'!R:R,'caseload data'!$D:$D,"PO",'caseload data'!$A:$A,'national caseload'!$B$27:$B$29)</f>
        <v>0</v>
      </c>
      <c r="R27" s="107">
        <f>SUMIFS('caseload data'!S:S,'caseload data'!$D:$D,"PO",'caseload data'!$A:$A,'national caseload'!$B$27:$B$29)</f>
        <v>0</v>
      </c>
      <c r="S27" s="107">
        <f>SUMIFS('caseload data'!T:T,'caseload data'!$D:$D,"PO",'caseload data'!$A:$A,'national caseload'!$B$27:$B$29)</f>
        <v>0</v>
      </c>
      <c r="T27" s="107">
        <f>SUMIFS('caseload data'!V:V,'caseload data'!$D:$D,"PO",'caseload data'!$A:$A,'national caseload'!B27:B29)</f>
        <v>0</v>
      </c>
      <c r="U27" s="76"/>
      <c r="V27" s="76"/>
      <c r="W27" s="306" t="s">
        <v>22</v>
      </c>
      <c r="X27" s="141" t="s">
        <v>1037</v>
      </c>
      <c r="Y27" s="187" t="e">
        <f>SUM(D27)/SUM(D$27:D$30)</f>
        <v>#DIV/0!</v>
      </c>
      <c r="Z27" s="187" t="e">
        <f t="shared" ref="Z27:AN30" si="4">SUM(E27)/SUM(E$27:E$30)</f>
        <v>#DIV/0!</v>
      </c>
      <c r="AA27" s="187" t="e">
        <f t="shared" si="4"/>
        <v>#DIV/0!</v>
      </c>
      <c r="AB27" s="187" t="e">
        <f t="shared" si="4"/>
        <v>#DIV/0!</v>
      </c>
      <c r="AC27" s="187" t="e">
        <f t="shared" si="4"/>
        <v>#DIV/0!</v>
      </c>
      <c r="AD27" s="187" t="e">
        <f t="shared" si="4"/>
        <v>#DIV/0!</v>
      </c>
      <c r="AE27" s="187" t="e">
        <f t="shared" si="4"/>
        <v>#DIV/0!</v>
      </c>
      <c r="AF27" s="187" t="e">
        <f t="shared" si="4"/>
        <v>#DIV/0!</v>
      </c>
      <c r="AG27" s="187" t="e">
        <f t="shared" si="4"/>
        <v>#DIV/0!</v>
      </c>
      <c r="AH27" s="187" t="e">
        <f t="shared" si="4"/>
        <v>#DIV/0!</v>
      </c>
      <c r="AI27" s="187" t="e">
        <f t="shared" si="4"/>
        <v>#DIV/0!</v>
      </c>
      <c r="AJ27" s="187" t="e">
        <f t="shared" si="4"/>
        <v>#DIV/0!</v>
      </c>
      <c r="AK27" s="187" t="e">
        <f t="shared" si="4"/>
        <v>#DIV/0!</v>
      </c>
      <c r="AL27" s="187" t="e">
        <f t="shared" si="4"/>
        <v>#DIV/0!</v>
      </c>
      <c r="AM27" s="187" t="e">
        <f t="shared" si="4"/>
        <v>#DIV/0!</v>
      </c>
      <c r="AN27" s="187" t="e">
        <f t="shared" si="4"/>
        <v>#DIV/0!</v>
      </c>
    </row>
    <row r="28" spans="2:40" x14ac:dyDescent="0.15">
      <c r="B28" s="307"/>
      <c r="C28" s="142" t="s">
        <v>1038</v>
      </c>
      <c r="D28" s="107">
        <f>SUMIFS('caseload data'!E:E,'caseload data'!$D:$D,"PSO",'caseload data'!$A:$A,"London")</f>
        <v>0</v>
      </c>
      <c r="E28" s="107">
        <f>SUMIFS('caseload data'!F:F,'caseload data'!$D:$D,"PSO",'caseload data'!$A:$A,"London")</f>
        <v>0</v>
      </c>
      <c r="F28" s="107">
        <f>SUMIFS('caseload data'!G:G,'caseload data'!$D:$D,"PSO",'caseload data'!$A:$A,"London")</f>
        <v>0</v>
      </c>
      <c r="G28" s="107">
        <f>SUMIFS('caseload data'!H:H,'caseload data'!$D:$D,"PSO",'caseload data'!$A:$A,"London")</f>
        <v>0</v>
      </c>
      <c r="H28" s="107">
        <f>SUMIFS('caseload data'!I:I,'caseload data'!$D:$D,"PSO",'caseload data'!$A:$A,"London")</f>
        <v>0</v>
      </c>
      <c r="I28" s="107">
        <f>SUMIFS('caseload data'!J:J,'caseload data'!$D:$D,"PSO",'caseload data'!$A:$A,"London")</f>
        <v>0</v>
      </c>
      <c r="J28" s="107">
        <f>SUMIFS('caseload data'!K:K,'caseload data'!$D:$D,"PSO",'caseload data'!$A:$A,"London")</f>
        <v>0</v>
      </c>
      <c r="K28" s="107">
        <f>SUMIFS('caseload data'!L:L,'caseload data'!$D:$D,"PSO",'caseload data'!$A:$A,"London")</f>
        <v>0</v>
      </c>
      <c r="L28" s="107">
        <f>SUMIFS('caseload data'!M:M,'caseload data'!$D:$D,"PSO",'caseload data'!$A:$A,"London")</f>
        <v>0</v>
      </c>
      <c r="M28" s="107">
        <f>SUMIFS('caseload data'!N:N,'caseload data'!$D:$D,"PSO",'caseload data'!$A:$A,"London")</f>
        <v>0</v>
      </c>
      <c r="N28" s="107">
        <f>SUMIFS('caseload data'!O:O,'caseload data'!$D:$D,"PSO",'caseload data'!$A:$A,"London")</f>
        <v>0</v>
      </c>
      <c r="O28" s="107">
        <f>SUMIFS('caseload data'!P:P,'caseload data'!$D:$D,"PSO",'caseload data'!$A:$A,"London")</f>
        <v>0</v>
      </c>
      <c r="P28" s="107">
        <f>SUMIFS('caseload data'!Q:Q,'caseload data'!$D:$D,"PSO",'caseload data'!$A:$A,"London")</f>
        <v>0</v>
      </c>
      <c r="Q28" s="107">
        <f>SUMIFS('caseload data'!R:R,'caseload data'!$D:$D,"PSO",'caseload data'!$A:$A,"London")</f>
        <v>0</v>
      </c>
      <c r="R28" s="107">
        <f>SUMIFS('caseload data'!S:S,'caseload data'!$D:$D,"PSO",'caseload data'!$A:$A,"London")</f>
        <v>0</v>
      </c>
      <c r="S28" s="107">
        <f>SUMIFS('caseload data'!T:T,'caseload data'!$D:$D,"PSO",'caseload data'!$A:$A,"London")</f>
        <v>0</v>
      </c>
      <c r="T28" s="107">
        <f>SUMIFS('caseload data'!V:V,'caseload data'!$D:$D,"PSO",'caseload data'!$A:$A,"London")</f>
        <v>0</v>
      </c>
      <c r="U28" s="76"/>
      <c r="V28" s="76"/>
      <c r="W28" s="307"/>
      <c r="X28" s="142" t="s">
        <v>1038</v>
      </c>
      <c r="Y28" s="187" t="e">
        <f>SUM(D28)/SUM(D$27:D$30)</f>
        <v>#DIV/0!</v>
      </c>
      <c r="Z28" s="187" t="e">
        <f t="shared" si="4"/>
        <v>#DIV/0!</v>
      </c>
      <c r="AA28" s="187" t="e">
        <f t="shared" si="4"/>
        <v>#DIV/0!</v>
      </c>
      <c r="AB28" s="187" t="e">
        <f t="shared" si="4"/>
        <v>#DIV/0!</v>
      </c>
      <c r="AC28" s="187" t="e">
        <f t="shared" si="4"/>
        <v>#DIV/0!</v>
      </c>
      <c r="AD28" s="187" t="e">
        <f t="shared" si="4"/>
        <v>#DIV/0!</v>
      </c>
      <c r="AE28" s="187" t="e">
        <f t="shared" si="4"/>
        <v>#DIV/0!</v>
      </c>
      <c r="AF28" s="187" t="e">
        <f t="shared" si="4"/>
        <v>#DIV/0!</v>
      </c>
      <c r="AG28" s="187" t="e">
        <f t="shared" si="4"/>
        <v>#DIV/0!</v>
      </c>
      <c r="AH28" s="187" t="e">
        <f t="shared" si="4"/>
        <v>#DIV/0!</v>
      </c>
      <c r="AI28" s="187" t="e">
        <f t="shared" si="4"/>
        <v>#DIV/0!</v>
      </c>
      <c r="AJ28" s="187" t="e">
        <f t="shared" si="4"/>
        <v>#DIV/0!</v>
      </c>
      <c r="AK28" s="187" t="e">
        <f t="shared" si="4"/>
        <v>#DIV/0!</v>
      </c>
      <c r="AL28" s="187" t="e">
        <f t="shared" si="4"/>
        <v>#DIV/0!</v>
      </c>
      <c r="AM28" s="187" t="e">
        <f t="shared" si="4"/>
        <v>#DIV/0!</v>
      </c>
      <c r="AN28" s="187" t="e">
        <f t="shared" si="4"/>
        <v>#DIV/0!</v>
      </c>
    </row>
    <row r="29" spans="2:40" x14ac:dyDescent="0.15">
      <c r="B29" s="307"/>
      <c r="C29" s="142" t="s">
        <v>1039</v>
      </c>
      <c r="D29" s="107">
        <f>SUMIFS('caseload data'!E:E,'caseload data'!$D:$D,"TPO",'caseload data'!$A:$A,"London")</f>
        <v>0</v>
      </c>
      <c r="E29" s="107">
        <f>SUMIFS('caseload data'!F:F,'caseload data'!$D:$D,"TPO",'caseload data'!$A:$A,"London")</f>
        <v>0</v>
      </c>
      <c r="F29" s="107">
        <f>SUMIFS('caseload data'!G:G,'caseload data'!$D:$D,"TPO",'caseload data'!$A:$A,"London")</f>
        <v>0</v>
      </c>
      <c r="G29" s="107">
        <f>SUMIFS('caseload data'!H:H,'caseload data'!$D:$D,"TPO",'caseload data'!$A:$A,"London")</f>
        <v>0</v>
      </c>
      <c r="H29" s="107">
        <f>SUMIFS('caseload data'!I:I,'caseload data'!$D:$D,"TPO",'caseload data'!$A:$A,"London")</f>
        <v>0</v>
      </c>
      <c r="I29" s="107">
        <f>SUMIFS('caseload data'!J:J,'caseload data'!$D:$D,"TPO",'caseload data'!$A:$A,"London")</f>
        <v>0</v>
      </c>
      <c r="J29" s="107">
        <f>SUMIFS('caseload data'!K:K,'caseload data'!$D:$D,"TPO",'caseload data'!$A:$A,"London")</f>
        <v>0</v>
      </c>
      <c r="K29" s="107">
        <f>SUMIFS('caseload data'!L:L,'caseload data'!$D:$D,"TPO",'caseload data'!$A:$A,"London")</f>
        <v>0</v>
      </c>
      <c r="L29" s="107">
        <f>SUMIFS('caseload data'!M:M,'caseload data'!$D:$D,"TPO",'caseload data'!$A:$A,"London")</f>
        <v>0</v>
      </c>
      <c r="M29" s="107">
        <f>SUMIFS('caseload data'!N:N,'caseload data'!$D:$D,"TPO",'caseload data'!$A:$A,"London")</f>
        <v>0</v>
      </c>
      <c r="N29" s="107">
        <f>SUMIFS('caseload data'!O:O,'caseload data'!$D:$D,"TPO",'caseload data'!$A:$A,"London")</f>
        <v>0</v>
      </c>
      <c r="O29" s="107">
        <f>SUMIFS('caseload data'!P:P,'caseload data'!$D:$D,"TPO",'caseload data'!$A:$A,"London")</f>
        <v>0</v>
      </c>
      <c r="P29" s="107">
        <f>SUMIFS('caseload data'!Q:Q,'caseload data'!$D:$D,"TPO",'caseload data'!$A:$A,"London")</f>
        <v>0</v>
      </c>
      <c r="Q29" s="107">
        <f>SUMIFS('caseload data'!R:R,'caseload data'!$D:$D,"TPO",'caseload data'!$A:$A,"London")</f>
        <v>0</v>
      </c>
      <c r="R29" s="107">
        <f>SUMIFS('caseload data'!S:S,'caseload data'!$D:$D,"TPO",'caseload data'!$A:$A,"London")</f>
        <v>0</v>
      </c>
      <c r="S29" s="107">
        <f>SUMIFS('caseload data'!T:T,'caseload data'!$D:$D,"TPO",'caseload data'!$A:$A,"London")</f>
        <v>0</v>
      </c>
      <c r="T29" s="107">
        <f>SUMIFS('caseload data'!V:V,'caseload data'!$D:$D,"TPO",'caseload data'!$A:$A,"London")</f>
        <v>0</v>
      </c>
      <c r="U29" s="76"/>
      <c r="V29" s="76"/>
      <c r="W29" s="307"/>
      <c r="X29" s="142" t="s">
        <v>1039</v>
      </c>
      <c r="Y29" s="187" t="e">
        <f>SUM(D29)/SUM(D$27:D$30)</f>
        <v>#DIV/0!</v>
      </c>
      <c r="Z29" s="187" t="e">
        <f t="shared" si="4"/>
        <v>#DIV/0!</v>
      </c>
      <c r="AA29" s="187" t="e">
        <f t="shared" si="4"/>
        <v>#DIV/0!</v>
      </c>
      <c r="AB29" s="187" t="e">
        <f t="shared" si="4"/>
        <v>#DIV/0!</v>
      </c>
      <c r="AC29" s="187" t="e">
        <f t="shared" si="4"/>
        <v>#DIV/0!</v>
      </c>
      <c r="AD29" s="187" t="e">
        <f t="shared" si="4"/>
        <v>#DIV/0!</v>
      </c>
      <c r="AE29" s="187" t="e">
        <f t="shared" si="4"/>
        <v>#DIV/0!</v>
      </c>
      <c r="AF29" s="187" t="e">
        <f t="shared" si="4"/>
        <v>#DIV/0!</v>
      </c>
      <c r="AG29" s="187" t="e">
        <f t="shared" si="4"/>
        <v>#DIV/0!</v>
      </c>
      <c r="AH29" s="187" t="e">
        <f t="shared" si="4"/>
        <v>#DIV/0!</v>
      </c>
      <c r="AI29" s="187" t="e">
        <f t="shared" si="4"/>
        <v>#DIV/0!</v>
      </c>
      <c r="AJ29" s="187" t="e">
        <f t="shared" si="4"/>
        <v>#DIV/0!</v>
      </c>
      <c r="AK29" s="187" t="e">
        <f t="shared" si="4"/>
        <v>#DIV/0!</v>
      </c>
      <c r="AL29" s="187" t="e">
        <f t="shared" si="4"/>
        <v>#DIV/0!</v>
      </c>
      <c r="AM29" s="187" t="e">
        <f t="shared" si="4"/>
        <v>#DIV/0!</v>
      </c>
      <c r="AN29" s="187" t="e">
        <f t="shared" si="4"/>
        <v>#DIV/0!</v>
      </c>
    </row>
    <row r="30" spans="2:40" x14ac:dyDescent="0.15">
      <c r="B30" s="308"/>
      <c r="C30" s="143" t="s">
        <v>1040</v>
      </c>
      <c r="D30" s="107">
        <f>SUMIFS('caseload data'!E:E,'caseload data'!$D:$D,"SPO",'caseload data'!$A:$A,"London")</f>
        <v>0</v>
      </c>
      <c r="E30" s="107">
        <f>SUMIFS('caseload data'!F:F,'caseload data'!$D:$D,"SPO",'caseload data'!$A:$A,"London")</f>
        <v>0</v>
      </c>
      <c r="F30" s="107">
        <f>SUMIFS('caseload data'!G:G,'caseload data'!$D:$D,"SPO",'caseload data'!$A:$A,"London")</f>
        <v>0</v>
      </c>
      <c r="G30" s="107">
        <f>SUMIFS('caseload data'!H:H,'caseload data'!$D:$D,"SPO",'caseload data'!$A:$A,"London")</f>
        <v>0</v>
      </c>
      <c r="H30" s="107">
        <f>SUMIFS('caseload data'!I:I,'caseload data'!$D:$D,"SPO",'caseload data'!$A:$A,"London")</f>
        <v>0</v>
      </c>
      <c r="I30" s="107">
        <f>SUMIFS('caseload data'!J:J,'caseload data'!$D:$D,"SPO",'caseload data'!$A:$A,"London")</f>
        <v>0</v>
      </c>
      <c r="J30" s="107">
        <f>SUMIFS('caseload data'!K:K,'caseload data'!$D:$D,"SPO",'caseload data'!$A:$A,"London")</f>
        <v>0</v>
      </c>
      <c r="K30" s="107">
        <f>SUMIFS('caseload data'!L:L,'caseload data'!$D:$D,"SPO",'caseload data'!$A:$A,"London")</f>
        <v>0</v>
      </c>
      <c r="L30" s="107">
        <f>SUMIFS('caseload data'!M:M,'caseload data'!$D:$D,"SPO",'caseload data'!$A:$A,"London")</f>
        <v>0</v>
      </c>
      <c r="M30" s="107">
        <f>SUMIFS('caseload data'!N:N,'caseload data'!$D:$D,"SPO",'caseload data'!$A:$A,"London")</f>
        <v>0</v>
      </c>
      <c r="N30" s="107">
        <f>SUMIFS('caseload data'!O:O,'caseload data'!$D:$D,"SPO",'caseload data'!$A:$A,"London")</f>
        <v>0</v>
      </c>
      <c r="O30" s="107">
        <f>SUMIFS('caseload data'!P:P,'caseload data'!$D:$D,"SPO",'caseload data'!$A:$A,"London")</f>
        <v>0</v>
      </c>
      <c r="P30" s="107">
        <f>SUMIFS('caseload data'!Q:Q,'caseload data'!$D:$D,"SPO",'caseload data'!$A:$A,"London")</f>
        <v>0</v>
      </c>
      <c r="Q30" s="107">
        <f>SUMIFS('caseload data'!R:R,'caseload data'!$D:$D,"SPO",'caseload data'!$A:$A,"London")</f>
        <v>0</v>
      </c>
      <c r="R30" s="107">
        <f>SUMIFS('caseload data'!S:S,'caseload data'!$D:$D,"SPO",'caseload data'!$A:$A,"London")</f>
        <v>0</v>
      </c>
      <c r="S30" s="107">
        <f>SUMIFS('caseload data'!T:T,'caseload data'!$D:$D,"SPO",'caseload data'!$A:$A,"London")</f>
        <v>0</v>
      </c>
      <c r="T30" s="107">
        <f>SUMIFS('caseload data'!V:V,'caseload data'!$D:$D,"SPO",'caseload data'!$A:$A,"London")</f>
        <v>0</v>
      </c>
      <c r="U30" s="76"/>
      <c r="V30" s="76"/>
      <c r="W30" s="308"/>
      <c r="X30" s="143" t="s">
        <v>1040</v>
      </c>
      <c r="Y30" s="187" t="e">
        <f>SUM(D30)/SUM(D$27:D$30)</f>
        <v>#DIV/0!</v>
      </c>
      <c r="Z30" s="187" t="e">
        <f t="shared" si="4"/>
        <v>#DIV/0!</v>
      </c>
      <c r="AA30" s="187" t="e">
        <f t="shared" si="4"/>
        <v>#DIV/0!</v>
      </c>
      <c r="AB30" s="187" t="e">
        <f t="shared" si="4"/>
        <v>#DIV/0!</v>
      </c>
      <c r="AC30" s="187" t="e">
        <f t="shared" si="4"/>
        <v>#DIV/0!</v>
      </c>
      <c r="AD30" s="187" t="e">
        <f t="shared" si="4"/>
        <v>#DIV/0!</v>
      </c>
      <c r="AE30" s="187" t="e">
        <f t="shared" si="4"/>
        <v>#DIV/0!</v>
      </c>
      <c r="AF30" s="187" t="e">
        <f t="shared" si="4"/>
        <v>#DIV/0!</v>
      </c>
      <c r="AG30" s="187" t="e">
        <f t="shared" si="4"/>
        <v>#DIV/0!</v>
      </c>
      <c r="AH30" s="187" t="e">
        <f t="shared" si="4"/>
        <v>#DIV/0!</v>
      </c>
      <c r="AI30" s="187" t="e">
        <f t="shared" si="4"/>
        <v>#DIV/0!</v>
      </c>
      <c r="AJ30" s="187" t="e">
        <f t="shared" si="4"/>
        <v>#DIV/0!</v>
      </c>
      <c r="AK30" s="187" t="e">
        <f t="shared" si="4"/>
        <v>#DIV/0!</v>
      </c>
      <c r="AL30" s="187" t="e">
        <f t="shared" si="4"/>
        <v>#DIV/0!</v>
      </c>
      <c r="AM30" s="187" t="e">
        <f t="shared" si="4"/>
        <v>#DIV/0!</v>
      </c>
      <c r="AN30" s="187" t="e">
        <f t="shared" si="4"/>
        <v>#DIV/0!</v>
      </c>
    </row>
    <row r="31" spans="2:40" x14ac:dyDescent="0.15">
      <c r="B31" s="303" t="s">
        <v>23</v>
      </c>
      <c r="C31" s="141" t="s">
        <v>1037</v>
      </c>
      <c r="D31" s="107">
        <f>SUMIFS('caseload data'!E:E,'caseload data'!$D:$D,"PO",'caseload data'!$A:$A,$B$31)</f>
        <v>0</v>
      </c>
      <c r="E31" s="107">
        <f>SUMIFS('caseload data'!F:F,'caseload data'!$D:$D,"PO",'caseload data'!$A:$A,$B$31)</f>
        <v>0</v>
      </c>
      <c r="F31" s="107">
        <f>SUMIFS('caseload data'!G:G,'caseload data'!$D:$D,"PO",'caseload data'!$A:$A,$B$31)</f>
        <v>0</v>
      </c>
      <c r="G31" s="107">
        <f>SUMIFS('caseload data'!H:H,'caseload data'!$D:$D,"PO",'caseload data'!$A:$A,$B$31)</f>
        <v>0</v>
      </c>
      <c r="H31" s="107">
        <f>SUMIFS('caseload data'!I:I,'caseload data'!$D:$D,"PO",'caseload data'!$A:$A,$B$31)</f>
        <v>0</v>
      </c>
      <c r="I31" s="107">
        <f>SUMIFS('caseload data'!J:J,'caseload data'!$D:$D,"PO",'caseload data'!$A:$A,$B$31)</f>
        <v>0</v>
      </c>
      <c r="J31" s="107">
        <f>SUMIFS('caseload data'!K:K,'caseload data'!$D:$D,"PO",'caseload data'!$A:$A,$B$31)</f>
        <v>0</v>
      </c>
      <c r="K31" s="107">
        <f>SUMIFS('caseload data'!L:L,'caseload data'!$D:$D,"PO",'caseload data'!$A:$A,$B$31)</f>
        <v>0</v>
      </c>
      <c r="L31" s="107">
        <f>SUMIFS('caseload data'!M:M,'caseload data'!$D:$D,"PO",'caseload data'!$A:$A,$B$31)</f>
        <v>0</v>
      </c>
      <c r="M31" s="107">
        <f>SUMIFS('caseload data'!N:N,'caseload data'!$D:$D,"PO",'caseload data'!$A:$A,$B$31)</f>
        <v>0</v>
      </c>
      <c r="N31" s="107">
        <f>SUMIFS('caseload data'!O:O,'caseload data'!$D:$D,"PO",'caseload data'!$A:$A,$B$31)</f>
        <v>0</v>
      </c>
      <c r="O31" s="107">
        <f>SUMIFS('caseload data'!P:P,'caseload data'!$D:$D,"PO",'caseload data'!$A:$A,$B$31)</f>
        <v>0</v>
      </c>
      <c r="P31" s="107">
        <f>SUMIFS('caseload data'!Q:Q,'caseload data'!$D:$D,"PO",'caseload data'!$A:$A,$B$31)</f>
        <v>0</v>
      </c>
      <c r="Q31" s="107">
        <f>SUMIFS('caseload data'!R:R,'caseload data'!$D:$D,"PO",'caseload data'!$A:$A,$B$31)</f>
        <v>0</v>
      </c>
      <c r="R31" s="107">
        <f>SUMIFS('caseload data'!S:S,'caseload data'!$D:$D,"PO",'caseload data'!$A:$A,$B$31)</f>
        <v>0</v>
      </c>
      <c r="S31" s="107">
        <f>SUMIFS('caseload data'!T:T,'caseload data'!$D:$D,"PO",'caseload data'!$A:$A,$B$31)</f>
        <v>0</v>
      </c>
      <c r="T31" s="107">
        <f>SUMIFS('caseload data'!V:V,'caseload data'!$D:$D,"PO",'caseload data'!$A:$A,B31)</f>
        <v>0</v>
      </c>
      <c r="U31" s="76"/>
      <c r="V31" s="76"/>
      <c r="W31" s="303" t="s">
        <v>23</v>
      </c>
      <c r="X31" s="141" t="s">
        <v>1037</v>
      </c>
      <c r="Y31" s="187" t="e">
        <f>SUM(D31)/SUM(D$31:D$34)</f>
        <v>#DIV/0!</v>
      </c>
      <c r="Z31" s="187" t="e">
        <f t="shared" ref="Z31:AN34" si="5">SUM(E31)/SUM(E$31:E$34)</f>
        <v>#DIV/0!</v>
      </c>
      <c r="AA31" s="187" t="e">
        <f t="shared" si="5"/>
        <v>#DIV/0!</v>
      </c>
      <c r="AB31" s="187" t="e">
        <f t="shared" si="5"/>
        <v>#DIV/0!</v>
      </c>
      <c r="AC31" s="187" t="e">
        <f t="shared" si="5"/>
        <v>#DIV/0!</v>
      </c>
      <c r="AD31" s="187" t="e">
        <f t="shared" si="5"/>
        <v>#DIV/0!</v>
      </c>
      <c r="AE31" s="187" t="e">
        <f t="shared" si="5"/>
        <v>#DIV/0!</v>
      </c>
      <c r="AF31" s="187" t="e">
        <f t="shared" si="5"/>
        <v>#DIV/0!</v>
      </c>
      <c r="AG31" s="187" t="e">
        <f t="shared" si="5"/>
        <v>#DIV/0!</v>
      </c>
      <c r="AH31" s="187" t="e">
        <f t="shared" si="5"/>
        <v>#DIV/0!</v>
      </c>
      <c r="AI31" s="187" t="e">
        <f t="shared" si="5"/>
        <v>#DIV/0!</v>
      </c>
      <c r="AJ31" s="187" t="e">
        <f t="shared" si="5"/>
        <v>#DIV/0!</v>
      </c>
      <c r="AK31" s="187" t="e">
        <f t="shared" si="5"/>
        <v>#DIV/0!</v>
      </c>
      <c r="AL31" s="187" t="e">
        <f t="shared" si="5"/>
        <v>#DIV/0!</v>
      </c>
      <c r="AM31" s="187" t="e">
        <f t="shared" si="5"/>
        <v>#DIV/0!</v>
      </c>
      <c r="AN31" s="187" t="e">
        <f t="shared" si="5"/>
        <v>#DIV/0!</v>
      </c>
    </row>
    <row r="32" spans="2:40" x14ac:dyDescent="0.15">
      <c r="B32" s="304"/>
      <c r="C32" s="142" t="s">
        <v>1038</v>
      </c>
      <c r="D32" s="107">
        <f>SUMIFS('caseload data'!E:E,'caseload data'!$D:$D,"PSO",'caseload data'!$A:$A,"North East Region")</f>
        <v>0</v>
      </c>
      <c r="E32" s="107">
        <f>SUMIFS('caseload data'!F:F,'caseload data'!$D:$D,"PSO",'caseload data'!$A:$A,"North East Region")</f>
        <v>0</v>
      </c>
      <c r="F32" s="107">
        <f>SUMIFS('caseload data'!G:G,'caseload data'!$D:$D,"PSO",'caseload data'!$A:$A,"North East Region")</f>
        <v>0</v>
      </c>
      <c r="G32" s="107">
        <f>SUMIFS('caseload data'!H:H,'caseload data'!$D:$D,"PSO",'caseload data'!$A:$A,"North East Region")</f>
        <v>0</v>
      </c>
      <c r="H32" s="107">
        <f>SUMIFS('caseload data'!I:I,'caseload data'!$D:$D,"PSO",'caseload data'!$A:$A,"North East Region")</f>
        <v>0</v>
      </c>
      <c r="I32" s="107">
        <f>SUMIFS('caseload data'!J:J,'caseload data'!$D:$D,"PSO",'caseload data'!$A:$A,"North East Region")</f>
        <v>0</v>
      </c>
      <c r="J32" s="107">
        <f>SUMIFS('caseload data'!K:K,'caseload data'!$D:$D,"PSO",'caseload data'!$A:$A,"North East Region")</f>
        <v>0</v>
      </c>
      <c r="K32" s="107">
        <f>SUMIFS('caseload data'!L:L,'caseload data'!$D:$D,"PSO",'caseload data'!$A:$A,"North East Region")</f>
        <v>0</v>
      </c>
      <c r="L32" s="107">
        <f>SUMIFS('caseload data'!M:M,'caseload data'!$D:$D,"PSO",'caseload data'!$A:$A,"North East Region")</f>
        <v>0</v>
      </c>
      <c r="M32" s="107">
        <f>SUMIFS('caseload data'!N:N,'caseload data'!$D:$D,"PSO",'caseload data'!$A:$A,"North East Region")</f>
        <v>0</v>
      </c>
      <c r="N32" s="107">
        <f>SUMIFS('caseload data'!O:O,'caseload data'!$D:$D,"PSO",'caseload data'!$A:$A,"North East Region")</f>
        <v>0</v>
      </c>
      <c r="O32" s="107">
        <f>SUMIFS('caseload data'!P:P,'caseload data'!$D:$D,"PSO",'caseload data'!$A:$A,"North East Region")</f>
        <v>0</v>
      </c>
      <c r="P32" s="107">
        <f>SUMIFS('caseload data'!Q:Q,'caseload data'!$D:$D,"PSO",'caseload data'!$A:$A,"North East Region")</f>
        <v>0</v>
      </c>
      <c r="Q32" s="107">
        <f>SUMIFS('caseload data'!R:R,'caseload data'!$D:$D,"PSO",'caseload data'!$A:$A,"North East Region")</f>
        <v>0</v>
      </c>
      <c r="R32" s="107">
        <f>SUMIFS('caseload data'!S:S,'caseload data'!$D:$D,"PSO",'caseload data'!$A:$A,"North East Region")</f>
        <v>0</v>
      </c>
      <c r="S32" s="107">
        <f>SUMIFS('caseload data'!T:T,'caseload data'!$D:$D,"PSO",'caseload data'!$A:$A,"North East Region")</f>
        <v>0</v>
      </c>
      <c r="T32" s="107">
        <f>SUMIFS('caseload data'!V:V,'caseload data'!$D:$D,"PSO",'caseload data'!$A:$A,"North East Region")</f>
        <v>0</v>
      </c>
      <c r="U32" s="76"/>
      <c r="V32" s="76"/>
      <c r="W32" s="304"/>
      <c r="X32" s="142" t="s">
        <v>1038</v>
      </c>
      <c r="Y32" s="187" t="e">
        <f>SUM(D32)/SUM(D$31:D$34)</f>
        <v>#DIV/0!</v>
      </c>
      <c r="Z32" s="187" t="e">
        <f t="shared" si="5"/>
        <v>#DIV/0!</v>
      </c>
      <c r="AA32" s="187" t="e">
        <f t="shared" si="5"/>
        <v>#DIV/0!</v>
      </c>
      <c r="AB32" s="187" t="e">
        <f t="shared" si="5"/>
        <v>#DIV/0!</v>
      </c>
      <c r="AC32" s="187" t="e">
        <f t="shared" si="5"/>
        <v>#DIV/0!</v>
      </c>
      <c r="AD32" s="187" t="e">
        <f t="shared" si="5"/>
        <v>#DIV/0!</v>
      </c>
      <c r="AE32" s="187" t="e">
        <f t="shared" si="5"/>
        <v>#DIV/0!</v>
      </c>
      <c r="AF32" s="187" t="e">
        <f t="shared" si="5"/>
        <v>#DIV/0!</v>
      </c>
      <c r="AG32" s="187" t="e">
        <f t="shared" si="5"/>
        <v>#DIV/0!</v>
      </c>
      <c r="AH32" s="187" t="e">
        <f t="shared" si="5"/>
        <v>#DIV/0!</v>
      </c>
      <c r="AI32" s="187" t="e">
        <f t="shared" si="5"/>
        <v>#DIV/0!</v>
      </c>
      <c r="AJ32" s="187" t="e">
        <f t="shared" si="5"/>
        <v>#DIV/0!</v>
      </c>
      <c r="AK32" s="187" t="e">
        <f t="shared" si="5"/>
        <v>#DIV/0!</v>
      </c>
      <c r="AL32" s="187" t="e">
        <f t="shared" si="5"/>
        <v>#DIV/0!</v>
      </c>
      <c r="AM32" s="187" t="e">
        <f t="shared" si="5"/>
        <v>#DIV/0!</v>
      </c>
      <c r="AN32" s="187" t="e">
        <f t="shared" si="5"/>
        <v>#DIV/0!</v>
      </c>
    </row>
    <row r="33" spans="2:40" x14ac:dyDescent="0.15">
      <c r="B33" s="304"/>
      <c r="C33" s="142" t="s">
        <v>1039</v>
      </c>
      <c r="D33" s="107">
        <f>SUMIFS('caseload data'!E:E,'caseload data'!$D:$D,"TPO",'caseload data'!$A:$A,"North East Region")</f>
        <v>0</v>
      </c>
      <c r="E33" s="107">
        <f>SUMIFS('caseload data'!F:F,'caseload data'!$D:$D,"TPO",'caseload data'!$A:$A,"North East Region")</f>
        <v>0</v>
      </c>
      <c r="F33" s="107">
        <f>SUMIFS('caseload data'!G:G,'caseload data'!$D:$D,"TPO",'caseload data'!$A:$A,"North East Region")</f>
        <v>0</v>
      </c>
      <c r="G33" s="107">
        <f>SUMIFS('caseload data'!H:H,'caseload data'!$D:$D,"TPO",'caseload data'!$A:$A,"North East Region")</f>
        <v>0</v>
      </c>
      <c r="H33" s="107">
        <f>SUMIFS('caseload data'!I:I,'caseload data'!$D:$D,"TPO",'caseload data'!$A:$A,"North East Region")</f>
        <v>0</v>
      </c>
      <c r="I33" s="107">
        <f>SUMIFS('caseload data'!J:J,'caseload data'!$D:$D,"TPO",'caseload data'!$A:$A,"North East Region")</f>
        <v>0</v>
      </c>
      <c r="J33" s="107">
        <f>SUMIFS('caseload data'!K:K,'caseload data'!$D:$D,"TPO",'caseload data'!$A:$A,"North East Region")</f>
        <v>0</v>
      </c>
      <c r="K33" s="107">
        <f>SUMIFS('caseload data'!L:L,'caseload data'!$D:$D,"TPO",'caseload data'!$A:$A,"North East Region")</f>
        <v>0</v>
      </c>
      <c r="L33" s="107">
        <f>SUMIFS('caseload data'!M:M,'caseload data'!$D:$D,"TPO",'caseload data'!$A:$A,"North East Region")</f>
        <v>0</v>
      </c>
      <c r="M33" s="107">
        <f>SUMIFS('caseload data'!N:N,'caseload data'!$D:$D,"TPO",'caseload data'!$A:$A,"North East Region")</f>
        <v>0</v>
      </c>
      <c r="N33" s="107">
        <f>SUMIFS('caseload data'!O:O,'caseload data'!$D:$D,"TPO",'caseload data'!$A:$A,"North East Region")</f>
        <v>0</v>
      </c>
      <c r="O33" s="107">
        <f>SUMIFS('caseload data'!P:P,'caseload data'!$D:$D,"TPO",'caseload data'!$A:$A,"North East Region")</f>
        <v>0</v>
      </c>
      <c r="P33" s="107">
        <f>SUMIFS('caseload data'!Q:Q,'caseload data'!$D:$D,"TPO",'caseload data'!$A:$A,"North East Region")</f>
        <v>0</v>
      </c>
      <c r="Q33" s="107">
        <f>SUMIFS('caseload data'!R:R,'caseload data'!$D:$D,"TPO",'caseload data'!$A:$A,"North East Region")</f>
        <v>0</v>
      </c>
      <c r="R33" s="107">
        <f>SUMIFS('caseload data'!S:S,'caseload data'!$D:$D,"TPO",'caseload data'!$A:$A,"North East Region")</f>
        <v>0</v>
      </c>
      <c r="S33" s="107">
        <f>SUMIFS('caseload data'!T:T,'caseload data'!$D:$D,"TPO",'caseload data'!$A:$A,"North East Region")</f>
        <v>0</v>
      </c>
      <c r="T33" s="107">
        <f>SUMIFS('caseload data'!V:V,'caseload data'!$D:$D,"TPO",'caseload data'!$A:$A,"North East Region")</f>
        <v>0</v>
      </c>
      <c r="U33" s="76"/>
      <c r="V33" s="76"/>
      <c r="W33" s="304"/>
      <c r="X33" s="142" t="s">
        <v>1039</v>
      </c>
      <c r="Y33" s="187" t="e">
        <f>SUM(D33)/SUM(D$31:D$34)</f>
        <v>#DIV/0!</v>
      </c>
      <c r="Z33" s="187" t="e">
        <f t="shared" si="5"/>
        <v>#DIV/0!</v>
      </c>
      <c r="AA33" s="187" t="e">
        <f t="shared" si="5"/>
        <v>#DIV/0!</v>
      </c>
      <c r="AB33" s="187" t="e">
        <f t="shared" si="5"/>
        <v>#DIV/0!</v>
      </c>
      <c r="AC33" s="187" t="e">
        <f t="shared" si="5"/>
        <v>#DIV/0!</v>
      </c>
      <c r="AD33" s="187" t="e">
        <f t="shared" si="5"/>
        <v>#DIV/0!</v>
      </c>
      <c r="AE33" s="187" t="e">
        <f t="shared" si="5"/>
        <v>#DIV/0!</v>
      </c>
      <c r="AF33" s="187" t="e">
        <f t="shared" si="5"/>
        <v>#DIV/0!</v>
      </c>
      <c r="AG33" s="187" t="e">
        <f t="shared" si="5"/>
        <v>#DIV/0!</v>
      </c>
      <c r="AH33" s="187" t="e">
        <f t="shared" si="5"/>
        <v>#DIV/0!</v>
      </c>
      <c r="AI33" s="187" t="e">
        <f t="shared" si="5"/>
        <v>#DIV/0!</v>
      </c>
      <c r="AJ33" s="187" t="e">
        <f t="shared" si="5"/>
        <v>#DIV/0!</v>
      </c>
      <c r="AK33" s="187" t="e">
        <f t="shared" si="5"/>
        <v>#DIV/0!</v>
      </c>
      <c r="AL33" s="187" t="e">
        <f t="shared" si="5"/>
        <v>#DIV/0!</v>
      </c>
      <c r="AM33" s="187" t="e">
        <f t="shared" si="5"/>
        <v>#DIV/0!</v>
      </c>
      <c r="AN33" s="187" t="e">
        <f t="shared" si="5"/>
        <v>#DIV/0!</v>
      </c>
    </row>
    <row r="34" spans="2:40" x14ac:dyDescent="0.15">
      <c r="B34" s="309"/>
      <c r="C34" s="143" t="s">
        <v>1040</v>
      </c>
      <c r="D34" s="107">
        <f>SUMIFS('caseload data'!E:E,'caseload data'!$D:$D,"SPO",'caseload data'!$A:$A,"North East Region")</f>
        <v>0</v>
      </c>
      <c r="E34" s="107">
        <f>SUMIFS('caseload data'!F:F,'caseload data'!$D:$D,"SPO",'caseload data'!$A:$A,"North East Region")</f>
        <v>0</v>
      </c>
      <c r="F34" s="107">
        <f>SUMIFS('caseload data'!G:G,'caseload data'!$D:$D,"SPO",'caseload data'!$A:$A,"North East Region")</f>
        <v>0</v>
      </c>
      <c r="G34" s="107">
        <f>SUMIFS('caseload data'!H:H,'caseload data'!$D:$D,"SPO",'caseload data'!$A:$A,"North East Region")</f>
        <v>0</v>
      </c>
      <c r="H34" s="107">
        <f>SUMIFS('caseload data'!I:I,'caseload data'!$D:$D,"SPO",'caseload data'!$A:$A,"North East Region")</f>
        <v>0</v>
      </c>
      <c r="I34" s="107">
        <f>SUMIFS('caseload data'!J:J,'caseload data'!$D:$D,"SPO",'caseload data'!$A:$A,"North East Region")</f>
        <v>0</v>
      </c>
      <c r="J34" s="107">
        <f>SUMIFS('caseload data'!K:K,'caseload data'!$D:$D,"SPO",'caseload data'!$A:$A,"North East Region")</f>
        <v>0</v>
      </c>
      <c r="K34" s="107">
        <f>SUMIFS('caseload data'!L:L,'caseload data'!$D:$D,"SPO",'caseload data'!$A:$A,"North East Region")</f>
        <v>0</v>
      </c>
      <c r="L34" s="107">
        <f>SUMIFS('caseload data'!M:M,'caseload data'!$D:$D,"SPO",'caseload data'!$A:$A,"North East Region")</f>
        <v>0</v>
      </c>
      <c r="M34" s="107">
        <f>SUMIFS('caseload data'!N:N,'caseload data'!$D:$D,"SPO",'caseload data'!$A:$A,"North East Region")</f>
        <v>0</v>
      </c>
      <c r="N34" s="107">
        <f>SUMIFS('caseload data'!O:O,'caseload data'!$D:$D,"SPO",'caseload data'!$A:$A,"North East Region")</f>
        <v>0</v>
      </c>
      <c r="O34" s="107">
        <f>SUMIFS('caseload data'!P:P,'caseload data'!$D:$D,"SPO",'caseload data'!$A:$A,"North East Region")</f>
        <v>0</v>
      </c>
      <c r="P34" s="107">
        <f>SUMIFS('caseload data'!Q:Q,'caseload data'!$D:$D,"SPO",'caseload data'!$A:$A,"North East Region")</f>
        <v>0</v>
      </c>
      <c r="Q34" s="107">
        <f>SUMIFS('caseload data'!R:R,'caseload data'!$D:$D,"SPO",'caseload data'!$A:$A,"North East Region")</f>
        <v>0</v>
      </c>
      <c r="R34" s="107">
        <f>SUMIFS('caseload data'!S:S,'caseload data'!$D:$D,"SPO",'caseload data'!$A:$A,"North East Region")</f>
        <v>0</v>
      </c>
      <c r="S34" s="107">
        <f>SUMIFS('caseload data'!T:T,'caseload data'!$D:$D,"SPO",'caseload data'!$A:$A,"North East Region")</f>
        <v>0</v>
      </c>
      <c r="T34" s="107">
        <f>SUMIFS('caseload data'!V:V,'caseload data'!$D:$D,"SPO",'caseload data'!$A:$A,"North East Region")</f>
        <v>0</v>
      </c>
      <c r="U34" s="76"/>
      <c r="V34" s="76"/>
      <c r="W34" s="309"/>
      <c r="X34" s="143" t="s">
        <v>1040</v>
      </c>
      <c r="Y34" s="187" t="e">
        <f>SUM(D34)/SUM(D$31:D$34)</f>
        <v>#DIV/0!</v>
      </c>
      <c r="Z34" s="187" t="e">
        <f t="shared" si="5"/>
        <v>#DIV/0!</v>
      </c>
      <c r="AA34" s="187" t="e">
        <f t="shared" si="5"/>
        <v>#DIV/0!</v>
      </c>
      <c r="AB34" s="187" t="e">
        <f t="shared" si="5"/>
        <v>#DIV/0!</v>
      </c>
      <c r="AC34" s="187" t="e">
        <f t="shared" si="5"/>
        <v>#DIV/0!</v>
      </c>
      <c r="AD34" s="187" t="e">
        <f t="shared" si="5"/>
        <v>#DIV/0!</v>
      </c>
      <c r="AE34" s="187" t="e">
        <f t="shared" si="5"/>
        <v>#DIV/0!</v>
      </c>
      <c r="AF34" s="187" t="e">
        <f t="shared" si="5"/>
        <v>#DIV/0!</v>
      </c>
      <c r="AG34" s="187" t="e">
        <f t="shared" si="5"/>
        <v>#DIV/0!</v>
      </c>
      <c r="AH34" s="187" t="e">
        <f t="shared" si="5"/>
        <v>#DIV/0!</v>
      </c>
      <c r="AI34" s="187" t="e">
        <f t="shared" si="5"/>
        <v>#DIV/0!</v>
      </c>
      <c r="AJ34" s="187" t="e">
        <f t="shared" si="5"/>
        <v>#DIV/0!</v>
      </c>
      <c r="AK34" s="187" t="e">
        <f t="shared" si="5"/>
        <v>#DIV/0!</v>
      </c>
      <c r="AL34" s="187" t="e">
        <f t="shared" si="5"/>
        <v>#DIV/0!</v>
      </c>
      <c r="AM34" s="187" t="e">
        <f t="shared" si="5"/>
        <v>#DIV/0!</v>
      </c>
      <c r="AN34" s="187" t="e">
        <f t="shared" si="5"/>
        <v>#DIV/0!</v>
      </c>
    </row>
    <row r="35" spans="2:40" x14ac:dyDescent="0.15">
      <c r="B35" s="303" t="s">
        <v>24</v>
      </c>
      <c r="C35" s="141" t="s">
        <v>1037</v>
      </c>
      <c r="D35" s="107">
        <f>SUMIFS('caseload data'!E:E,'caseload data'!$D:$D,"PO",'caseload data'!$A:$A,$B$35)</f>
        <v>0</v>
      </c>
      <c r="E35" s="107">
        <f>SUMIFS('caseload data'!F:F,'caseload data'!$D:$D,"PO",'caseload data'!$A:$A,$B$35)</f>
        <v>0</v>
      </c>
      <c r="F35" s="107">
        <f>SUMIFS('caseload data'!G:G,'caseload data'!$D:$D,"PO",'caseload data'!$A:$A,$B$35)</f>
        <v>0</v>
      </c>
      <c r="G35" s="107">
        <f>SUMIFS('caseload data'!H:H,'caseload data'!$D:$D,"PO",'caseload data'!$A:$A,$B$35)</f>
        <v>0</v>
      </c>
      <c r="H35" s="107">
        <f>SUMIFS('caseload data'!I:I,'caseload data'!$D:$D,"PO",'caseload data'!$A:$A,$B$35)</f>
        <v>0</v>
      </c>
      <c r="I35" s="107">
        <f>SUMIFS('caseload data'!J:J,'caseload data'!$D:$D,"PO",'caseload data'!$A:$A,$B$35)</f>
        <v>0</v>
      </c>
      <c r="J35" s="107">
        <f>SUMIFS('caseload data'!K:K,'caseload data'!$D:$D,"PO",'caseload data'!$A:$A,$B$35)</f>
        <v>0</v>
      </c>
      <c r="K35" s="107">
        <f>SUMIFS('caseload data'!L:L,'caseload data'!$D:$D,"PO",'caseload data'!$A:$A,$B$35)</f>
        <v>0</v>
      </c>
      <c r="L35" s="107">
        <f>SUMIFS('caseload data'!M:M,'caseload data'!$D:$D,"PO",'caseload data'!$A:$A,$B$35)</f>
        <v>0</v>
      </c>
      <c r="M35" s="107">
        <f>SUMIFS('caseload data'!N:N,'caseload data'!$D:$D,"PO",'caseload data'!$A:$A,$B$35)</f>
        <v>0</v>
      </c>
      <c r="N35" s="107">
        <f>SUMIFS('caseload data'!O:O,'caseload data'!$D:$D,"PO",'caseload data'!$A:$A,$B$35)</f>
        <v>0</v>
      </c>
      <c r="O35" s="107">
        <f>SUMIFS('caseload data'!P:P,'caseload data'!$D:$D,"PO",'caseload data'!$A:$A,$B$35)</f>
        <v>0</v>
      </c>
      <c r="P35" s="107">
        <f>SUMIFS('caseload data'!Q:Q,'caseload data'!$D:$D,"PO",'caseload data'!$A:$A,$B$35)</f>
        <v>0</v>
      </c>
      <c r="Q35" s="107">
        <f>SUMIFS('caseload data'!R:R,'caseload data'!$D:$D,"PO",'caseload data'!$A:$A,$B$35)</f>
        <v>0</v>
      </c>
      <c r="R35" s="107">
        <f>SUMIFS('caseload data'!S:S,'caseload data'!$D:$D,"PO",'caseload data'!$A:$A,$B$35)</f>
        <v>0</v>
      </c>
      <c r="S35" s="107">
        <f>SUMIFS('caseload data'!T:T,'caseload data'!$D:$D,"PO",'caseload data'!$A:$A,$B$35)</f>
        <v>0</v>
      </c>
      <c r="T35" s="107">
        <f>SUMIFS('caseload data'!V:V,'caseload data'!$D:$D,"PO",'caseload data'!$A:$A,B35)</f>
        <v>0</v>
      </c>
      <c r="U35" s="76"/>
      <c r="V35" s="76"/>
      <c r="W35" s="303" t="s">
        <v>24</v>
      </c>
      <c r="X35" s="141" t="s">
        <v>1037</v>
      </c>
      <c r="Y35" s="187" t="e">
        <f>SUM(D35)/SUM(D$35:D$38)</f>
        <v>#DIV/0!</v>
      </c>
      <c r="Z35" s="187" t="e">
        <f t="shared" ref="Z35:AN38" si="6">SUM(E35)/SUM(E$35:E$38)</f>
        <v>#DIV/0!</v>
      </c>
      <c r="AA35" s="187" t="e">
        <f t="shared" si="6"/>
        <v>#DIV/0!</v>
      </c>
      <c r="AB35" s="187" t="e">
        <f t="shared" si="6"/>
        <v>#DIV/0!</v>
      </c>
      <c r="AC35" s="187" t="e">
        <f t="shared" si="6"/>
        <v>#DIV/0!</v>
      </c>
      <c r="AD35" s="187" t="e">
        <f t="shared" si="6"/>
        <v>#DIV/0!</v>
      </c>
      <c r="AE35" s="187" t="e">
        <f t="shared" si="6"/>
        <v>#DIV/0!</v>
      </c>
      <c r="AF35" s="187" t="e">
        <f t="shared" si="6"/>
        <v>#DIV/0!</v>
      </c>
      <c r="AG35" s="187" t="e">
        <f t="shared" si="6"/>
        <v>#DIV/0!</v>
      </c>
      <c r="AH35" s="187" t="e">
        <f t="shared" si="6"/>
        <v>#DIV/0!</v>
      </c>
      <c r="AI35" s="187" t="e">
        <f t="shared" si="6"/>
        <v>#DIV/0!</v>
      </c>
      <c r="AJ35" s="187" t="e">
        <f t="shared" si="6"/>
        <v>#DIV/0!</v>
      </c>
      <c r="AK35" s="187" t="e">
        <f t="shared" si="6"/>
        <v>#DIV/0!</v>
      </c>
      <c r="AL35" s="187" t="e">
        <f t="shared" si="6"/>
        <v>#DIV/0!</v>
      </c>
      <c r="AM35" s="187" t="e">
        <f t="shared" si="6"/>
        <v>#DIV/0!</v>
      </c>
      <c r="AN35" s="187" t="e">
        <f t="shared" si="6"/>
        <v>#DIV/0!</v>
      </c>
    </row>
    <row r="36" spans="2:40" x14ac:dyDescent="0.15">
      <c r="B36" s="304"/>
      <c r="C36" s="142" t="s">
        <v>1038</v>
      </c>
      <c r="D36" s="107">
        <f>SUMIFS('caseload data'!E:E,'caseload data'!$D:$D,"PSO",'caseload data'!$A:$A,"NPS North West Region")</f>
        <v>0</v>
      </c>
      <c r="E36" s="107">
        <f>SUMIFS('caseload data'!F:F,'caseload data'!$D:$D,"PSO",'caseload data'!$A:$A,"NPS North West Region")</f>
        <v>0</v>
      </c>
      <c r="F36" s="107">
        <f>SUMIFS('caseload data'!G:G,'caseload data'!$D:$D,"PSO",'caseload data'!$A:$A,"NPS North West Region")</f>
        <v>0</v>
      </c>
      <c r="G36" s="107">
        <f>SUMIFS('caseload data'!H:H,'caseload data'!$D:$D,"PSO",'caseload data'!$A:$A,"NPS North West Region")</f>
        <v>0</v>
      </c>
      <c r="H36" s="107">
        <f>SUMIFS('caseload data'!I:I,'caseload data'!$D:$D,"PSO",'caseload data'!$A:$A,"NPS North West Region")</f>
        <v>0</v>
      </c>
      <c r="I36" s="107">
        <f>SUMIFS('caseload data'!J:J,'caseload data'!$D:$D,"PSO",'caseload data'!$A:$A,"NPS North West Region")</f>
        <v>0</v>
      </c>
      <c r="J36" s="107">
        <f>SUMIFS('caseload data'!K:K,'caseload data'!$D:$D,"PSO",'caseload data'!$A:$A,"NPS North West Region")</f>
        <v>0</v>
      </c>
      <c r="K36" s="107">
        <f>SUMIFS('caseload data'!L:L,'caseload data'!$D:$D,"PSO",'caseload data'!$A:$A,"NPS North West Region")</f>
        <v>0</v>
      </c>
      <c r="L36" s="107">
        <f>SUMIFS('caseload data'!M:M,'caseload data'!$D:$D,"PSO",'caseload data'!$A:$A,"NPS North West Region")</f>
        <v>0</v>
      </c>
      <c r="M36" s="107">
        <f>SUMIFS('caseload data'!N:N,'caseload data'!$D:$D,"PSO",'caseload data'!$A:$A,"NPS North West Region")</f>
        <v>0</v>
      </c>
      <c r="N36" s="107">
        <f>SUMIFS('caseload data'!O:O,'caseload data'!$D:$D,"PSO",'caseload data'!$A:$A,"NPS North West Region")</f>
        <v>0</v>
      </c>
      <c r="O36" s="107">
        <f>SUMIFS('caseload data'!P:P,'caseload data'!$D:$D,"PSO",'caseload data'!$A:$A,"NPS North West Region")</f>
        <v>0</v>
      </c>
      <c r="P36" s="107">
        <f>SUMIFS('caseload data'!Q:Q,'caseload data'!$D:$D,"PSO",'caseload data'!$A:$A,"NPS North West Region")</f>
        <v>0</v>
      </c>
      <c r="Q36" s="107">
        <f>SUMIFS('caseload data'!R:R,'caseload data'!$D:$D,"PSO",'caseload data'!$A:$A,"NPS North West Region")</f>
        <v>0</v>
      </c>
      <c r="R36" s="107">
        <f>SUMIFS('caseload data'!S:S,'caseload data'!$D:$D,"PSO",'caseload data'!$A:$A,"NPS North West Region")</f>
        <v>0</v>
      </c>
      <c r="S36" s="107">
        <f>SUMIFS('caseload data'!T:T,'caseload data'!$D:$D,"PSO",'caseload data'!$A:$A,"NPS North West Region")</f>
        <v>0</v>
      </c>
      <c r="T36" s="107">
        <f>SUMIFS('caseload data'!V:V,'caseload data'!$D:$D,"PSO",'caseload data'!$A:$A,"NPS North West Region")</f>
        <v>0</v>
      </c>
      <c r="U36" s="76"/>
      <c r="V36" s="76"/>
      <c r="W36" s="304"/>
      <c r="X36" s="142" t="s">
        <v>1038</v>
      </c>
      <c r="Y36" s="187" t="e">
        <f>SUM(D36)/SUM(D$35:D$38)</f>
        <v>#DIV/0!</v>
      </c>
      <c r="Z36" s="187" t="e">
        <f t="shared" si="6"/>
        <v>#DIV/0!</v>
      </c>
      <c r="AA36" s="187" t="e">
        <f t="shared" si="6"/>
        <v>#DIV/0!</v>
      </c>
      <c r="AB36" s="187" t="e">
        <f t="shared" si="6"/>
        <v>#DIV/0!</v>
      </c>
      <c r="AC36" s="187" t="e">
        <f t="shared" si="6"/>
        <v>#DIV/0!</v>
      </c>
      <c r="AD36" s="187" t="e">
        <f t="shared" si="6"/>
        <v>#DIV/0!</v>
      </c>
      <c r="AE36" s="187" t="e">
        <f t="shared" si="6"/>
        <v>#DIV/0!</v>
      </c>
      <c r="AF36" s="187" t="e">
        <f t="shared" si="6"/>
        <v>#DIV/0!</v>
      </c>
      <c r="AG36" s="187" t="e">
        <f t="shared" si="6"/>
        <v>#DIV/0!</v>
      </c>
      <c r="AH36" s="187" t="e">
        <f t="shared" si="6"/>
        <v>#DIV/0!</v>
      </c>
      <c r="AI36" s="187" t="e">
        <f t="shared" si="6"/>
        <v>#DIV/0!</v>
      </c>
      <c r="AJ36" s="187" t="e">
        <f t="shared" si="6"/>
        <v>#DIV/0!</v>
      </c>
      <c r="AK36" s="187" t="e">
        <f t="shared" si="6"/>
        <v>#DIV/0!</v>
      </c>
      <c r="AL36" s="187" t="e">
        <f t="shared" si="6"/>
        <v>#DIV/0!</v>
      </c>
      <c r="AM36" s="187" t="e">
        <f t="shared" si="6"/>
        <v>#DIV/0!</v>
      </c>
      <c r="AN36" s="187" t="e">
        <f t="shared" si="6"/>
        <v>#DIV/0!</v>
      </c>
    </row>
    <row r="37" spans="2:40" x14ac:dyDescent="0.15">
      <c r="B37" s="304"/>
      <c r="C37" s="142" t="s">
        <v>1039</v>
      </c>
      <c r="D37" s="107">
        <f>SUMIFS('caseload data'!E:E,'caseload data'!$D:$D,"TPO",'caseload data'!$A:$A,"NPS North West Region")</f>
        <v>0</v>
      </c>
      <c r="E37" s="107">
        <f>SUMIFS('caseload data'!F:F,'caseload data'!$D:$D,"TPO",'caseload data'!$A:$A,"NPS North West Region")</f>
        <v>0</v>
      </c>
      <c r="F37" s="107">
        <f>SUMIFS('caseload data'!G:G,'caseload data'!$D:$D,"TPO",'caseload data'!$A:$A,"NPS North West Region")</f>
        <v>0</v>
      </c>
      <c r="G37" s="107">
        <f>SUMIFS('caseload data'!H:H,'caseload data'!$D:$D,"TPO",'caseload data'!$A:$A,"NPS North West Region")</f>
        <v>0</v>
      </c>
      <c r="H37" s="107">
        <f>SUMIFS('caseload data'!I:I,'caseload data'!$D:$D,"TPO",'caseload data'!$A:$A,"NPS North West Region")</f>
        <v>0</v>
      </c>
      <c r="I37" s="107">
        <f>SUMIFS('caseload data'!J:J,'caseload data'!$D:$D,"TPO",'caseload data'!$A:$A,"NPS North West Region")</f>
        <v>0</v>
      </c>
      <c r="J37" s="107">
        <f>SUMIFS('caseload data'!K:K,'caseload data'!$D:$D,"TPO",'caseload data'!$A:$A,"NPS North West Region")</f>
        <v>0</v>
      </c>
      <c r="K37" s="107">
        <f>SUMIFS('caseload data'!L:L,'caseload data'!$D:$D,"TPO",'caseload data'!$A:$A,"NPS North West Region")</f>
        <v>0</v>
      </c>
      <c r="L37" s="107">
        <f>SUMIFS('caseload data'!M:M,'caseload data'!$D:$D,"TPO",'caseload data'!$A:$A,"NPS North West Region")</f>
        <v>0</v>
      </c>
      <c r="M37" s="107">
        <f>SUMIFS('caseload data'!N:N,'caseload data'!$D:$D,"TPO",'caseload data'!$A:$A,"NPS North West Region")</f>
        <v>0</v>
      </c>
      <c r="N37" s="107">
        <f>SUMIFS('caseload data'!O:O,'caseload data'!$D:$D,"TPO",'caseload data'!$A:$A,"NPS North West Region")</f>
        <v>0</v>
      </c>
      <c r="O37" s="107">
        <f>SUMIFS('caseload data'!P:P,'caseload data'!$D:$D,"TPO",'caseload data'!$A:$A,"NPS North West Region")</f>
        <v>0</v>
      </c>
      <c r="P37" s="107">
        <f>SUMIFS('caseload data'!Q:Q,'caseload data'!$D:$D,"TPO",'caseload data'!$A:$A,"NPS North West Region")</f>
        <v>0</v>
      </c>
      <c r="Q37" s="107">
        <f>SUMIFS('caseload data'!R:R,'caseload data'!$D:$D,"TPO",'caseload data'!$A:$A,"NPS North West Region")</f>
        <v>0</v>
      </c>
      <c r="R37" s="107">
        <f>SUMIFS('caseload data'!S:S,'caseload data'!$D:$D,"TPO",'caseload data'!$A:$A,"NPS North West Region")</f>
        <v>0</v>
      </c>
      <c r="S37" s="107">
        <f>SUMIFS('caseload data'!T:T,'caseload data'!$D:$D,"TPO",'caseload data'!$A:$A,"NPS North West Region")</f>
        <v>0</v>
      </c>
      <c r="T37" s="107">
        <f>SUMIFS('caseload data'!V:V,'caseload data'!$D:$D,"TPO",'caseload data'!$A:$A,"NPS North West Region")</f>
        <v>0</v>
      </c>
      <c r="U37" s="76"/>
      <c r="V37" s="76"/>
      <c r="W37" s="304"/>
      <c r="X37" s="142" t="s">
        <v>1039</v>
      </c>
      <c r="Y37" s="187" t="e">
        <f>SUM(D37)/SUM(D$35:D$38)</f>
        <v>#DIV/0!</v>
      </c>
      <c r="Z37" s="187" t="e">
        <f t="shared" si="6"/>
        <v>#DIV/0!</v>
      </c>
      <c r="AA37" s="187" t="e">
        <f t="shared" si="6"/>
        <v>#DIV/0!</v>
      </c>
      <c r="AB37" s="187" t="e">
        <f t="shared" si="6"/>
        <v>#DIV/0!</v>
      </c>
      <c r="AC37" s="187" t="e">
        <f t="shared" si="6"/>
        <v>#DIV/0!</v>
      </c>
      <c r="AD37" s="187" t="e">
        <f t="shared" si="6"/>
        <v>#DIV/0!</v>
      </c>
      <c r="AE37" s="187" t="e">
        <f t="shared" si="6"/>
        <v>#DIV/0!</v>
      </c>
      <c r="AF37" s="187" t="e">
        <f t="shared" si="6"/>
        <v>#DIV/0!</v>
      </c>
      <c r="AG37" s="187" t="e">
        <f t="shared" si="6"/>
        <v>#DIV/0!</v>
      </c>
      <c r="AH37" s="187" t="e">
        <f t="shared" si="6"/>
        <v>#DIV/0!</v>
      </c>
      <c r="AI37" s="187" t="e">
        <f t="shared" si="6"/>
        <v>#DIV/0!</v>
      </c>
      <c r="AJ37" s="187" t="e">
        <f t="shared" si="6"/>
        <v>#DIV/0!</v>
      </c>
      <c r="AK37" s="187" t="e">
        <f t="shared" si="6"/>
        <v>#DIV/0!</v>
      </c>
      <c r="AL37" s="187" t="e">
        <f t="shared" si="6"/>
        <v>#DIV/0!</v>
      </c>
      <c r="AM37" s="187" t="e">
        <f t="shared" si="6"/>
        <v>#DIV/0!</v>
      </c>
      <c r="AN37" s="187" t="e">
        <f t="shared" si="6"/>
        <v>#DIV/0!</v>
      </c>
    </row>
    <row r="38" spans="2:40" x14ac:dyDescent="0.15">
      <c r="B38" s="309"/>
      <c r="C38" s="143" t="s">
        <v>1040</v>
      </c>
      <c r="D38" s="107">
        <f>SUMIFS('caseload data'!E:E,'caseload data'!$D:$D,"SPO",'caseload data'!$A:$A,"NPS North West Region")</f>
        <v>0</v>
      </c>
      <c r="E38" s="107">
        <f>SUMIFS('caseload data'!F:F,'caseload data'!$D:$D,"SPO",'caseload data'!$A:$A,"NPS North West Region")</f>
        <v>0</v>
      </c>
      <c r="F38" s="107">
        <f>SUMIFS('caseload data'!G:G,'caseload data'!$D:$D,"SPO",'caseload data'!$A:$A,"NPS North West Region")</f>
        <v>0</v>
      </c>
      <c r="G38" s="107">
        <f>SUMIFS('caseload data'!H:H,'caseload data'!$D:$D,"SPO",'caseload data'!$A:$A,"NPS North West Region")</f>
        <v>0</v>
      </c>
      <c r="H38" s="107">
        <f>SUMIFS('caseload data'!I:I,'caseload data'!$D:$D,"SPO",'caseload data'!$A:$A,"NPS North West Region")</f>
        <v>0</v>
      </c>
      <c r="I38" s="107">
        <f>SUMIFS('caseload data'!J:J,'caseload data'!$D:$D,"SPO",'caseload data'!$A:$A,"NPS North West Region")</f>
        <v>0</v>
      </c>
      <c r="J38" s="107">
        <f>SUMIFS('caseload data'!K:K,'caseload data'!$D:$D,"SPO",'caseload data'!$A:$A,"NPS North West Region")</f>
        <v>0</v>
      </c>
      <c r="K38" s="107">
        <f>SUMIFS('caseload data'!L:L,'caseload data'!$D:$D,"SPO",'caseload data'!$A:$A,"NPS North West Region")</f>
        <v>0</v>
      </c>
      <c r="L38" s="107">
        <f>SUMIFS('caseload data'!M:M,'caseload data'!$D:$D,"SPO",'caseload data'!$A:$A,"NPS North West Region")</f>
        <v>0</v>
      </c>
      <c r="M38" s="107">
        <f>SUMIFS('caseload data'!N:N,'caseload data'!$D:$D,"SPO",'caseload data'!$A:$A,"NPS North West Region")</f>
        <v>0</v>
      </c>
      <c r="N38" s="107">
        <f>SUMIFS('caseload data'!O:O,'caseload data'!$D:$D,"SPO",'caseload data'!$A:$A,"NPS North West Region")</f>
        <v>0</v>
      </c>
      <c r="O38" s="107">
        <f>SUMIFS('caseload data'!P:P,'caseload data'!$D:$D,"SPO",'caseload data'!$A:$A,"NPS North West Region")</f>
        <v>0</v>
      </c>
      <c r="P38" s="107">
        <f>SUMIFS('caseload data'!Q:Q,'caseload data'!$D:$D,"SPO",'caseload data'!$A:$A,"NPS North West Region")</f>
        <v>0</v>
      </c>
      <c r="Q38" s="107">
        <f>SUMIFS('caseload data'!R:R,'caseload data'!$D:$D,"SPO",'caseload data'!$A:$A,"NPS North West Region")</f>
        <v>0</v>
      </c>
      <c r="R38" s="107">
        <f>SUMIFS('caseload data'!S:S,'caseload data'!$D:$D,"SPO",'caseload data'!$A:$A,"NPS North West Region")</f>
        <v>0</v>
      </c>
      <c r="S38" s="107">
        <f>SUMIFS('caseload data'!T:T,'caseload data'!$D:$D,"SPO",'caseload data'!$A:$A,"NPS North West Region")</f>
        <v>0</v>
      </c>
      <c r="T38" s="107">
        <f>SUMIFS('caseload data'!V:V,'caseload data'!$D:$D,"SPO",'caseload data'!$A:$A,"NPS North West Region")</f>
        <v>0</v>
      </c>
      <c r="U38" s="76"/>
      <c r="V38" s="76"/>
      <c r="W38" s="309"/>
      <c r="X38" s="143" t="s">
        <v>1040</v>
      </c>
      <c r="Y38" s="187" t="e">
        <f>SUM(D38)/SUM(D$35:D$38)</f>
        <v>#DIV/0!</v>
      </c>
      <c r="Z38" s="187" t="e">
        <f t="shared" si="6"/>
        <v>#DIV/0!</v>
      </c>
      <c r="AA38" s="187" t="e">
        <f t="shared" si="6"/>
        <v>#DIV/0!</v>
      </c>
      <c r="AB38" s="187" t="e">
        <f t="shared" si="6"/>
        <v>#DIV/0!</v>
      </c>
      <c r="AC38" s="187" t="e">
        <f t="shared" si="6"/>
        <v>#DIV/0!</v>
      </c>
      <c r="AD38" s="187" t="e">
        <f t="shared" si="6"/>
        <v>#DIV/0!</v>
      </c>
      <c r="AE38" s="187" t="e">
        <f t="shared" si="6"/>
        <v>#DIV/0!</v>
      </c>
      <c r="AF38" s="187" t="e">
        <f t="shared" si="6"/>
        <v>#DIV/0!</v>
      </c>
      <c r="AG38" s="187" t="e">
        <f t="shared" si="6"/>
        <v>#DIV/0!</v>
      </c>
      <c r="AH38" s="187" t="e">
        <f t="shared" si="6"/>
        <v>#DIV/0!</v>
      </c>
      <c r="AI38" s="187" t="e">
        <f t="shared" si="6"/>
        <v>#DIV/0!</v>
      </c>
      <c r="AJ38" s="187" t="e">
        <f t="shared" si="6"/>
        <v>#DIV/0!</v>
      </c>
      <c r="AK38" s="187" t="e">
        <f t="shared" si="6"/>
        <v>#DIV/0!</v>
      </c>
      <c r="AL38" s="187" t="e">
        <f t="shared" si="6"/>
        <v>#DIV/0!</v>
      </c>
      <c r="AM38" s="187" t="e">
        <f t="shared" si="6"/>
        <v>#DIV/0!</v>
      </c>
      <c r="AN38" s="187" t="e">
        <f t="shared" si="6"/>
        <v>#DIV/0!</v>
      </c>
    </row>
    <row r="39" spans="2:40" x14ac:dyDescent="0.15">
      <c r="B39" s="303" t="s">
        <v>25</v>
      </c>
      <c r="C39" s="141" t="s">
        <v>1037</v>
      </c>
      <c r="D39" s="107">
        <f>SUMIFS('caseload data'!E:E,'caseload data'!$D:$D,"PO",'caseload data'!$A:$A,$B$39)</f>
        <v>0</v>
      </c>
      <c r="E39" s="107">
        <f>SUMIFS('caseload data'!F:F,'caseload data'!$D:$D,"PO",'caseload data'!$A:$A,$B$39)</f>
        <v>0</v>
      </c>
      <c r="F39" s="107">
        <f>SUMIFS('caseload data'!G:G,'caseload data'!$D:$D,"PO",'caseload data'!$A:$A,$B$39)</f>
        <v>0</v>
      </c>
      <c r="G39" s="107">
        <f>SUMIFS('caseload data'!H:H,'caseload data'!$D:$D,"PO",'caseload data'!$A:$A,$B$39)</f>
        <v>0</v>
      </c>
      <c r="H39" s="107">
        <f>SUMIFS('caseload data'!I:I,'caseload data'!$D:$D,"PO",'caseload data'!$A:$A,$B$39)</f>
        <v>0</v>
      </c>
      <c r="I39" s="107">
        <f>SUMIFS('caseload data'!J:J,'caseload data'!$D:$D,"PO",'caseload data'!$A:$A,$B$39)</f>
        <v>0</v>
      </c>
      <c r="J39" s="107">
        <f>SUMIFS('caseload data'!K:K,'caseload data'!$D:$D,"PO",'caseload data'!$A:$A,$B$39)</f>
        <v>0</v>
      </c>
      <c r="K39" s="107">
        <f>SUMIFS('caseload data'!L:L,'caseload data'!$D:$D,"PO",'caseload data'!$A:$A,$B$39)</f>
        <v>0</v>
      </c>
      <c r="L39" s="107">
        <f>SUMIFS('caseload data'!M:M,'caseload data'!$D:$D,"PO",'caseload data'!$A:$A,$B$39)</f>
        <v>0</v>
      </c>
      <c r="M39" s="107">
        <f>SUMIFS('caseload data'!N:N,'caseload data'!$D:$D,"PO",'caseload data'!$A:$A,$B$39)</f>
        <v>0</v>
      </c>
      <c r="N39" s="107">
        <f>SUMIFS('caseload data'!O:O,'caseload data'!$D:$D,"PO",'caseload data'!$A:$A,$B$39)</f>
        <v>0</v>
      </c>
      <c r="O39" s="107">
        <f>SUMIFS('caseload data'!P:P,'caseload data'!$D:$D,"PO",'caseload data'!$A:$A,$B$39)</f>
        <v>0</v>
      </c>
      <c r="P39" s="107">
        <f>SUMIFS('caseload data'!Q:Q,'caseload data'!$D:$D,"PO",'caseload data'!$A:$A,$B$39)</f>
        <v>0</v>
      </c>
      <c r="Q39" s="107">
        <f>SUMIFS('caseload data'!R:R,'caseload data'!$D:$D,"PO",'caseload data'!$A:$A,$B$39)</f>
        <v>0</v>
      </c>
      <c r="R39" s="107">
        <f>SUMIFS('caseload data'!S:S,'caseload data'!$D:$D,"PO",'caseload data'!$A:$A,$B$39)</f>
        <v>0</v>
      </c>
      <c r="S39" s="107">
        <f>SUMIFS('caseload data'!T:T,'caseload data'!$D:$D,"PO",'caseload data'!$A:$A,$B$39)</f>
        <v>0</v>
      </c>
      <c r="T39" s="107">
        <f>SUMIFS('caseload data'!V:V,'caseload data'!$D:$D,"PO",'caseload data'!$A:$A,B39)</f>
        <v>0</v>
      </c>
      <c r="U39" s="76"/>
      <c r="V39" s="76"/>
      <c r="W39" s="303" t="s">
        <v>25</v>
      </c>
      <c r="X39" s="141" t="s">
        <v>1037</v>
      </c>
      <c r="Y39" s="187" t="e">
        <f>SUM(D39)/SUM(D$39:D$42)</f>
        <v>#DIV/0!</v>
      </c>
      <c r="Z39" s="187" t="e">
        <f t="shared" ref="Z39:AN42" si="7">SUM(E39)/SUM(E$39:E$42)</f>
        <v>#DIV/0!</v>
      </c>
      <c r="AA39" s="187" t="e">
        <f t="shared" si="7"/>
        <v>#DIV/0!</v>
      </c>
      <c r="AB39" s="187" t="e">
        <f t="shared" si="7"/>
        <v>#DIV/0!</v>
      </c>
      <c r="AC39" s="187" t="e">
        <f t="shared" si="7"/>
        <v>#DIV/0!</v>
      </c>
      <c r="AD39" s="187" t="e">
        <f t="shared" si="7"/>
        <v>#DIV/0!</v>
      </c>
      <c r="AE39" s="187" t="e">
        <f t="shared" si="7"/>
        <v>#DIV/0!</v>
      </c>
      <c r="AF39" s="187" t="e">
        <f t="shared" si="7"/>
        <v>#DIV/0!</v>
      </c>
      <c r="AG39" s="187" t="e">
        <f t="shared" si="7"/>
        <v>#DIV/0!</v>
      </c>
      <c r="AH39" s="187" t="e">
        <f t="shared" si="7"/>
        <v>#DIV/0!</v>
      </c>
      <c r="AI39" s="187" t="e">
        <f t="shared" si="7"/>
        <v>#DIV/0!</v>
      </c>
      <c r="AJ39" s="187" t="e">
        <f t="shared" si="7"/>
        <v>#DIV/0!</v>
      </c>
      <c r="AK39" s="187" t="e">
        <f t="shared" si="7"/>
        <v>#DIV/0!</v>
      </c>
      <c r="AL39" s="187" t="e">
        <f t="shared" si="7"/>
        <v>#DIV/0!</v>
      </c>
      <c r="AM39" s="187" t="e">
        <f t="shared" si="7"/>
        <v>#DIV/0!</v>
      </c>
      <c r="AN39" s="187" t="e">
        <f t="shared" si="7"/>
        <v>#DIV/0!</v>
      </c>
    </row>
    <row r="40" spans="2:40" x14ac:dyDescent="0.15">
      <c r="B40" s="304"/>
      <c r="C40" s="142" t="s">
        <v>1038</v>
      </c>
      <c r="D40" s="107">
        <f>SUMIFS('caseload data'!E:E,'caseload data'!$D:$D,"PSO",'caseload data'!$A:$A,"South Central")</f>
        <v>0</v>
      </c>
      <c r="E40" s="107">
        <f>SUMIFS('caseload data'!F:F,'caseload data'!$D:$D,"PSO",'caseload data'!$A:$A,"South Central")</f>
        <v>0</v>
      </c>
      <c r="F40" s="107">
        <f>SUMIFS('caseload data'!G:G,'caseload data'!$D:$D,"PSO",'caseload data'!$A:$A,"South Central")</f>
        <v>0</v>
      </c>
      <c r="G40" s="107">
        <f>SUMIFS('caseload data'!H:H,'caseload data'!$D:$D,"PSO",'caseload data'!$A:$A,"South Central")</f>
        <v>0</v>
      </c>
      <c r="H40" s="107">
        <f>SUMIFS('caseload data'!I:I,'caseload data'!$D:$D,"PSO",'caseload data'!$A:$A,"South Central")</f>
        <v>0</v>
      </c>
      <c r="I40" s="107">
        <f>SUMIFS('caseload data'!J:J,'caseload data'!$D:$D,"PSO",'caseload data'!$A:$A,"South Central")</f>
        <v>0</v>
      </c>
      <c r="J40" s="107">
        <f>SUMIFS('caseload data'!K:K,'caseload data'!$D:$D,"PSO",'caseload data'!$A:$A,"South Central")</f>
        <v>0</v>
      </c>
      <c r="K40" s="107">
        <f>SUMIFS('caseload data'!L:L,'caseload data'!$D:$D,"PSO",'caseload data'!$A:$A,"South Central")</f>
        <v>0</v>
      </c>
      <c r="L40" s="107">
        <f>SUMIFS('caseload data'!M:M,'caseload data'!$D:$D,"PSO",'caseload data'!$A:$A,"South Central")</f>
        <v>0</v>
      </c>
      <c r="M40" s="107">
        <f>SUMIFS('caseload data'!N:N,'caseload data'!$D:$D,"PSO",'caseload data'!$A:$A,"South Central")</f>
        <v>0</v>
      </c>
      <c r="N40" s="107">
        <f>SUMIFS('caseload data'!O:O,'caseload data'!$D:$D,"PSO",'caseload data'!$A:$A,"South Central")</f>
        <v>0</v>
      </c>
      <c r="O40" s="107">
        <f>SUMIFS('caseload data'!P:P,'caseload data'!$D:$D,"PSO",'caseload data'!$A:$A,"South Central")</f>
        <v>0</v>
      </c>
      <c r="P40" s="107">
        <f>SUMIFS('caseload data'!Q:Q,'caseload data'!$D:$D,"PSO",'caseload data'!$A:$A,"South Central")</f>
        <v>0</v>
      </c>
      <c r="Q40" s="107">
        <f>SUMIFS('caseload data'!R:R,'caseload data'!$D:$D,"PSO",'caseload data'!$A:$A,"South Central")</f>
        <v>0</v>
      </c>
      <c r="R40" s="107">
        <f>SUMIFS('caseload data'!S:S,'caseload data'!$D:$D,"PSO",'caseload data'!$A:$A,"South Central")</f>
        <v>0</v>
      </c>
      <c r="S40" s="107">
        <f>SUMIFS('caseload data'!T:T,'caseload data'!$D:$D,"PSO",'caseload data'!$A:$A,"South Central")</f>
        <v>0</v>
      </c>
      <c r="T40" s="107">
        <f>SUMIFS('caseload data'!V:V,'caseload data'!$D:$D,"PSO",'caseload data'!$A:$A,"South Central")</f>
        <v>0</v>
      </c>
      <c r="U40" s="76"/>
      <c r="V40" s="76"/>
      <c r="W40" s="304"/>
      <c r="X40" s="142" t="s">
        <v>1038</v>
      </c>
      <c r="Y40" s="187" t="e">
        <f>SUM(D40)/SUM(D$39:D$42)</f>
        <v>#DIV/0!</v>
      </c>
      <c r="Z40" s="187" t="e">
        <f t="shared" si="7"/>
        <v>#DIV/0!</v>
      </c>
      <c r="AA40" s="187" t="e">
        <f t="shared" si="7"/>
        <v>#DIV/0!</v>
      </c>
      <c r="AB40" s="187" t="e">
        <f t="shared" si="7"/>
        <v>#DIV/0!</v>
      </c>
      <c r="AC40" s="187" t="e">
        <f t="shared" si="7"/>
        <v>#DIV/0!</v>
      </c>
      <c r="AD40" s="187" t="e">
        <f t="shared" si="7"/>
        <v>#DIV/0!</v>
      </c>
      <c r="AE40" s="187" t="e">
        <f t="shared" si="7"/>
        <v>#DIV/0!</v>
      </c>
      <c r="AF40" s="187" t="e">
        <f t="shared" si="7"/>
        <v>#DIV/0!</v>
      </c>
      <c r="AG40" s="187" t="e">
        <f t="shared" si="7"/>
        <v>#DIV/0!</v>
      </c>
      <c r="AH40" s="187" t="e">
        <f t="shared" si="7"/>
        <v>#DIV/0!</v>
      </c>
      <c r="AI40" s="187" t="e">
        <f t="shared" si="7"/>
        <v>#DIV/0!</v>
      </c>
      <c r="AJ40" s="187" t="e">
        <f t="shared" si="7"/>
        <v>#DIV/0!</v>
      </c>
      <c r="AK40" s="187" t="e">
        <f t="shared" si="7"/>
        <v>#DIV/0!</v>
      </c>
      <c r="AL40" s="187" t="e">
        <f t="shared" si="7"/>
        <v>#DIV/0!</v>
      </c>
      <c r="AM40" s="187" t="e">
        <f t="shared" si="7"/>
        <v>#DIV/0!</v>
      </c>
      <c r="AN40" s="187" t="e">
        <f t="shared" si="7"/>
        <v>#DIV/0!</v>
      </c>
    </row>
    <row r="41" spans="2:40" x14ac:dyDescent="0.15">
      <c r="B41" s="304"/>
      <c r="C41" s="142" t="s">
        <v>1039</v>
      </c>
      <c r="D41" s="107">
        <f>SUMIFS('caseload data'!E:E,'caseload data'!$D:$D,"TPO",'caseload data'!$A:$A,"South Central")</f>
        <v>0</v>
      </c>
      <c r="E41" s="107">
        <f>SUMIFS('caseload data'!F:F,'caseload data'!$D:$D,"TPO",'caseload data'!$A:$A,"South Central")</f>
        <v>0</v>
      </c>
      <c r="F41" s="107">
        <f>SUMIFS('caseload data'!G:G,'caseload data'!$D:$D,"TPO",'caseload data'!$A:$A,"South Central")</f>
        <v>0</v>
      </c>
      <c r="G41" s="107">
        <f>SUMIFS('caseload data'!H:H,'caseload data'!$D:$D,"TPO",'caseload data'!$A:$A,"South Central")</f>
        <v>0</v>
      </c>
      <c r="H41" s="107">
        <f>SUMIFS('caseload data'!I:I,'caseload data'!$D:$D,"TPO",'caseload data'!$A:$A,"South Central")</f>
        <v>0</v>
      </c>
      <c r="I41" s="107">
        <f>SUMIFS('caseload data'!J:J,'caseload data'!$D:$D,"TPO",'caseload data'!$A:$A,"South Central")</f>
        <v>0</v>
      </c>
      <c r="J41" s="107">
        <f>SUMIFS('caseload data'!K:K,'caseload data'!$D:$D,"TPO",'caseload data'!$A:$A,"South Central")</f>
        <v>0</v>
      </c>
      <c r="K41" s="107">
        <f>SUMIFS('caseload data'!L:L,'caseload data'!$D:$D,"TPO",'caseload data'!$A:$A,"South Central")</f>
        <v>0</v>
      </c>
      <c r="L41" s="107">
        <f>SUMIFS('caseload data'!M:M,'caseload data'!$D:$D,"TPO",'caseload data'!$A:$A,"South Central")</f>
        <v>0</v>
      </c>
      <c r="M41" s="107">
        <f>SUMIFS('caseload data'!N:N,'caseload data'!$D:$D,"TPO",'caseload data'!$A:$A,"South Central")</f>
        <v>0</v>
      </c>
      <c r="N41" s="107">
        <f>SUMIFS('caseload data'!O:O,'caseload data'!$D:$D,"TPO",'caseload data'!$A:$A,"South Central")</f>
        <v>0</v>
      </c>
      <c r="O41" s="107">
        <f>SUMIFS('caseload data'!P:P,'caseload data'!$D:$D,"TPO",'caseload data'!$A:$A,"South Central")</f>
        <v>0</v>
      </c>
      <c r="P41" s="107">
        <f>SUMIFS('caseload data'!Q:Q,'caseload data'!$D:$D,"TPO",'caseload data'!$A:$A,"South Central")</f>
        <v>0</v>
      </c>
      <c r="Q41" s="107">
        <f>SUMIFS('caseload data'!R:R,'caseload data'!$D:$D,"TPO",'caseload data'!$A:$A,"South Central")</f>
        <v>0</v>
      </c>
      <c r="R41" s="107">
        <f>SUMIFS('caseload data'!S:S,'caseload data'!$D:$D,"TPO",'caseload data'!$A:$A,"South Central")</f>
        <v>0</v>
      </c>
      <c r="S41" s="107">
        <f>SUMIFS('caseload data'!T:T,'caseload data'!$D:$D,"TPO",'caseload data'!$A:$A,"South Central")</f>
        <v>0</v>
      </c>
      <c r="T41" s="107">
        <f>SUMIFS('caseload data'!V:V,'caseload data'!$D:$D,"TPO",'caseload data'!$A:$A,"South Central")</f>
        <v>0</v>
      </c>
      <c r="U41" s="76"/>
      <c r="V41" s="76"/>
      <c r="W41" s="304"/>
      <c r="X41" s="142" t="s">
        <v>1039</v>
      </c>
      <c r="Y41" s="187" t="e">
        <f>SUM(D41)/SUM(D$39:D$42)</f>
        <v>#DIV/0!</v>
      </c>
      <c r="Z41" s="187" t="e">
        <f t="shared" si="7"/>
        <v>#DIV/0!</v>
      </c>
      <c r="AA41" s="187" t="e">
        <f t="shared" si="7"/>
        <v>#DIV/0!</v>
      </c>
      <c r="AB41" s="187" t="e">
        <f t="shared" si="7"/>
        <v>#DIV/0!</v>
      </c>
      <c r="AC41" s="187" t="e">
        <f t="shared" si="7"/>
        <v>#DIV/0!</v>
      </c>
      <c r="AD41" s="187" t="e">
        <f t="shared" si="7"/>
        <v>#DIV/0!</v>
      </c>
      <c r="AE41" s="187" t="e">
        <f t="shared" si="7"/>
        <v>#DIV/0!</v>
      </c>
      <c r="AF41" s="187" t="e">
        <f t="shared" si="7"/>
        <v>#DIV/0!</v>
      </c>
      <c r="AG41" s="187" t="e">
        <f t="shared" si="7"/>
        <v>#DIV/0!</v>
      </c>
      <c r="AH41" s="187" t="e">
        <f t="shared" si="7"/>
        <v>#DIV/0!</v>
      </c>
      <c r="AI41" s="187" t="e">
        <f t="shared" si="7"/>
        <v>#DIV/0!</v>
      </c>
      <c r="AJ41" s="187" t="e">
        <f t="shared" si="7"/>
        <v>#DIV/0!</v>
      </c>
      <c r="AK41" s="187" t="e">
        <f t="shared" si="7"/>
        <v>#DIV/0!</v>
      </c>
      <c r="AL41" s="187" t="e">
        <f t="shared" si="7"/>
        <v>#DIV/0!</v>
      </c>
      <c r="AM41" s="187" t="e">
        <f t="shared" si="7"/>
        <v>#DIV/0!</v>
      </c>
      <c r="AN41" s="187" t="e">
        <f t="shared" si="7"/>
        <v>#DIV/0!</v>
      </c>
    </row>
    <row r="42" spans="2:40" x14ac:dyDescent="0.15">
      <c r="B42" s="309"/>
      <c r="C42" s="143" t="s">
        <v>1040</v>
      </c>
      <c r="D42" s="107">
        <f>SUMIFS('caseload data'!E:E,'caseload data'!$D:$D,"SPO",'caseload data'!$A:$A,"South Central")</f>
        <v>0</v>
      </c>
      <c r="E42" s="107">
        <f>SUMIFS('caseload data'!F:F,'caseload data'!$D:$D,"SPO",'caseload data'!$A:$A,"South Central")</f>
        <v>0</v>
      </c>
      <c r="F42" s="107">
        <f>SUMIFS('caseload data'!G:G,'caseload data'!$D:$D,"SPO",'caseload data'!$A:$A,"South Central")</f>
        <v>0</v>
      </c>
      <c r="G42" s="107">
        <f>SUMIFS('caseload data'!H:H,'caseload data'!$D:$D,"SPO",'caseload data'!$A:$A,"South Central")</f>
        <v>0</v>
      </c>
      <c r="H42" s="107">
        <f>SUMIFS('caseload data'!I:I,'caseload data'!$D:$D,"SPO",'caseload data'!$A:$A,"South Central")</f>
        <v>0</v>
      </c>
      <c r="I42" s="107">
        <f>SUMIFS('caseload data'!J:J,'caseload data'!$D:$D,"SPO",'caseload data'!$A:$A,"South Central")</f>
        <v>0</v>
      </c>
      <c r="J42" s="107">
        <f>SUMIFS('caseload data'!K:K,'caseload data'!$D:$D,"SPO",'caseload data'!$A:$A,"South Central")</f>
        <v>0</v>
      </c>
      <c r="K42" s="107">
        <f>SUMIFS('caseload data'!L:L,'caseload data'!$D:$D,"SPO",'caseload data'!$A:$A,"South Central")</f>
        <v>0</v>
      </c>
      <c r="L42" s="107">
        <f>SUMIFS('caseload data'!M:M,'caseload data'!$D:$D,"SPO",'caseload data'!$A:$A,"South Central")</f>
        <v>0</v>
      </c>
      <c r="M42" s="107">
        <f>SUMIFS('caseload data'!N:N,'caseload data'!$D:$D,"SPO",'caseload data'!$A:$A,"South Central")</f>
        <v>0</v>
      </c>
      <c r="N42" s="107">
        <f>SUMIFS('caseload data'!O:O,'caseload data'!$D:$D,"SPO",'caseload data'!$A:$A,"South Central")</f>
        <v>0</v>
      </c>
      <c r="O42" s="107">
        <f>SUMIFS('caseload data'!P:P,'caseload data'!$D:$D,"SPO",'caseload data'!$A:$A,"South Central")</f>
        <v>0</v>
      </c>
      <c r="P42" s="107">
        <f>SUMIFS('caseload data'!Q:Q,'caseload data'!$D:$D,"SPO",'caseload data'!$A:$A,"South Central")</f>
        <v>0</v>
      </c>
      <c r="Q42" s="107">
        <f>SUMIFS('caseload data'!R:R,'caseload data'!$D:$D,"SPO",'caseload data'!$A:$A,"South Central")</f>
        <v>0</v>
      </c>
      <c r="R42" s="107">
        <f>SUMIFS('caseload data'!S:S,'caseload data'!$D:$D,"SPO",'caseload data'!$A:$A,"South Central")</f>
        <v>0</v>
      </c>
      <c r="S42" s="107">
        <f>SUMIFS('caseload data'!T:T,'caseload data'!$D:$D,"SPO",'caseload data'!$A:$A,"South Central")</f>
        <v>0</v>
      </c>
      <c r="T42" s="107">
        <f>SUMIFS('caseload data'!V:V,'caseload data'!$D:$D,"SPO",'caseload data'!$A:$A,"South Central")</f>
        <v>0</v>
      </c>
      <c r="U42" s="76"/>
      <c r="V42" s="76"/>
      <c r="W42" s="309"/>
      <c r="X42" s="143" t="s">
        <v>1040</v>
      </c>
      <c r="Y42" s="187" t="e">
        <f>SUM(D42)/SUM(D$39:D$42)</f>
        <v>#DIV/0!</v>
      </c>
      <c r="Z42" s="187" t="e">
        <f t="shared" si="7"/>
        <v>#DIV/0!</v>
      </c>
      <c r="AA42" s="187" t="e">
        <f t="shared" si="7"/>
        <v>#DIV/0!</v>
      </c>
      <c r="AB42" s="187" t="e">
        <f t="shared" si="7"/>
        <v>#DIV/0!</v>
      </c>
      <c r="AC42" s="187" t="e">
        <f t="shared" si="7"/>
        <v>#DIV/0!</v>
      </c>
      <c r="AD42" s="187" t="e">
        <f t="shared" si="7"/>
        <v>#DIV/0!</v>
      </c>
      <c r="AE42" s="187" t="e">
        <f t="shared" si="7"/>
        <v>#DIV/0!</v>
      </c>
      <c r="AF42" s="187" t="e">
        <f t="shared" si="7"/>
        <v>#DIV/0!</v>
      </c>
      <c r="AG42" s="187" t="e">
        <f t="shared" si="7"/>
        <v>#DIV/0!</v>
      </c>
      <c r="AH42" s="187" t="e">
        <f t="shared" si="7"/>
        <v>#DIV/0!</v>
      </c>
      <c r="AI42" s="187" t="e">
        <f t="shared" si="7"/>
        <v>#DIV/0!</v>
      </c>
      <c r="AJ42" s="187" t="e">
        <f t="shared" si="7"/>
        <v>#DIV/0!</v>
      </c>
      <c r="AK42" s="187" t="e">
        <f t="shared" si="7"/>
        <v>#DIV/0!</v>
      </c>
      <c r="AL42" s="187" t="e">
        <f t="shared" si="7"/>
        <v>#DIV/0!</v>
      </c>
      <c r="AM42" s="187" t="e">
        <f t="shared" si="7"/>
        <v>#DIV/0!</v>
      </c>
      <c r="AN42" s="187" t="e">
        <f t="shared" si="7"/>
        <v>#DIV/0!</v>
      </c>
    </row>
    <row r="43" spans="2:40" x14ac:dyDescent="0.15">
      <c r="B43" s="303" t="s">
        <v>26</v>
      </c>
      <c r="C43" s="141" t="s">
        <v>1037</v>
      </c>
      <c r="D43" s="107">
        <f>SUMIFS('caseload data'!E:E,'caseload data'!$D:$D,"PO",'caseload data'!$A:$A,$B$43)</f>
        <v>0</v>
      </c>
      <c r="E43" s="107">
        <f>SUMIFS('caseload data'!F:F,'caseload data'!$D:$D,"PO",'caseload data'!$A:$A,$B$43)</f>
        <v>0</v>
      </c>
      <c r="F43" s="107">
        <f>SUMIFS('caseload data'!G:G,'caseload data'!$D:$D,"PO",'caseload data'!$A:$A,$B$43)</f>
        <v>0</v>
      </c>
      <c r="G43" s="107">
        <f>SUMIFS('caseload data'!H:H,'caseload data'!$D:$D,"PO",'caseload data'!$A:$A,$B$43)</f>
        <v>0</v>
      </c>
      <c r="H43" s="107">
        <f>SUMIFS('caseload data'!I:I,'caseload data'!$D:$D,"PO",'caseload data'!$A:$A,$B$43)</f>
        <v>0</v>
      </c>
      <c r="I43" s="107">
        <f>SUMIFS('caseload data'!J:J,'caseload data'!$D:$D,"PO",'caseload data'!$A:$A,$B$43)</f>
        <v>0</v>
      </c>
      <c r="J43" s="107">
        <f>SUMIFS('caseload data'!K:K,'caseload data'!$D:$D,"PO",'caseload data'!$A:$A,$B$43)</f>
        <v>0</v>
      </c>
      <c r="K43" s="107">
        <f>SUMIFS('caseload data'!L:L,'caseload data'!$D:$D,"PO",'caseload data'!$A:$A,$B$43)</f>
        <v>0</v>
      </c>
      <c r="L43" s="107">
        <f>SUMIFS('caseload data'!M:M,'caseload data'!$D:$D,"PO",'caseload data'!$A:$A,$B$43)</f>
        <v>0</v>
      </c>
      <c r="M43" s="107">
        <f>SUMIFS('caseload data'!N:N,'caseload data'!$D:$D,"PO",'caseload data'!$A:$A,$B$43)</f>
        <v>0</v>
      </c>
      <c r="N43" s="107">
        <f>SUMIFS('caseload data'!O:O,'caseload data'!$D:$D,"PO",'caseload data'!$A:$A,$B$43)</f>
        <v>0</v>
      </c>
      <c r="O43" s="107">
        <f>SUMIFS('caseload data'!P:P,'caseload data'!$D:$D,"PO",'caseload data'!$A:$A,$B$43)</f>
        <v>0</v>
      </c>
      <c r="P43" s="107">
        <f>SUMIFS('caseload data'!Q:Q,'caseload data'!$D:$D,"PO",'caseload data'!$A:$A,$B$43)</f>
        <v>0</v>
      </c>
      <c r="Q43" s="107">
        <f>SUMIFS('caseload data'!R:R,'caseload data'!$D:$D,"PO",'caseload data'!$A:$A,$B$43)</f>
        <v>0</v>
      </c>
      <c r="R43" s="107">
        <f>SUMIFS('caseload data'!S:S,'caseload data'!$D:$D,"PO",'caseload data'!$A:$A,$B$43)</f>
        <v>0</v>
      </c>
      <c r="S43" s="107">
        <f>SUMIFS('caseload data'!T:T,'caseload data'!$D:$D,"PO",'caseload data'!$A:$A,$B$43)</f>
        <v>0</v>
      </c>
      <c r="T43" s="107">
        <f>SUMIFS('caseload data'!V:V,'caseload data'!$D:$D,"PO",'caseload data'!$A:$A,B43)</f>
        <v>0</v>
      </c>
      <c r="U43" s="76"/>
      <c r="V43" s="76"/>
      <c r="W43" s="303" t="s">
        <v>26</v>
      </c>
      <c r="X43" s="141" t="s">
        <v>1037</v>
      </c>
      <c r="Y43" s="187" t="e">
        <f>SUM(D43)/SUM(D$43:D$46)</f>
        <v>#DIV/0!</v>
      </c>
      <c r="Z43" s="187" t="e">
        <f t="shared" ref="Z43:AN46" si="8">SUM(E43)/SUM(E$43:E$46)</f>
        <v>#DIV/0!</v>
      </c>
      <c r="AA43" s="187" t="e">
        <f t="shared" si="8"/>
        <v>#DIV/0!</v>
      </c>
      <c r="AB43" s="187" t="e">
        <f t="shared" si="8"/>
        <v>#DIV/0!</v>
      </c>
      <c r="AC43" s="187" t="e">
        <f t="shared" si="8"/>
        <v>#DIV/0!</v>
      </c>
      <c r="AD43" s="187" t="e">
        <f t="shared" si="8"/>
        <v>#DIV/0!</v>
      </c>
      <c r="AE43" s="187" t="e">
        <f t="shared" si="8"/>
        <v>#DIV/0!</v>
      </c>
      <c r="AF43" s="187" t="e">
        <f t="shared" si="8"/>
        <v>#DIV/0!</v>
      </c>
      <c r="AG43" s="187" t="e">
        <f t="shared" si="8"/>
        <v>#DIV/0!</v>
      </c>
      <c r="AH43" s="187" t="e">
        <f t="shared" si="8"/>
        <v>#DIV/0!</v>
      </c>
      <c r="AI43" s="187" t="e">
        <f t="shared" si="8"/>
        <v>#DIV/0!</v>
      </c>
      <c r="AJ43" s="187" t="e">
        <f t="shared" si="8"/>
        <v>#DIV/0!</v>
      </c>
      <c r="AK43" s="187" t="e">
        <f t="shared" si="8"/>
        <v>#DIV/0!</v>
      </c>
      <c r="AL43" s="187" t="e">
        <f t="shared" si="8"/>
        <v>#DIV/0!</v>
      </c>
      <c r="AM43" s="187" t="e">
        <f t="shared" si="8"/>
        <v>#DIV/0!</v>
      </c>
      <c r="AN43" s="187" t="e">
        <f t="shared" si="8"/>
        <v>#DIV/0!</v>
      </c>
    </row>
    <row r="44" spans="2:40" x14ac:dyDescent="0.15">
      <c r="B44" s="304"/>
      <c r="C44" s="142" t="s">
        <v>1038</v>
      </c>
      <c r="D44" s="107">
        <f>SUMIFS('caseload data'!E:E,'caseload data'!$D:$D,"PSO",'caseload data'!$A:$A,"South West")</f>
        <v>0</v>
      </c>
      <c r="E44" s="107">
        <f>SUMIFS('caseload data'!F:F,'caseload data'!$D:$D,"PSO",'caseload data'!$A:$A,"South West")</f>
        <v>0</v>
      </c>
      <c r="F44" s="107">
        <f>SUMIFS('caseload data'!G:G,'caseload data'!$D:$D,"PSO",'caseload data'!$A:$A,"South West")</f>
        <v>0</v>
      </c>
      <c r="G44" s="107">
        <f>SUMIFS('caseload data'!H:H,'caseload data'!$D:$D,"PSO",'caseload data'!$A:$A,"South West")</f>
        <v>0</v>
      </c>
      <c r="H44" s="107">
        <f>SUMIFS('caseload data'!I:I,'caseload data'!$D:$D,"PSO",'caseload data'!$A:$A,"South West")</f>
        <v>0</v>
      </c>
      <c r="I44" s="107">
        <f>SUMIFS('caseload data'!J:J,'caseload data'!$D:$D,"PSO",'caseload data'!$A:$A,"South West")</f>
        <v>0</v>
      </c>
      <c r="J44" s="107">
        <f>SUMIFS('caseload data'!K:K,'caseload data'!$D:$D,"PSO",'caseload data'!$A:$A,"South West")</f>
        <v>0</v>
      </c>
      <c r="K44" s="107">
        <f>SUMIFS('caseload data'!L:L,'caseload data'!$D:$D,"PSO",'caseload data'!$A:$A,"South West")</f>
        <v>0</v>
      </c>
      <c r="L44" s="107">
        <f>SUMIFS('caseload data'!M:M,'caseload data'!$D:$D,"PSO",'caseload data'!$A:$A,"South West")</f>
        <v>0</v>
      </c>
      <c r="M44" s="107">
        <f>SUMIFS('caseload data'!N:N,'caseload data'!$D:$D,"PSO",'caseload data'!$A:$A,"South West")</f>
        <v>0</v>
      </c>
      <c r="N44" s="107">
        <f>SUMIFS('caseload data'!O:O,'caseload data'!$D:$D,"PSO",'caseload data'!$A:$A,"South West")</f>
        <v>0</v>
      </c>
      <c r="O44" s="107">
        <f>SUMIFS('caseload data'!P:P,'caseload data'!$D:$D,"PSO",'caseload data'!$A:$A,"South West")</f>
        <v>0</v>
      </c>
      <c r="P44" s="107">
        <f>SUMIFS('caseload data'!Q:Q,'caseload data'!$D:$D,"PSO",'caseload data'!$A:$A,"South West")</f>
        <v>0</v>
      </c>
      <c r="Q44" s="107">
        <f>SUMIFS('caseload data'!R:R,'caseload data'!$D:$D,"PSO",'caseload data'!$A:$A,"South West")</f>
        <v>0</v>
      </c>
      <c r="R44" s="107">
        <f>SUMIFS('caseload data'!S:S,'caseload data'!$D:$D,"PSO",'caseload data'!$A:$A,"South West")</f>
        <v>0</v>
      </c>
      <c r="S44" s="107">
        <f>SUMIFS('caseload data'!T:T,'caseload data'!$D:$D,"PSO",'caseload data'!$A:$A,"South West")</f>
        <v>0</v>
      </c>
      <c r="T44" s="107">
        <f>SUMIFS('caseload data'!V:V,'caseload data'!$D:$D,"PSO",'caseload data'!$A:$A,"South West")</f>
        <v>0</v>
      </c>
      <c r="U44" s="76"/>
      <c r="V44" s="76"/>
      <c r="W44" s="304"/>
      <c r="X44" s="142" t="s">
        <v>1038</v>
      </c>
      <c r="Y44" s="187" t="e">
        <f>SUM(D44)/SUM(D$43:D$46)</f>
        <v>#DIV/0!</v>
      </c>
      <c r="Z44" s="187" t="e">
        <f t="shared" si="8"/>
        <v>#DIV/0!</v>
      </c>
      <c r="AA44" s="187" t="e">
        <f t="shared" si="8"/>
        <v>#DIV/0!</v>
      </c>
      <c r="AB44" s="187" t="e">
        <f t="shared" si="8"/>
        <v>#DIV/0!</v>
      </c>
      <c r="AC44" s="187" t="e">
        <f t="shared" si="8"/>
        <v>#DIV/0!</v>
      </c>
      <c r="AD44" s="187" t="e">
        <f t="shared" si="8"/>
        <v>#DIV/0!</v>
      </c>
      <c r="AE44" s="187" t="e">
        <f t="shared" si="8"/>
        <v>#DIV/0!</v>
      </c>
      <c r="AF44" s="187" t="e">
        <f t="shared" si="8"/>
        <v>#DIV/0!</v>
      </c>
      <c r="AG44" s="187" t="e">
        <f t="shared" si="8"/>
        <v>#DIV/0!</v>
      </c>
      <c r="AH44" s="187" t="e">
        <f t="shared" si="8"/>
        <v>#DIV/0!</v>
      </c>
      <c r="AI44" s="187" t="e">
        <f t="shared" si="8"/>
        <v>#DIV/0!</v>
      </c>
      <c r="AJ44" s="187" t="e">
        <f t="shared" si="8"/>
        <v>#DIV/0!</v>
      </c>
      <c r="AK44" s="187" t="e">
        <f t="shared" si="8"/>
        <v>#DIV/0!</v>
      </c>
      <c r="AL44" s="187" t="e">
        <f t="shared" si="8"/>
        <v>#DIV/0!</v>
      </c>
      <c r="AM44" s="187" t="e">
        <f t="shared" si="8"/>
        <v>#DIV/0!</v>
      </c>
      <c r="AN44" s="187" t="e">
        <f t="shared" si="8"/>
        <v>#DIV/0!</v>
      </c>
    </row>
    <row r="45" spans="2:40" x14ac:dyDescent="0.15">
      <c r="B45" s="304"/>
      <c r="C45" s="142" t="s">
        <v>1039</v>
      </c>
      <c r="D45" s="107">
        <f>SUMIFS('caseload data'!E:E,'caseload data'!$D:$D,"TPO",'caseload data'!$A:$A,"South West")</f>
        <v>0</v>
      </c>
      <c r="E45" s="107">
        <f>SUMIFS('caseload data'!F:F,'caseload data'!$D:$D,"TPO",'caseload data'!$A:$A,"South West")</f>
        <v>0</v>
      </c>
      <c r="F45" s="107">
        <f>SUMIFS('caseload data'!G:G,'caseload data'!$D:$D,"TPO",'caseload data'!$A:$A,"South West")</f>
        <v>0</v>
      </c>
      <c r="G45" s="107">
        <f>SUMIFS('caseload data'!H:H,'caseload data'!$D:$D,"TPO",'caseload data'!$A:$A,"South West")</f>
        <v>0</v>
      </c>
      <c r="H45" s="107">
        <f>SUMIFS('caseload data'!I:I,'caseload data'!$D:$D,"TPO",'caseload data'!$A:$A,"South West")</f>
        <v>0</v>
      </c>
      <c r="I45" s="107">
        <f>SUMIFS('caseload data'!J:J,'caseload data'!$D:$D,"TPO",'caseload data'!$A:$A,"South West")</f>
        <v>0</v>
      </c>
      <c r="J45" s="107">
        <f>SUMIFS('caseload data'!K:K,'caseload data'!$D:$D,"TPO",'caseload data'!$A:$A,"South West")</f>
        <v>0</v>
      </c>
      <c r="K45" s="107">
        <f>SUMIFS('caseload data'!L:L,'caseload data'!$D:$D,"TPO",'caseload data'!$A:$A,"South West")</f>
        <v>0</v>
      </c>
      <c r="L45" s="107">
        <f>SUMIFS('caseload data'!M:M,'caseload data'!$D:$D,"TPO",'caseload data'!$A:$A,"South West")</f>
        <v>0</v>
      </c>
      <c r="M45" s="107">
        <f>SUMIFS('caseload data'!N:N,'caseload data'!$D:$D,"TPO",'caseload data'!$A:$A,"South West")</f>
        <v>0</v>
      </c>
      <c r="N45" s="107">
        <f>SUMIFS('caseload data'!O:O,'caseload data'!$D:$D,"TPO",'caseload data'!$A:$A,"South West")</f>
        <v>0</v>
      </c>
      <c r="O45" s="107">
        <f>SUMIFS('caseload data'!P:P,'caseload data'!$D:$D,"TPO",'caseload data'!$A:$A,"South West")</f>
        <v>0</v>
      </c>
      <c r="P45" s="107">
        <f>SUMIFS('caseload data'!Q:Q,'caseload data'!$D:$D,"TPO",'caseload data'!$A:$A,"South West")</f>
        <v>0</v>
      </c>
      <c r="Q45" s="107">
        <f>SUMIFS('caseload data'!R:R,'caseload data'!$D:$D,"TPO",'caseload data'!$A:$A,"South West")</f>
        <v>0</v>
      </c>
      <c r="R45" s="107">
        <f>SUMIFS('caseload data'!S:S,'caseload data'!$D:$D,"TPO",'caseload data'!$A:$A,"South West")</f>
        <v>0</v>
      </c>
      <c r="S45" s="107">
        <f>SUMIFS('caseload data'!T:T,'caseload data'!$D:$D,"TPO",'caseload data'!$A:$A,"South West")</f>
        <v>0</v>
      </c>
      <c r="T45" s="107">
        <f>SUMIFS('caseload data'!V:V,'caseload data'!$D:$D,"TPO",'caseload data'!$A:$A,"South West")</f>
        <v>0</v>
      </c>
      <c r="U45" s="76"/>
      <c r="V45" s="76"/>
      <c r="W45" s="304"/>
      <c r="X45" s="142" t="s">
        <v>1039</v>
      </c>
      <c r="Y45" s="187" t="e">
        <f>SUM(D45)/SUM(D$43:D$46)</f>
        <v>#DIV/0!</v>
      </c>
      <c r="Z45" s="187" t="e">
        <f t="shared" si="8"/>
        <v>#DIV/0!</v>
      </c>
      <c r="AA45" s="187" t="e">
        <f t="shared" si="8"/>
        <v>#DIV/0!</v>
      </c>
      <c r="AB45" s="187" t="e">
        <f t="shared" si="8"/>
        <v>#DIV/0!</v>
      </c>
      <c r="AC45" s="187" t="e">
        <f t="shared" si="8"/>
        <v>#DIV/0!</v>
      </c>
      <c r="AD45" s="187" t="e">
        <f t="shared" si="8"/>
        <v>#DIV/0!</v>
      </c>
      <c r="AE45" s="187" t="e">
        <f t="shared" si="8"/>
        <v>#DIV/0!</v>
      </c>
      <c r="AF45" s="187" t="e">
        <f t="shared" si="8"/>
        <v>#DIV/0!</v>
      </c>
      <c r="AG45" s="187" t="e">
        <f t="shared" si="8"/>
        <v>#DIV/0!</v>
      </c>
      <c r="AH45" s="187" t="e">
        <f t="shared" si="8"/>
        <v>#DIV/0!</v>
      </c>
      <c r="AI45" s="187" t="e">
        <f t="shared" si="8"/>
        <v>#DIV/0!</v>
      </c>
      <c r="AJ45" s="187" t="e">
        <f t="shared" si="8"/>
        <v>#DIV/0!</v>
      </c>
      <c r="AK45" s="187" t="e">
        <f t="shared" si="8"/>
        <v>#DIV/0!</v>
      </c>
      <c r="AL45" s="187" t="e">
        <f t="shared" si="8"/>
        <v>#DIV/0!</v>
      </c>
      <c r="AM45" s="187" t="e">
        <f t="shared" si="8"/>
        <v>#DIV/0!</v>
      </c>
      <c r="AN45" s="187" t="e">
        <f t="shared" si="8"/>
        <v>#DIV/0!</v>
      </c>
    </row>
    <row r="46" spans="2:40" x14ac:dyDescent="0.15">
      <c r="B46" s="309"/>
      <c r="C46" s="143" t="s">
        <v>1040</v>
      </c>
      <c r="D46" s="107">
        <f>SUMIFS('caseload data'!E:E,'caseload data'!$D:$D,"SPO",'caseload data'!$A:$A,"South West")</f>
        <v>0</v>
      </c>
      <c r="E46" s="107">
        <f>SUMIFS('caseload data'!F:F,'caseload data'!$D:$D,"SPO",'caseload data'!$A:$A,"South West")</f>
        <v>0</v>
      </c>
      <c r="F46" s="107">
        <f>SUMIFS('caseload data'!G:G,'caseload data'!$D:$D,"SPO",'caseload data'!$A:$A,"South West")</f>
        <v>0</v>
      </c>
      <c r="G46" s="107">
        <f>SUMIFS('caseload data'!H:H,'caseload data'!$D:$D,"SPO",'caseload data'!$A:$A,"South West")</f>
        <v>0</v>
      </c>
      <c r="H46" s="107">
        <f>SUMIFS('caseload data'!I:I,'caseload data'!$D:$D,"SPO",'caseload data'!$A:$A,"South West")</f>
        <v>0</v>
      </c>
      <c r="I46" s="107">
        <f>SUMIFS('caseload data'!J:J,'caseload data'!$D:$D,"SPO",'caseload data'!$A:$A,"South West")</f>
        <v>0</v>
      </c>
      <c r="J46" s="107">
        <f>SUMIFS('caseload data'!K:K,'caseload data'!$D:$D,"SPO",'caseload data'!$A:$A,"South West")</f>
        <v>0</v>
      </c>
      <c r="K46" s="107">
        <f>SUMIFS('caseload data'!L:L,'caseload data'!$D:$D,"SPO",'caseload data'!$A:$A,"South West")</f>
        <v>0</v>
      </c>
      <c r="L46" s="107">
        <f>SUMIFS('caseload data'!M:M,'caseload data'!$D:$D,"SPO",'caseload data'!$A:$A,"South West")</f>
        <v>0</v>
      </c>
      <c r="M46" s="107">
        <f>SUMIFS('caseload data'!N:N,'caseload data'!$D:$D,"SPO",'caseload data'!$A:$A,"South West")</f>
        <v>0</v>
      </c>
      <c r="N46" s="107">
        <f>SUMIFS('caseload data'!O:O,'caseload data'!$D:$D,"SPO",'caseload data'!$A:$A,"South West")</f>
        <v>0</v>
      </c>
      <c r="O46" s="107">
        <f>SUMIFS('caseload data'!P:P,'caseload data'!$D:$D,"SPO",'caseload data'!$A:$A,"South West")</f>
        <v>0</v>
      </c>
      <c r="P46" s="107">
        <f>SUMIFS('caseload data'!Q:Q,'caseload data'!$D:$D,"SPO",'caseload data'!$A:$A,"South West")</f>
        <v>0</v>
      </c>
      <c r="Q46" s="107">
        <f>SUMIFS('caseload data'!R:R,'caseload data'!$D:$D,"SPO",'caseload data'!$A:$A,"South West")</f>
        <v>0</v>
      </c>
      <c r="R46" s="107">
        <f>SUMIFS('caseload data'!S:S,'caseload data'!$D:$D,"SPO",'caseload data'!$A:$A,"South West")</f>
        <v>0</v>
      </c>
      <c r="S46" s="107">
        <f>SUMIFS('caseload data'!T:T,'caseload data'!$D:$D,"SPO",'caseload data'!$A:$A,"South West")</f>
        <v>0</v>
      </c>
      <c r="T46" s="107">
        <f>SUMIFS('caseload data'!V:V,'caseload data'!$D:$D,"SPO",'caseload data'!$A:$A,"South West")</f>
        <v>0</v>
      </c>
      <c r="U46" s="76"/>
      <c r="V46" s="76"/>
      <c r="W46" s="309"/>
      <c r="X46" s="143" t="s">
        <v>1040</v>
      </c>
      <c r="Y46" s="187" t="e">
        <f>SUM(D46)/SUM(D$43:D$46)</f>
        <v>#DIV/0!</v>
      </c>
      <c r="Z46" s="187" t="e">
        <f t="shared" si="8"/>
        <v>#DIV/0!</v>
      </c>
      <c r="AA46" s="187" t="e">
        <f t="shared" si="8"/>
        <v>#DIV/0!</v>
      </c>
      <c r="AB46" s="187" t="e">
        <f t="shared" si="8"/>
        <v>#DIV/0!</v>
      </c>
      <c r="AC46" s="187" t="e">
        <f t="shared" si="8"/>
        <v>#DIV/0!</v>
      </c>
      <c r="AD46" s="187" t="e">
        <f t="shared" si="8"/>
        <v>#DIV/0!</v>
      </c>
      <c r="AE46" s="187" t="e">
        <f t="shared" si="8"/>
        <v>#DIV/0!</v>
      </c>
      <c r="AF46" s="187" t="e">
        <f t="shared" si="8"/>
        <v>#DIV/0!</v>
      </c>
      <c r="AG46" s="187" t="e">
        <f t="shared" si="8"/>
        <v>#DIV/0!</v>
      </c>
      <c r="AH46" s="187" t="e">
        <f t="shared" si="8"/>
        <v>#DIV/0!</v>
      </c>
      <c r="AI46" s="187" t="e">
        <f t="shared" si="8"/>
        <v>#DIV/0!</v>
      </c>
      <c r="AJ46" s="187" t="e">
        <f t="shared" si="8"/>
        <v>#DIV/0!</v>
      </c>
      <c r="AK46" s="187" t="e">
        <f t="shared" si="8"/>
        <v>#DIV/0!</v>
      </c>
      <c r="AL46" s="187" t="e">
        <f t="shared" si="8"/>
        <v>#DIV/0!</v>
      </c>
      <c r="AM46" s="187" t="e">
        <f t="shared" si="8"/>
        <v>#DIV/0!</v>
      </c>
      <c r="AN46" s="187" t="e">
        <f t="shared" si="8"/>
        <v>#DIV/0!</v>
      </c>
    </row>
    <row r="47" spans="2:40" x14ac:dyDescent="0.15">
      <c r="B47" s="303" t="s">
        <v>27</v>
      </c>
      <c r="C47" s="141" t="s">
        <v>1037</v>
      </c>
      <c r="D47" s="107">
        <f>SUMIFS('caseload data'!E:E,'caseload data'!$D:$D,"PO",'caseload data'!$A:$A,$B$47)</f>
        <v>0</v>
      </c>
      <c r="E47" s="107">
        <f>SUMIFS('caseload data'!F:F,'caseload data'!$D:$D,"PO",'caseload data'!$A:$A,$B$47)</f>
        <v>0</v>
      </c>
      <c r="F47" s="107">
        <f>SUMIFS('caseload data'!G:G,'caseload data'!$D:$D,"PO",'caseload data'!$A:$A,$B$47)</f>
        <v>0</v>
      </c>
      <c r="G47" s="107">
        <f>SUMIFS('caseload data'!H:H,'caseload data'!$D:$D,"PO",'caseload data'!$A:$A,$B$47)</f>
        <v>0</v>
      </c>
      <c r="H47" s="107">
        <f>SUMIFS('caseload data'!I:I,'caseload data'!$D:$D,"PO",'caseload data'!$A:$A,$B$47)</f>
        <v>0</v>
      </c>
      <c r="I47" s="107">
        <f>SUMIFS('caseload data'!J:J,'caseload data'!$D:$D,"PO",'caseload data'!$A:$A,$B$47)</f>
        <v>0</v>
      </c>
      <c r="J47" s="107">
        <f>SUMIFS('caseload data'!K:K,'caseload data'!$D:$D,"PO",'caseload data'!$A:$A,$B$47)</f>
        <v>0</v>
      </c>
      <c r="K47" s="107">
        <f>SUMIFS('caseload data'!L:L,'caseload data'!$D:$D,"PO",'caseload data'!$A:$A,$B$47)</f>
        <v>0</v>
      </c>
      <c r="L47" s="107">
        <f>SUMIFS('caseload data'!M:M,'caseload data'!$D:$D,"PO",'caseload data'!$A:$A,$B$47)</f>
        <v>0</v>
      </c>
      <c r="M47" s="107">
        <f>SUMIFS('caseload data'!N:N,'caseload data'!$D:$D,"PO",'caseload data'!$A:$A,$B$47)</f>
        <v>0</v>
      </c>
      <c r="N47" s="107">
        <f>SUMIFS('caseload data'!O:O,'caseload data'!$D:$D,"PO",'caseload data'!$A:$A,$B$47)</f>
        <v>0</v>
      </c>
      <c r="O47" s="107">
        <f>SUMIFS('caseload data'!P:P,'caseload data'!$D:$D,"PO",'caseload data'!$A:$A,$B$47)</f>
        <v>0</v>
      </c>
      <c r="P47" s="107">
        <f>SUMIFS('caseload data'!Q:Q,'caseload data'!$D:$D,"PO",'caseload data'!$A:$A,$B$47)</f>
        <v>0</v>
      </c>
      <c r="Q47" s="107">
        <f>SUMIFS('caseload data'!R:R,'caseload data'!$D:$D,"PO",'caseload data'!$A:$A,$B$47)</f>
        <v>0</v>
      </c>
      <c r="R47" s="107">
        <f>SUMIFS('caseload data'!S:S,'caseload data'!$D:$D,"PO",'caseload data'!$A:$A,$B$47)</f>
        <v>0</v>
      </c>
      <c r="S47" s="107">
        <f>SUMIFS('caseload data'!T:T,'caseload data'!$D:$D,"PO",'caseload data'!$A:$A,$B$47)</f>
        <v>0</v>
      </c>
      <c r="T47" s="107">
        <f>SUMIFS('caseload data'!V:V,'caseload data'!$D:$D,"PO",'caseload data'!$A:$A,B47)</f>
        <v>0</v>
      </c>
      <c r="U47" s="76"/>
      <c r="V47" s="76"/>
      <c r="W47" s="303" t="s">
        <v>27</v>
      </c>
      <c r="X47" s="141" t="s">
        <v>1037</v>
      </c>
      <c r="Y47" s="187" t="e">
        <f>SUM(D47)/SUM(D$47:D$50)</f>
        <v>#DIV/0!</v>
      </c>
      <c r="Z47" s="187" t="e">
        <f t="shared" ref="Z47:AN50" si="9">SUM(E47)/SUM(E$47:E$50)</f>
        <v>#DIV/0!</v>
      </c>
      <c r="AA47" s="187" t="e">
        <f t="shared" si="9"/>
        <v>#DIV/0!</v>
      </c>
      <c r="AB47" s="187" t="e">
        <f t="shared" si="9"/>
        <v>#DIV/0!</v>
      </c>
      <c r="AC47" s="187" t="e">
        <f t="shared" si="9"/>
        <v>#DIV/0!</v>
      </c>
      <c r="AD47" s="187" t="e">
        <f t="shared" si="9"/>
        <v>#DIV/0!</v>
      </c>
      <c r="AE47" s="187" t="e">
        <f t="shared" si="9"/>
        <v>#DIV/0!</v>
      </c>
      <c r="AF47" s="187" t="e">
        <f t="shared" si="9"/>
        <v>#DIV/0!</v>
      </c>
      <c r="AG47" s="187" t="e">
        <f t="shared" si="9"/>
        <v>#DIV/0!</v>
      </c>
      <c r="AH47" s="187" t="e">
        <f t="shared" si="9"/>
        <v>#DIV/0!</v>
      </c>
      <c r="AI47" s="187" t="e">
        <f t="shared" si="9"/>
        <v>#DIV/0!</v>
      </c>
      <c r="AJ47" s="187" t="e">
        <f t="shared" si="9"/>
        <v>#DIV/0!</v>
      </c>
      <c r="AK47" s="187" t="e">
        <f t="shared" si="9"/>
        <v>#DIV/0!</v>
      </c>
      <c r="AL47" s="187" t="e">
        <f t="shared" si="9"/>
        <v>#DIV/0!</v>
      </c>
      <c r="AM47" s="187" t="e">
        <f t="shared" si="9"/>
        <v>#DIV/0!</v>
      </c>
      <c r="AN47" s="187" t="e">
        <f t="shared" si="9"/>
        <v>#DIV/0!</v>
      </c>
    </row>
    <row r="48" spans="2:40" x14ac:dyDescent="0.15">
      <c r="B48" s="304"/>
      <c r="C48" s="142" t="s">
        <v>1038</v>
      </c>
      <c r="D48" s="107">
        <f>SUMIFS('caseload data'!E:E,'caseload data'!$D:$D,"PSO",'caseload data'!$A:$A,"Wales")</f>
        <v>0</v>
      </c>
      <c r="E48" s="107">
        <f>SUMIFS('caseload data'!F:F,'caseload data'!$D:$D,"PSO",'caseload data'!$A:$A,"Wales")</f>
        <v>0</v>
      </c>
      <c r="F48" s="107">
        <f>SUMIFS('caseload data'!G:G,'caseload data'!$D:$D,"PSO",'caseload data'!$A:$A,"Wales")</f>
        <v>0</v>
      </c>
      <c r="G48" s="107">
        <f>SUMIFS('caseload data'!H:H,'caseload data'!$D:$D,"PSO",'caseload data'!$A:$A,"Wales")</f>
        <v>0</v>
      </c>
      <c r="H48" s="107">
        <f>SUMIFS('caseload data'!I:I,'caseload data'!$D:$D,"PSO",'caseload data'!$A:$A,"Wales")</f>
        <v>0</v>
      </c>
      <c r="I48" s="107">
        <f>SUMIFS('caseload data'!J:J,'caseload data'!$D:$D,"PSO",'caseload data'!$A:$A,"Wales")</f>
        <v>0</v>
      </c>
      <c r="J48" s="107">
        <f>SUMIFS('caseload data'!K:K,'caseload data'!$D:$D,"PSO",'caseload data'!$A:$A,"Wales")</f>
        <v>0</v>
      </c>
      <c r="K48" s="107">
        <f>SUMIFS('caseload data'!L:L,'caseload data'!$D:$D,"PSO",'caseload data'!$A:$A,"Wales")</f>
        <v>0</v>
      </c>
      <c r="L48" s="107">
        <f>SUMIFS('caseload data'!M:M,'caseload data'!$D:$D,"PSO",'caseload data'!$A:$A,"Wales")</f>
        <v>0</v>
      </c>
      <c r="M48" s="107">
        <f>SUMIFS('caseload data'!N:N,'caseload data'!$D:$D,"PSO",'caseload data'!$A:$A,"Wales")</f>
        <v>0</v>
      </c>
      <c r="N48" s="107">
        <f>SUMIFS('caseload data'!O:O,'caseload data'!$D:$D,"PSO",'caseload data'!$A:$A,"Wales")</f>
        <v>0</v>
      </c>
      <c r="O48" s="107">
        <f>SUMIFS('caseload data'!P:P,'caseload data'!$D:$D,"PSO",'caseload data'!$A:$A,"Wales")</f>
        <v>0</v>
      </c>
      <c r="P48" s="107">
        <f>SUMIFS('caseload data'!Q:Q,'caseload data'!$D:$D,"PSO",'caseload data'!$A:$A,"Wales")</f>
        <v>0</v>
      </c>
      <c r="Q48" s="107">
        <f>SUMIFS('caseload data'!R:R,'caseload data'!$D:$D,"PSO",'caseload data'!$A:$A,"Wales")</f>
        <v>0</v>
      </c>
      <c r="R48" s="107">
        <f>SUMIFS('caseload data'!S:S,'caseload data'!$D:$D,"PSO",'caseload data'!$A:$A,"Wales")</f>
        <v>0</v>
      </c>
      <c r="S48" s="107">
        <f>SUMIFS('caseload data'!T:T,'caseload data'!$D:$D,"PSO",'caseload data'!$A:$A,"Wales")</f>
        <v>0</v>
      </c>
      <c r="T48" s="107">
        <f>SUMIFS('caseload data'!V:V,'caseload data'!$D:$D,"PSO",'caseload data'!$A:$A,"Wales")</f>
        <v>0</v>
      </c>
      <c r="U48" s="76"/>
      <c r="V48" s="76"/>
      <c r="W48" s="304"/>
      <c r="X48" s="142" t="s">
        <v>1038</v>
      </c>
      <c r="Y48" s="187" t="e">
        <f>SUM(D48)/SUM(D$47:D$50)</f>
        <v>#DIV/0!</v>
      </c>
      <c r="Z48" s="187" t="e">
        <f t="shared" si="9"/>
        <v>#DIV/0!</v>
      </c>
      <c r="AA48" s="187" t="e">
        <f t="shared" si="9"/>
        <v>#DIV/0!</v>
      </c>
      <c r="AB48" s="187" t="e">
        <f t="shared" si="9"/>
        <v>#DIV/0!</v>
      </c>
      <c r="AC48" s="187" t="e">
        <f t="shared" si="9"/>
        <v>#DIV/0!</v>
      </c>
      <c r="AD48" s="187" t="e">
        <f t="shared" si="9"/>
        <v>#DIV/0!</v>
      </c>
      <c r="AE48" s="187" t="e">
        <f t="shared" si="9"/>
        <v>#DIV/0!</v>
      </c>
      <c r="AF48" s="187" t="e">
        <f t="shared" si="9"/>
        <v>#DIV/0!</v>
      </c>
      <c r="AG48" s="187" t="e">
        <f t="shared" si="9"/>
        <v>#DIV/0!</v>
      </c>
      <c r="AH48" s="187" t="e">
        <f t="shared" si="9"/>
        <v>#DIV/0!</v>
      </c>
      <c r="AI48" s="187" t="e">
        <f t="shared" si="9"/>
        <v>#DIV/0!</v>
      </c>
      <c r="AJ48" s="187" t="e">
        <f t="shared" si="9"/>
        <v>#DIV/0!</v>
      </c>
      <c r="AK48" s="187" t="e">
        <f t="shared" si="9"/>
        <v>#DIV/0!</v>
      </c>
      <c r="AL48" s="187" t="e">
        <f t="shared" si="9"/>
        <v>#DIV/0!</v>
      </c>
      <c r="AM48" s="187" t="e">
        <f t="shared" si="9"/>
        <v>#DIV/0!</v>
      </c>
      <c r="AN48" s="187" t="e">
        <f t="shared" si="9"/>
        <v>#DIV/0!</v>
      </c>
    </row>
    <row r="49" spans="2:40" x14ac:dyDescent="0.15">
      <c r="B49" s="304"/>
      <c r="C49" s="142" t="s">
        <v>1039</v>
      </c>
      <c r="D49" s="107">
        <f>SUMIFS('caseload data'!E:E,'caseload data'!$D:$D,"TPO",'caseload data'!$A:$A,"Wales")</f>
        <v>0</v>
      </c>
      <c r="E49" s="107">
        <f>SUMIFS('caseload data'!F:F,'caseload data'!$D:$D,"TPO",'caseload data'!$A:$A,"Wales")</f>
        <v>0</v>
      </c>
      <c r="F49" s="107">
        <f>SUMIFS('caseload data'!G:G,'caseload data'!$D:$D,"TPO",'caseload data'!$A:$A,"Wales")</f>
        <v>0</v>
      </c>
      <c r="G49" s="107">
        <f>SUMIFS('caseload data'!H:H,'caseload data'!$D:$D,"TPO",'caseload data'!$A:$A,"Wales")</f>
        <v>0</v>
      </c>
      <c r="H49" s="107">
        <f>SUMIFS('caseload data'!I:I,'caseload data'!$D:$D,"TPO",'caseload data'!$A:$A,"Wales")</f>
        <v>0</v>
      </c>
      <c r="I49" s="107">
        <f>SUMIFS('caseload data'!J:J,'caseload data'!$D:$D,"TPO",'caseload data'!$A:$A,"Wales")</f>
        <v>0</v>
      </c>
      <c r="J49" s="107">
        <f>SUMIFS('caseload data'!K:K,'caseload data'!$D:$D,"TPO",'caseload data'!$A:$A,"Wales")</f>
        <v>0</v>
      </c>
      <c r="K49" s="107">
        <f>SUMIFS('caseload data'!L:L,'caseload data'!$D:$D,"TPO",'caseload data'!$A:$A,"Wales")</f>
        <v>0</v>
      </c>
      <c r="L49" s="107">
        <f>SUMIFS('caseload data'!M:M,'caseload data'!$D:$D,"TPO",'caseload data'!$A:$A,"Wales")</f>
        <v>0</v>
      </c>
      <c r="M49" s="107">
        <f>SUMIFS('caseload data'!N:N,'caseload data'!$D:$D,"TPO",'caseload data'!$A:$A,"Wales")</f>
        <v>0</v>
      </c>
      <c r="N49" s="107">
        <f>SUMIFS('caseload data'!O:O,'caseload data'!$D:$D,"TPO",'caseload data'!$A:$A,"Wales")</f>
        <v>0</v>
      </c>
      <c r="O49" s="107">
        <f>SUMIFS('caseload data'!P:P,'caseload data'!$D:$D,"TPO",'caseload data'!$A:$A,"Wales")</f>
        <v>0</v>
      </c>
      <c r="P49" s="107">
        <f>SUMIFS('caseload data'!Q:Q,'caseload data'!$D:$D,"TPO",'caseload data'!$A:$A,"Wales")</f>
        <v>0</v>
      </c>
      <c r="Q49" s="107">
        <f>SUMIFS('caseload data'!R:R,'caseload data'!$D:$D,"TPO",'caseload data'!$A:$A,"Wales")</f>
        <v>0</v>
      </c>
      <c r="R49" s="107">
        <f>SUMIFS('caseload data'!S:S,'caseload data'!$D:$D,"TPO",'caseload data'!$A:$A,"Wales")</f>
        <v>0</v>
      </c>
      <c r="S49" s="107">
        <f>SUMIFS('caseload data'!T:T,'caseload data'!$D:$D,"TPO",'caseload data'!$A:$A,"Wales")</f>
        <v>0</v>
      </c>
      <c r="T49" s="107">
        <f>SUMIFS('caseload data'!V:V,'caseload data'!$D:$D,"TPO",'caseload data'!$A:$A,"Wales")</f>
        <v>0</v>
      </c>
      <c r="U49" s="76"/>
      <c r="V49" s="76"/>
      <c r="W49" s="304"/>
      <c r="X49" s="142" t="s">
        <v>1039</v>
      </c>
      <c r="Y49" s="187" t="e">
        <f>SUM(D49)/SUM(D$47:D$50)</f>
        <v>#DIV/0!</v>
      </c>
      <c r="Z49" s="187" t="e">
        <f t="shared" si="9"/>
        <v>#DIV/0!</v>
      </c>
      <c r="AA49" s="187" t="e">
        <f t="shared" si="9"/>
        <v>#DIV/0!</v>
      </c>
      <c r="AB49" s="187" t="e">
        <f t="shared" si="9"/>
        <v>#DIV/0!</v>
      </c>
      <c r="AC49" s="187" t="e">
        <f t="shared" si="9"/>
        <v>#DIV/0!</v>
      </c>
      <c r="AD49" s="187" t="e">
        <f t="shared" si="9"/>
        <v>#DIV/0!</v>
      </c>
      <c r="AE49" s="187" t="e">
        <f t="shared" si="9"/>
        <v>#DIV/0!</v>
      </c>
      <c r="AF49" s="187" t="e">
        <f t="shared" si="9"/>
        <v>#DIV/0!</v>
      </c>
      <c r="AG49" s="187" t="e">
        <f t="shared" si="9"/>
        <v>#DIV/0!</v>
      </c>
      <c r="AH49" s="187" t="e">
        <f t="shared" si="9"/>
        <v>#DIV/0!</v>
      </c>
      <c r="AI49" s="187" t="e">
        <f t="shared" si="9"/>
        <v>#DIV/0!</v>
      </c>
      <c r="AJ49" s="187" t="e">
        <f t="shared" si="9"/>
        <v>#DIV/0!</v>
      </c>
      <c r="AK49" s="187" t="e">
        <f t="shared" si="9"/>
        <v>#DIV/0!</v>
      </c>
      <c r="AL49" s="187" t="e">
        <f t="shared" si="9"/>
        <v>#DIV/0!</v>
      </c>
      <c r="AM49" s="187" t="e">
        <f t="shared" si="9"/>
        <v>#DIV/0!</v>
      </c>
      <c r="AN49" s="187" t="e">
        <f t="shared" si="9"/>
        <v>#DIV/0!</v>
      </c>
    </row>
    <row r="50" spans="2:40" x14ac:dyDescent="0.15">
      <c r="B50" s="309"/>
      <c r="C50" s="143" t="s">
        <v>1040</v>
      </c>
      <c r="D50" s="107">
        <f>SUMIFS('caseload data'!E:E,'caseload data'!$D:$D,"SPO",'caseload data'!$A:$A,"Wales")</f>
        <v>0</v>
      </c>
      <c r="E50" s="107">
        <f>SUMIFS('caseload data'!F:F,'caseload data'!$D:$D,"SPO",'caseload data'!$A:$A,"Wales")</f>
        <v>0</v>
      </c>
      <c r="F50" s="107">
        <f>SUMIFS('caseload data'!G:G,'caseload data'!$D:$D,"SPO",'caseload data'!$A:$A,"Wales")</f>
        <v>0</v>
      </c>
      <c r="G50" s="107">
        <f>SUMIFS('caseload data'!H:H,'caseload data'!$D:$D,"SPO",'caseload data'!$A:$A,"Wales")</f>
        <v>0</v>
      </c>
      <c r="H50" s="107">
        <f>SUMIFS('caseload data'!I:I,'caseload data'!$D:$D,"SPO",'caseload data'!$A:$A,"Wales")</f>
        <v>0</v>
      </c>
      <c r="I50" s="107">
        <f>SUMIFS('caseload data'!J:J,'caseload data'!$D:$D,"SPO",'caseload data'!$A:$A,"Wales")</f>
        <v>0</v>
      </c>
      <c r="J50" s="107">
        <f>SUMIFS('caseload data'!K:K,'caseload data'!$D:$D,"SPO",'caseload data'!$A:$A,"Wales")</f>
        <v>0</v>
      </c>
      <c r="K50" s="107">
        <f>SUMIFS('caseload data'!L:L,'caseload data'!$D:$D,"SPO",'caseload data'!$A:$A,"Wales")</f>
        <v>0</v>
      </c>
      <c r="L50" s="107">
        <f>SUMIFS('caseload data'!M:M,'caseload data'!$D:$D,"SPO",'caseload data'!$A:$A,"Wales")</f>
        <v>0</v>
      </c>
      <c r="M50" s="107">
        <f>SUMIFS('caseload data'!N:N,'caseload data'!$D:$D,"SPO",'caseload data'!$A:$A,"Wales")</f>
        <v>0</v>
      </c>
      <c r="N50" s="107">
        <f>SUMIFS('caseload data'!O:O,'caseload data'!$D:$D,"SPO",'caseload data'!$A:$A,"Wales")</f>
        <v>0</v>
      </c>
      <c r="O50" s="107">
        <f>SUMIFS('caseload data'!P:P,'caseload data'!$D:$D,"SPO",'caseload data'!$A:$A,"Wales")</f>
        <v>0</v>
      </c>
      <c r="P50" s="107">
        <f>SUMIFS('caseload data'!Q:Q,'caseload data'!$D:$D,"SPO",'caseload data'!$A:$A,"Wales")</f>
        <v>0</v>
      </c>
      <c r="Q50" s="107">
        <f>SUMIFS('caseload data'!R:R,'caseload data'!$D:$D,"SPO",'caseload data'!$A:$A,"Wales")</f>
        <v>0</v>
      </c>
      <c r="R50" s="107">
        <f>SUMIFS('caseload data'!S:S,'caseload data'!$D:$D,"SPO",'caseload data'!$A:$A,"Wales")</f>
        <v>0</v>
      </c>
      <c r="S50" s="107">
        <f>SUMIFS('caseload data'!T:T,'caseload data'!$D:$D,"SPO",'caseload data'!$A:$A,"Wales")</f>
        <v>0</v>
      </c>
      <c r="T50" s="107">
        <f>SUMIFS('caseload data'!V:V,'caseload data'!$D:$D,"SPO",'caseload data'!$A:$A,"Wales")</f>
        <v>0</v>
      </c>
      <c r="U50" s="76"/>
      <c r="V50" s="76"/>
      <c r="W50" s="309"/>
      <c r="X50" s="143" t="s">
        <v>1040</v>
      </c>
      <c r="Y50" s="187" t="e">
        <f>SUM(D50)/SUM(D$47:D$50)</f>
        <v>#DIV/0!</v>
      </c>
      <c r="Z50" s="187" t="e">
        <f t="shared" si="9"/>
        <v>#DIV/0!</v>
      </c>
      <c r="AA50" s="187" t="e">
        <f t="shared" si="9"/>
        <v>#DIV/0!</v>
      </c>
      <c r="AB50" s="187" t="e">
        <f t="shared" si="9"/>
        <v>#DIV/0!</v>
      </c>
      <c r="AC50" s="187" t="e">
        <f t="shared" si="9"/>
        <v>#DIV/0!</v>
      </c>
      <c r="AD50" s="187" t="e">
        <f t="shared" si="9"/>
        <v>#DIV/0!</v>
      </c>
      <c r="AE50" s="187" t="e">
        <f t="shared" si="9"/>
        <v>#DIV/0!</v>
      </c>
      <c r="AF50" s="187" t="e">
        <f t="shared" si="9"/>
        <v>#DIV/0!</v>
      </c>
      <c r="AG50" s="187" t="e">
        <f t="shared" si="9"/>
        <v>#DIV/0!</v>
      </c>
      <c r="AH50" s="187" t="e">
        <f t="shared" si="9"/>
        <v>#DIV/0!</v>
      </c>
      <c r="AI50" s="187" t="e">
        <f t="shared" si="9"/>
        <v>#DIV/0!</v>
      </c>
      <c r="AJ50" s="187" t="e">
        <f t="shared" si="9"/>
        <v>#DIV/0!</v>
      </c>
      <c r="AK50" s="187" t="e">
        <f t="shared" si="9"/>
        <v>#DIV/0!</v>
      </c>
      <c r="AL50" s="187" t="e">
        <f t="shared" si="9"/>
        <v>#DIV/0!</v>
      </c>
      <c r="AM50" s="187" t="e">
        <f t="shared" si="9"/>
        <v>#DIV/0!</v>
      </c>
      <c r="AN50" s="187" t="e">
        <f t="shared" si="9"/>
        <v>#DIV/0!</v>
      </c>
    </row>
    <row r="51" spans="2:40" x14ac:dyDescent="0.15">
      <c r="B51" s="303" t="s">
        <v>28</v>
      </c>
      <c r="C51" s="141" t="s">
        <v>1037</v>
      </c>
      <c r="D51" s="107">
        <f>SUMIFS('caseload data'!E:E,'caseload data'!$D:$D,"PO",'caseload data'!$A:$A,$B$51)</f>
        <v>0</v>
      </c>
      <c r="E51" s="107">
        <f>SUMIFS('caseload data'!F:F,'caseload data'!$D:$D,"PO",'caseload data'!$A:$A,$B$51)</f>
        <v>0</v>
      </c>
      <c r="F51" s="107">
        <f>SUMIFS('caseload data'!G:G,'caseload data'!$D:$D,"PO",'caseload data'!$A:$A,$B$51)</f>
        <v>0</v>
      </c>
      <c r="G51" s="107">
        <f>SUMIFS('caseload data'!H:H,'caseload data'!$D:$D,"PO",'caseload data'!$A:$A,$B$51)</f>
        <v>0</v>
      </c>
      <c r="H51" s="107">
        <f>SUMIFS('caseload data'!I:I,'caseload data'!$D:$D,"PO",'caseload data'!$A:$A,$B$51)</f>
        <v>0</v>
      </c>
      <c r="I51" s="107">
        <f>SUMIFS('caseload data'!J:J,'caseload data'!$D:$D,"PO",'caseload data'!$A:$A,$B$51)</f>
        <v>0</v>
      </c>
      <c r="J51" s="107">
        <f>SUMIFS('caseload data'!K:K,'caseload data'!$D:$D,"PO",'caseload data'!$A:$A,$B$51)</f>
        <v>0</v>
      </c>
      <c r="K51" s="107">
        <f>SUMIFS('caseload data'!L:L,'caseload data'!$D:$D,"PO",'caseload data'!$A:$A,$B$51)</f>
        <v>0</v>
      </c>
      <c r="L51" s="107">
        <f>SUMIFS('caseload data'!M:M,'caseload data'!$D:$D,"PO",'caseload data'!$A:$A,$B$51)</f>
        <v>0</v>
      </c>
      <c r="M51" s="107">
        <f>SUMIFS('caseload data'!N:N,'caseload data'!$D:$D,"PO",'caseload data'!$A:$A,$B$51)</f>
        <v>0</v>
      </c>
      <c r="N51" s="107">
        <f>SUMIFS('caseload data'!O:O,'caseload data'!$D:$D,"PO",'caseload data'!$A:$A,$B$51)</f>
        <v>0</v>
      </c>
      <c r="O51" s="107">
        <f>SUMIFS('caseload data'!P:P,'caseload data'!$D:$D,"PO",'caseload data'!$A:$A,$B$51)</f>
        <v>0</v>
      </c>
      <c r="P51" s="107">
        <f>SUMIFS('caseload data'!Q:Q,'caseload data'!$D:$D,"PO",'caseload data'!$A:$A,$B$51)</f>
        <v>0</v>
      </c>
      <c r="Q51" s="107">
        <f>SUMIFS('caseload data'!R:R,'caseload data'!$D:$D,"PO",'caseload data'!$A:$A,$B$51)</f>
        <v>0</v>
      </c>
      <c r="R51" s="107">
        <f>SUMIFS('caseload data'!S:S,'caseload data'!$D:$D,"PO",'caseload data'!$A:$A,$B$51)</f>
        <v>0</v>
      </c>
      <c r="S51" s="107">
        <f>SUMIFS('caseload data'!T:T,'caseload data'!$D:$D,"PO",'caseload data'!$A:$A,$B$51)</f>
        <v>0</v>
      </c>
      <c r="T51" s="107">
        <f>SUMIFS('caseload data'!V:V,'caseload data'!$D:$D,"PO",'caseload data'!$A:$A,B51)</f>
        <v>0</v>
      </c>
      <c r="U51" s="76"/>
      <c r="V51" s="76"/>
      <c r="W51" s="303" t="s">
        <v>28</v>
      </c>
      <c r="X51" s="141" t="s">
        <v>1037</v>
      </c>
      <c r="Y51" s="187" t="e">
        <f>SUM(D51)/SUM(D$51:D$54)</f>
        <v>#DIV/0!</v>
      </c>
      <c r="Z51" s="187" t="e">
        <f t="shared" ref="Z51:AN54" si="10">SUM(E51)/SUM(E$51:E$54)</f>
        <v>#DIV/0!</v>
      </c>
      <c r="AA51" s="187" t="e">
        <f t="shared" si="10"/>
        <v>#DIV/0!</v>
      </c>
      <c r="AB51" s="187" t="e">
        <f t="shared" si="10"/>
        <v>#DIV/0!</v>
      </c>
      <c r="AC51" s="187" t="e">
        <f t="shared" si="10"/>
        <v>#DIV/0!</v>
      </c>
      <c r="AD51" s="187" t="e">
        <f t="shared" si="10"/>
        <v>#DIV/0!</v>
      </c>
      <c r="AE51" s="187" t="e">
        <f t="shared" si="10"/>
        <v>#DIV/0!</v>
      </c>
      <c r="AF51" s="187" t="e">
        <f t="shared" si="10"/>
        <v>#DIV/0!</v>
      </c>
      <c r="AG51" s="187" t="e">
        <f t="shared" si="10"/>
        <v>#DIV/0!</v>
      </c>
      <c r="AH51" s="187" t="e">
        <f t="shared" si="10"/>
        <v>#DIV/0!</v>
      </c>
      <c r="AI51" s="187" t="e">
        <f t="shared" si="10"/>
        <v>#DIV/0!</v>
      </c>
      <c r="AJ51" s="187" t="e">
        <f t="shared" si="10"/>
        <v>#DIV/0!</v>
      </c>
      <c r="AK51" s="187" t="e">
        <f t="shared" si="10"/>
        <v>#DIV/0!</v>
      </c>
      <c r="AL51" s="187" t="e">
        <f t="shared" si="10"/>
        <v>#DIV/0!</v>
      </c>
      <c r="AM51" s="187" t="e">
        <f t="shared" si="10"/>
        <v>#DIV/0!</v>
      </c>
      <c r="AN51" s="187" t="e">
        <f t="shared" si="10"/>
        <v>#DIV/0!</v>
      </c>
    </row>
    <row r="52" spans="2:40" x14ac:dyDescent="0.15">
      <c r="B52" s="304"/>
      <c r="C52" s="142" t="s">
        <v>1038</v>
      </c>
      <c r="D52" s="107">
        <f>SUMIFS('caseload data'!E:E,'caseload data'!$D:$D,"PSO",'caseload data'!$A:$A,"West Midlands Region")</f>
        <v>0</v>
      </c>
      <c r="E52" s="107">
        <f>SUMIFS('caseload data'!F:F,'caseload data'!$D:$D,"PSO",'caseload data'!$A:$A,"West Midlands Region")</f>
        <v>0</v>
      </c>
      <c r="F52" s="107">
        <f>SUMIFS('caseload data'!G:G,'caseload data'!$D:$D,"PSO",'caseload data'!$A:$A,"West Midlands Region")</f>
        <v>0</v>
      </c>
      <c r="G52" s="107">
        <f>SUMIFS('caseload data'!H:H,'caseload data'!$D:$D,"PSO",'caseload data'!$A:$A,"West Midlands Region")</f>
        <v>0</v>
      </c>
      <c r="H52" s="107">
        <f>SUMIFS('caseload data'!I:I,'caseload data'!$D:$D,"PSO",'caseload data'!$A:$A,"West Midlands Region")</f>
        <v>0</v>
      </c>
      <c r="I52" s="107">
        <f>SUMIFS('caseload data'!J:J,'caseload data'!$D:$D,"PSO",'caseload data'!$A:$A,"West Midlands Region")</f>
        <v>0</v>
      </c>
      <c r="J52" s="107">
        <f>SUMIFS('caseload data'!K:K,'caseload data'!$D:$D,"PSO",'caseload data'!$A:$A,"West Midlands Region")</f>
        <v>0</v>
      </c>
      <c r="K52" s="107">
        <f>SUMIFS('caseload data'!L:L,'caseload data'!$D:$D,"PSO",'caseload data'!$A:$A,"West Midlands Region")</f>
        <v>0</v>
      </c>
      <c r="L52" s="107">
        <f>SUMIFS('caseload data'!M:M,'caseload data'!$D:$D,"PSO",'caseload data'!$A:$A,"West Midlands Region")</f>
        <v>0</v>
      </c>
      <c r="M52" s="107">
        <f>SUMIFS('caseload data'!N:N,'caseload data'!$D:$D,"PSO",'caseload data'!$A:$A,"West Midlands Region")</f>
        <v>0</v>
      </c>
      <c r="N52" s="107">
        <f>SUMIFS('caseload data'!O:O,'caseload data'!$D:$D,"PSO",'caseload data'!$A:$A,"West Midlands Region")</f>
        <v>0</v>
      </c>
      <c r="O52" s="107">
        <f>SUMIFS('caseload data'!P:P,'caseload data'!$D:$D,"PSO",'caseload data'!$A:$A,"West Midlands Region")</f>
        <v>0</v>
      </c>
      <c r="P52" s="107">
        <f>SUMIFS('caseload data'!Q:Q,'caseload data'!$D:$D,"PSO",'caseload data'!$A:$A,"West Midlands Region")</f>
        <v>0</v>
      </c>
      <c r="Q52" s="107">
        <f>SUMIFS('caseload data'!R:R,'caseload data'!$D:$D,"PSO",'caseload data'!$A:$A,"West Midlands Region")</f>
        <v>0</v>
      </c>
      <c r="R52" s="107">
        <f>SUMIFS('caseload data'!S:S,'caseload data'!$D:$D,"PSO",'caseload data'!$A:$A,"West Midlands Region")</f>
        <v>0</v>
      </c>
      <c r="S52" s="107">
        <f>SUMIFS('caseload data'!T:T,'caseload data'!$D:$D,"PSO",'caseload data'!$A:$A,"West Midlands Region")</f>
        <v>0</v>
      </c>
      <c r="T52" s="107">
        <f>SUMIFS('caseload data'!V:V,'caseload data'!$D:$D,"PSO",'caseload data'!$A:$A,"West Midlands Region")</f>
        <v>0</v>
      </c>
      <c r="U52" s="76"/>
      <c r="V52" s="76"/>
      <c r="W52" s="304"/>
      <c r="X52" s="142" t="s">
        <v>1038</v>
      </c>
      <c r="Y52" s="187" t="e">
        <f>SUM(D52)/SUM(D$51:D$54)</f>
        <v>#DIV/0!</v>
      </c>
      <c r="Z52" s="187" t="e">
        <f t="shared" si="10"/>
        <v>#DIV/0!</v>
      </c>
      <c r="AA52" s="187" t="e">
        <f t="shared" si="10"/>
        <v>#DIV/0!</v>
      </c>
      <c r="AB52" s="187" t="e">
        <f t="shared" si="10"/>
        <v>#DIV/0!</v>
      </c>
      <c r="AC52" s="187" t="e">
        <f t="shared" si="10"/>
        <v>#DIV/0!</v>
      </c>
      <c r="AD52" s="187" t="e">
        <f t="shared" si="10"/>
        <v>#DIV/0!</v>
      </c>
      <c r="AE52" s="187" t="e">
        <f t="shared" si="10"/>
        <v>#DIV/0!</v>
      </c>
      <c r="AF52" s="187" t="e">
        <f t="shared" si="10"/>
        <v>#DIV/0!</v>
      </c>
      <c r="AG52" s="187" t="e">
        <f t="shared" si="10"/>
        <v>#DIV/0!</v>
      </c>
      <c r="AH52" s="187" t="e">
        <f t="shared" si="10"/>
        <v>#DIV/0!</v>
      </c>
      <c r="AI52" s="187" t="e">
        <f t="shared" si="10"/>
        <v>#DIV/0!</v>
      </c>
      <c r="AJ52" s="187" t="e">
        <f t="shared" si="10"/>
        <v>#DIV/0!</v>
      </c>
      <c r="AK52" s="187" t="e">
        <f t="shared" si="10"/>
        <v>#DIV/0!</v>
      </c>
      <c r="AL52" s="187" t="e">
        <f t="shared" si="10"/>
        <v>#DIV/0!</v>
      </c>
      <c r="AM52" s="187" t="e">
        <f t="shared" si="10"/>
        <v>#DIV/0!</v>
      </c>
      <c r="AN52" s="187" t="e">
        <f t="shared" si="10"/>
        <v>#DIV/0!</v>
      </c>
    </row>
    <row r="53" spans="2:40" x14ac:dyDescent="0.15">
      <c r="B53" s="304"/>
      <c r="C53" s="142" t="s">
        <v>1039</v>
      </c>
      <c r="D53" s="107">
        <f>SUMIFS('caseload data'!E:E,'caseload data'!$D:$D,"TPO",'caseload data'!$A:$A,"West Midlands Region")</f>
        <v>0</v>
      </c>
      <c r="E53" s="107">
        <f>SUMIFS('caseload data'!F:F,'caseload data'!$D:$D,"TPO",'caseload data'!$A:$A,"West Midlands Region")</f>
        <v>0</v>
      </c>
      <c r="F53" s="107">
        <f>SUMIFS('caseload data'!G:G,'caseload data'!$D:$D,"TPO",'caseload data'!$A:$A,"West Midlands Region")</f>
        <v>0</v>
      </c>
      <c r="G53" s="107">
        <f>SUMIFS('caseload data'!H:H,'caseload data'!$D:$D,"TPO",'caseload data'!$A:$A,"West Midlands Region")</f>
        <v>0</v>
      </c>
      <c r="H53" s="107">
        <f>SUMIFS('caseload data'!I:I,'caseload data'!$D:$D,"TPO",'caseload data'!$A:$A,"West Midlands Region")</f>
        <v>0</v>
      </c>
      <c r="I53" s="107">
        <f>SUMIFS('caseload data'!J:J,'caseload data'!$D:$D,"TPO",'caseload data'!$A:$A,"West Midlands Region")</f>
        <v>0</v>
      </c>
      <c r="J53" s="107">
        <f>SUMIFS('caseload data'!K:K,'caseload data'!$D:$D,"TPO",'caseload data'!$A:$A,"West Midlands Region")</f>
        <v>0</v>
      </c>
      <c r="K53" s="107">
        <f>SUMIFS('caseload data'!L:L,'caseload data'!$D:$D,"TPO",'caseload data'!$A:$A,"West Midlands Region")</f>
        <v>0</v>
      </c>
      <c r="L53" s="107">
        <f>SUMIFS('caseload data'!M:M,'caseload data'!$D:$D,"TPO",'caseload data'!$A:$A,"West Midlands Region")</f>
        <v>0</v>
      </c>
      <c r="M53" s="107">
        <f>SUMIFS('caseload data'!N:N,'caseload data'!$D:$D,"TPO",'caseload data'!$A:$A,"West Midlands Region")</f>
        <v>0</v>
      </c>
      <c r="N53" s="107">
        <f>SUMIFS('caseload data'!O:O,'caseload data'!$D:$D,"TPO",'caseload data'!$A:$A,"West Midlands Region")</f>
        <v>0</v>
      </c>
      <c r="O53" s="107">
        <f>SUMIFS('caseload data'!P:P,'caseload data'!$D:$D,"TPO",'caseload data'!$A:$A,"West Midlands Region")</f>
        <v>0</v>
      </c>
      <c r="P53" s="107">
        <f>SUMIFS('caseload data'!Q:Q,'caseload data'!$D:$D,"TPO",'caseload data'!$A:$A,"West Midlands Region")</f>
        <v>0</v>
      </c>
      <c r="Q53" s="107">
        <f>SUMIFS('caseload data'!R:R,'caseload data'!$D:$D,"TPO",'caseload data'!$A:$A,"West Midlands Region")</f>
        <v>0</v>
      </c>
      <c r="R53" s="107">
        <f>SUMIFS('caseload data'!S:S,'caseload data'!$D:$D,"TPO",'caseload data'!$A:$A,"West Midlands Region")</f>
        <v>0</v>
      </c>
      <c r="S53" s="107">
        <f>SUMIFS('caseload data'!T:T,'caseload data'!$D:$D,"TPO",'caseload data'!$A:$A,"West Midlands Region")</f>
        <v>0</v>
      </c>
      <c r="T53" s="107">
        <f>SUMIFS('caseload data'!V:V,'caseload data'!$D:$D,"TPO",'caseload data'!$A:$A,"West Midlands Region")</f>
        <v>0</v>
      </c>
      <c r="U53" s="76"/>
      <c r="V53" s="76"/>
      <c r="W53" s="304"/>
      <c r="X53" s="142" t="s">
        <v>1039</v>
      </c>
      <c r="Y53" s="187" t="e">
        <f>SUM(D53)/SUM(D$51:D$54)</f>
        <v>#DIV/0!</v>
      </c>
      <c r="Z53" s="187" t="e">
        <f t="shared" si="10"/>
        <v>#DIV/0!</v>
      </c>
      <c r="AA53" s="187" t="e">
        <f t="shared" si="10"/>
        <v>#DIV/0!</v>
      </c>
      <c r="AB53" s="187" t="e">
        <f t="shared" si="10"/>
        <v>#DIV/0!</v>
      </c>
      <c r="AC53" s="187" t="e">
        <f t="shared" si="10"/>
        <v>#DIV/0!</v>
      </c>
      <c r="AD53" s="187" t="e">
        <f t="shared" si="10"/>
        <v>#DIV/0!</v>
      </c>
      <c r="AE53" s="187" t="e">
        <f t="shared" si="10"/>
        <v>#DIV/0!</v>
      </c>
      <c r="AF53" s="187" t="e">
        <f t="shared" si="10"/>
        <v>#DIV/0!</v>
      </c>
      <c r="AG53" s="187" t="e">
        <f t="shared" si="10"/>
        <v>#DIV/0!</v>
      </c>
      <c r="AH53" s="187" t="e">
        <f t="shared" si="10"/>
        <v>#DIV/0!</v>
      </c>
      <c r="AI53" s="187" t="e">
        <f t="shared" si="10"/>
        <v>#DIV/0!</v>
      </c>
      <c r="AJ53" s="187" t="e">
        <f t="shared" si="10"/>
        <v>#DIV/0!</v>
      </c>
      <c r="AK53" s="187" t="e">
        <f t="shared" si="10"/>
        <v>#DIV/0!</v>
      </c>
      <c r="AL53" s="187" t="e">
        <f t="shared" si="10"/>
        <v>#DIV/0!</v>
      </c>
      <c r="AM53" s="187" t="e">
        <f t="shared" si="10"/>
        <v>#DIV/0!</v>
      </c>
      <c r="AN53" s="187" t="e">
        <f t="shared" si="10"/>
        <v>#DIV/0!</v>
      </c>
    </row>
    <row r="54" spans="2:40" x14ac:dyDescent="0.15">
      <c r="B54" s="309"/>
      <c r="C54" s="143" t="s">
        <v>1040</v>
      </c>
      <c r="D54" s="107">
        <f>SUMIFS('caseload data'!E:E,'caseload data'!$D:$D,"SPO",'caseload data'!$A:$A,"West Midlands Region")</f>
        <v>0</v>
      </c>
      <c r="E54" s="107">
        <f>SUMIFS('caseload data'!F:F,'caseload data'!$D:$D,"SPO",'caseload data'!$A:$A,"West Midlands Region")</f>
        <v>0</v>
      </c>
      <c r="F54" s="107">
        <f>SUMIFS('caseload data'!G:G,'caseload data'!$D:$D,"SPO",'caseload data'!$A:$A,"West Midlands Region")</f>
        <v>0</v>
      </c>
      <c r="G54" s="107">
        <f>SUMIFS('caseload data'!H:H,'caseload data'!$D:$D,"SPO",'caseload data'!$A:$A,"West Midlands Region")</f>
        <v>0</v>
      </c>
      <c r="H54" s="107">
        <f>SUMIFS('caseload data'!I:I,'caseload data'!$D:$D,"SPO",'caseload data'!$A:$A,"West Midlands Region")</f>
        <v>0</v>
      </c>
      <c r="I54" s="107">
        <f>SUMIFS('caseload data'!J:J,'caseload data'!$D:$D,"SPO",'caseload data'!$A:$A,"West Midlands Region")</f>
        <v>0</v>
      </c>
      <c r="J54" s="107">
        <f>SUMIFS('caseload data'!K:K,'caseload data'!$D:$D,"SPO",'caseload data'!$A:$A,"West Midlands Region")</f>
        <v>0</v>
      </c>
      <c r="K54" s="107">
        <f>SUMIFS('caseload data'!L:L,'caseload data'!$D:$D,"SPO",'caseload data'!$A:$A,"West Midlands Region")</f>
        <v>0</v>
      </c>
      <c r="L54" s="107">
        <f>SUMIFS('caseload data'!M:M,'caseload data'!$D:$D,"SPO",'caseload data'!$A:$A,"West Midlands Region")</f>
        <v>0</v>
      </c>
      <c r="M54" s="107">
        <f>SUMIFS('caseload data'!N:N,'caseload data'!$D:$D,"SPO",'caseload data'!$A:$A,"West Midlands Region")</f>
        <v>0</v>
      </c>
      <c r="N54" s="107">
        <f>SUMIFS('caseload data'!O:O,'caseload data'!$D:$D,"SPO",'caseload data'!$A:$A,"West Midlands Region")</f>
        <v>0</v>
      </c>
      <c r="O54" s="107">
        <f>SUMIFS('caseload data'!P:P,'caseload data'!$D:$D,"SPO",'caseload data'!$A:$A,"West Midlands Region")</f>
        <v>0</v>
      </c>
      <c r="P54" s="107">
        <f>SUMIFS('caseload data'!Q:Q,'caseload data'!$D:$D,"SPO",'caseload data'!$A:$A,"West Midlands Region")</f>
        <v>0</v>
      </c>
      <c r="Q54" s="107">
        <f>SUMIFS('caseload data'!R:R,'caseload data'!$D:$D,"SPO",'caseload data'!$A:$A,"West Midlands Region")</f>
        <v>0</v>
      </c>
      <c r="R54" s="107">
        <f>SUMIFS('caseload data'!S:S,'caseload data'!$D:$D,"SPO",'caseload data'!$A:$A,"West Midlands Region")</f>
        <v>0</v>
      </c>
      <c r="S54" s="107">
        <f>SUMIFS('caseload data'!T:T,'caseload data'!$D:$D,"SPO",'caseload data'!$A:$A,"West Midlands Region")</f>
        <v>0</v>
      </c>
      <c r="T54" s="107">
        <f>SUMIFS('caseload data'!V:V,'caseload data'!$D:$D,"SPO",'caseload data'!$A:$A,"West Midlands Region")</f>
        <v>0</v>
      </c>
      <c r="U54" s="76"/>
      <c r="V54" s="76"/>
      <c r="W54" s="309"/>
      <c r="X54" s="143" t="s">
        <v>1040</v>
      </c>
      <c r="Y54" s="187" t="e">
        <f>SUM(D54)/SUM(D$51:D$54)</f>
        <v>#DIV/0!</v>
      </c>
      <c r="Z54" s="187" t="e">
        <f t="shared" si="10"/>
        <v>#DIV/0!</v>
      </c>
      <c r="AA54" s="187" t="e">
        <f t="shared" si="10"/>
        <v>#DIV/0!</v>
      </c>
      <c r="AB54" s="187" t="e">
        <f t="shared" si="10"/>
        <v>#DIV/0!</v>
      </c>
      <c r="AC54" s="187" t="e">
        <f t="shared" si="10"/>
        <v>#DIV/0!</v>
      </c>
      <c r="AD54" s="187" t="e">
        <f t="shared" si="10"/>
        <v>#DIV/0!</v>
      </c>
      <c r="AE54" s="187" t="e">
        <f t="shared" si="10"/>
        <v>#DIV/0!</v>
      </c>
      <c r="AF54" s="187" t="e">
        <f t="shared" si="10"/>
        <v>#DIV/0!</v>
      </c>
      <c r="AG54" s="187" t="e">
        <f t="shared" si="10"/>
        <v>#DIV/0!</v>
      </c>
      <c r="AH54" s="187" t="e">
        <f t="shared" si="10"/>
        <v>#DIV/0!</v>
      </c>
      <c r="AI54" s="187" t="e">
        <f t="shared" si="10"/>
        <v>#DIV/0!</v>
      </c>
      <c r="AJ54" s="187" t="e">
        <f t="shared" si="10"/>
        <v>#DIV/0!</v>
      </c>
      <c r="AK54" s="187" t="e">
        <f t="shared" si="10"/>
        <v>#DIV/0!</v>
      </c>
      <c r="AL54" s="187" t="e">
        <f t="shared" si="10"/>
        <v>#DIV/0!</v>
      </c>
      <c r="AM54" s="187" t="e">
        <f t="shared" si="10"/>
        <v>#DIV/0!</v>
      </c>
      <c r="AN54" s="187" t="e">
        <f t="shared" si="10"/>
        <v>#DIV/0!</v>
      </c>
    </row>
    <row r="55" spans="2:40" x14ac:dyDescent="0.15">
      <c r="B55" s="303" t="s">
        <v>1409</v>
      </c>
      <c r="C55" s="141" t="s">
        <v>1037</v>
      </c>
      <c r="D55" s="107">
        <f>SUMIFS('caseload data'!E:E,'caseload data'!$D:$D,"PO",'caseload data'!$A:$A,$B$55)</f>
        <v>0</v>
      </c>
      <c r="E55" s="107">
        <f>SUMIFS('caseload data'!F:F,'caseload data'!$D:$D,"PO",'caseload data'!$A:$A,$B$55)</f>
        <v>0</v>
      </c>
      <c r="F55" s="107">
        <f>SUMIFS('caseload data'!G:G,'caseload data'!$D:$D,"PO",'caseload data'!$A:$A,$B$55)</f>
        <v>0</v>
      </c>
      <c r="G55" s="107">
        <f>SUMIFS('caseload data'!H:H,'caseload data'!$D:$D,"PO",'caseload data'!$A:$A,$B$55)</f>
        <v>0</v>
      </c>
      <c r="H55" s="107">
        <f>SUMIFS('caseload data'!I:I,'caseload data'!$D:$D,"PO",'caseload data'!$A:$A,$B$55)</f>
        <v>0</v>
      </c>
      <c r="I55" s="107">
        <f>SUMIFS('caseload data'!J:J,'caseload data'!$D:$D,"PO",'caseload data'!$A:$A,$B$55)</f>
        <v>0</v>
      </c>
      <c r="J55" s="107">
        <f>SUMIFS('caseload data'!K:K,'caseload data'!$D:$D,"PO",'caseload data'!$A:$A,$B$55)</f>
        <v>0</v>
      </c>
      <c r="K55" s="107">
        <f>SUMIFS('caseload data'!L:L,'caseload data'!$D:$D,"PO",'caseload data'!$A:$A,$B$55)</f>
        <v>0</v>
      </c>
      <c r="L55" s="107">
        <f>SUMIFS('caseload data'!M:M,'caseload data'!$D:$D,"PO",'caseload data'!$A:$A,$B$55)</f>
        <v>0</v>
      </c>
      <c r="M55" s="107">
        <f>SUMIFS('caseload data'!N:N,'caseload data'!$D:$D,"PO",'caseload data'!$A:$A,$B$55)</f>
        <v>0</v>
      </c>
      <c r="N55" s="107">
        <f>SUMIFS('caseload data'!O:O,'caseload data'!$D:$D,"PO",'caseload data'!$A:$A,$B$55)</f>
        <v>0</v>
      </c>
      <c r="O55" s="107">
        <f>SUMIFS('caseload data'!P:P,'caseload data'!$D:$D,"PO",'caseload data'!$A:$A,$B$55)</f>
        <v>0</v>
      </c>
      <c r="P55" s="107">
        <f>SUMIFS('caseload data'!Q:Q,'caseload data'!$D:$D,"PO",'caseload data'!$A:$A,$B$55)</f>
        <v>0</v>
      </c>
      <c r="Q55" s="107">
        <f>SUMIFS('caseload data'!R:R,'caseload data'!$D:$D,"PO",'caseload data'!$A:$A,$B$55)</f>
        <v>0</v>
      </c>
      <c r="R55" s="107">
        <f>SUMIFS('caseload data'!S:S,'caseload data'!$D:$D,"PO",'caseload data'!$A:$A,$B$55)</f>
        <v>0</v>
      </c>
      <c r="S55" s="107">
        <f>SUMIFS('caseload data'!T:T,'caseload data'!$D:$D,"PO",'caseload data'!$A:$A,$B$55)</f>
        <v>0</v>
      </c>
      <c r="T55" s="107">
        <f>SUMIFS('caseload data'!V:V,'caseload data'!$D:$D,"PO",'caseload data'!$A:$A,B55)</f>
        <v>0</v>
      </c>
      <c r="U55" s="76"/>
      <c r="V55" s="76"/>
      <c r="W55" s="303" t="s">
        <v>1409</v>
      </c>
      <c r="X55" s="141" t="s">
        <v>1037</v>
      </c>
      <c r="Y55" s="187" t="e">
        <f t="shared" ref="Y55:AN58" si="11">SUM(D55)/SUM(D$55:D$58)</f>
        <v>#DIV/0!</v>
      </c>
      <c r="Z55" s="187" t="e">
        <f t="shared" si="11"/>
        <v>#DIV/0!</v>
      </c>
      <c r="AA55" s="187" t="e">
        <f t="shared" si="11"/>
        <v>#DIV/0!</v>
      </c>
      <c r="AB55" s="187" t="e">
        <f t="shared" si="11"/>
        <v>#DIV/0!</v>
      </c>
      <c r="AC55" s="187" t="e">
        <f t="shared" si="11"/>
        <v>#DIV/0!</v>
      </c>
      <c r="AD55" s="187" t="e">
        <f t="shared" si="11"/>
        <v>#DIV/0!</v>
      </c>
      <c r="AE55" s="187" t="e">
        <f t="shared" si="11"/>
        <v>#DIV/0!</v>
      </c>
      <c r="AF55" s="187" t="e">
        <f t="shared" si="11"/>
        <v>#DIV/0!</v>
      </c>
      <c r="AG55" s="187" t="e">
        <f t="shared" si="11"/>
        <v>#DIV/0!</v>
      </c>
      <c r="AH55" s="187" t="e">
        <f t="shared" si="11"/>
        <v>#DIV/0!</v>
      </c>
      <c r="AI55" s="187" t="e">
        <f t="shared" si="11"/>
        <v>#DIV/0!</v>
      </c>
      <c r="AJ55" s="187" t="e">
        <f t="shared" si="11"/>
        <v>#DIV/0!</v>
      </c>
      <c r="AK55" s="187" t="e">
        <f t="shared" si="11"/>
        <v>#DIV/0!</v>
      </c>
      <c r="AL55" s="187" t="e">
        <f t="shared" si="11"/>
        <v>#DIV/0!</v>
      </c>
      <c r="AM55" s="187" t="e">
        <f t="shared" si="11"/>
        <v>#DIV/0!</v>
      </c>
      <c r="AN55" s="187" t="e">
        <f t="shared" si="11"/>
        <v>#DIV/0!</v>
      </c>
    </row>
    <row r="56" spans="2:40" x14ac:dyDescent="0.15">
      <c r="B56" s="304"/>
      <c r="C56" s="142" t="s">
        <v>1038</v>
      </c>
      <c r="D56" s="107">
        <f>SUMIFS('caseload data'!E:E,'caseload data'!$D:$D,"PSO",'caseload data'!$A:$A,"Yorkshire and The Humber")</f>
        <v>0</v>
      </c>
      <c r="E56" s="107">
        <f>SUMIFS('caseload data'!F:F,'caseload data'!$D:$D,"PSO",'caseload data'!$A:$A,"Yorkshire and The Humber")</f>
        <v>0</v>
      </c>
      <c r="F56" s="107">
        <f>SUMIFS('caseload data'!G:G,'caseload data'!$D:$D,"PSO",'caseload data'!$A:$A,"Yorkshire and The Humber")</f>
        <v>0</v>
      </c>
      <c r="G56" s="107">
        <f>SUMIFS('caseload data'!H:H,'caseload data'!$D:$D,"PSO",'caseload data'!$A:$A,"Yorkshire and The Humber")</f>
        <v>0</v>
      </c>
      <c r="H56" s="107">
        <f>SUMIFS('caseload data'!I:I,'caseload data'!$D:$D,"PSO",'caseload data'!$A:$A,"Yorkshire and The Humber")</f>
        <v>0</v>
      </c>
      <c r="I56" s="107">
        <f>SUMIFS('caseload data'!J:J,'caseload data'!$D:$D,"PSO",'caseload data'!$A:$A,"Yorkshire and The Humber")</f>
        <v>0</v>
      </c>
      <c r="J56" s="107">
        <f>SUMIFS('caseload data'!K:K,'caseload data'!$D:$D,"PSO",'caseload data'!$A:$A,"Yorkshire and The Humber")</f>
        <v>0</v>
      </c>
      <c r="K56" s="107">
        <f>SUMIFS('caseload data'!L:L,'caseload data'!$D:$D,"PSO",'caseload data'!$A:$A,"Yorkshire and The Humber")</f>
        <v>0</v>
      </c>
      <c r="L56" s="107">
        <f>SUMIFS('caseload data'!M:M,'caseload data'!$D:$D,"PSO",'caseload data'!$A:$A,"Yorkshire and The Humber")</f>
        <v>0</v>
      </c>
      <c r="M56" s="107">
        <f>SUMIFS('caseload data'!N:N,'caseload data'!$D:$D,"PSO",'caseload data'!$A:$A,"Yorkshire and The Humber")</f>
        <v>0</v>
      </c>
      <c r="N56" s="107">
        <f>SUMIFS('caseload data'!O:O,'caseload data'!$D:$D,"PSO",'caseload data'!$A:$A,"Yorkshire and The Humber")</f>
        <v>0</v>
      </c>
      <c r="O56" s="107">
        <f>SUMIFS('caseload data'!P:P,'caseload data'!$D:$D,"PSO",'caseload data'!$A:$A,"Yorkshire and The Humber")</f>
        <v>0</v>
      </c>
      <c r="P56" s="107">
        <f>SUMIFS('caseload data'!Q:Q,'caseload data'!$D:$D,"PSO",'caseload data'!$A:$A,"Yorkshire and The Humber")</f>
        <v>0</v>
      </c>
      <c r="Q56" s="107">
        <f>SUMIFS('caseload data'!R:R,'caseload data'!$D:$D,"PSO",'caseload data'!$A:$A,"Yorkshire and The Humber")</f>
        <v>0</v>
      </c>
      <c r="R56" s="107">
        <f>SUMIFS('caseload data'!S:S,'caseload data'!$D:$D,"PSO",'caseload data'!$A:$A,"Yorkshire and The Humber")</f>
        <v>0</v>
      </c>
      <c r="S56" s="107">
        <f>SUMIFS('caseload data'!T:T,'caseload data'!$D:$D,"PSO",'caseload data'!$A:$A,"Yorkshire and The Humber")</f>
        <v>0</v>
      </c>
      <c r="T56" s="107">
        <f>SUMIFS('caseload data'!V:V,'caseload data'!$D:$D,"PSO",'caseload data'!$A:$A,"Yorkshire and The Humber")</f>
        <v>0</v>
      </c>
      <c r="U56" s="76"/>
      <c r="V56" s="76"/>
      <c r="W56" s="304"/>
      <c r="X56" s="142" t="s">
        <v>1038</v>
      </c>
      <c r="Y56" s="187" t="e">
        <f t="shared" si="11"/>
        <v>#DIV/0!</v>
      </c>
      <c r="Z56" s="187" t="e">
        <f t="shared" si="11"/>
        <v>#DIV/0!</v>
      </c>
      <c r="AA56" s="187" t="e">
        <f t="shared" si="11"/>
        <v>#DIV/0!</v>
      </c>
      <c r="AB56" s="187" t="e">
        <f t="shared" si="11"/>
        <v>#DIV/0!</v>
      </c>
      <c r="AC56" s="187" t="e">
        <f t="shared" si="11"/>
        <v>#DIV/0!</v>
      </c>
      <c r="AD56" s="187" t="e">
        <f t="shared" si="11"/>
        <v>#DIV/0!</v>
      </c>
      <c r="AE56" s="187" t="e">
        <f t="shared" si="11"/>
        <v>#DIV/0!</v>
      </c>
      <c r="AF56" s="187" t="e">
        <f t="shared" si="11"/>
        <v>#DIV/0!</v>
      </c>
      <c r="AG56" s="187" t="e">
        <f t="shared" si="11"/>
        <v>#DIV/0!</v>
      </c>
      <c r="AH56" s="187" t="e">
        <f t="shared" si="11"/>
        <v>#DIV/0!</v>
      </c>
      <c r="AI56" s="187" t="e">
        <f t="shared" si="11"/>
        <v>#DIV/0!</v>
      </c>
      <c r="AJ56" s="187" t="e">
        <f t="shared" si="11"/>
        <v>#DIV/0!</v>
      </c>
      <c r="AK56" s="187" t="e">
        <f t="shared" si="11"/>
        <v>#DIV/0!</v>
      </c>
      <c r="AL56" s="187" t="e">
        <f t="shared" si="11"/>
        <v>#DIV/0!</v>
      </c>
      <c r="AM56" s="187" t="e">
        <f t="shared" si="11"/>
        <v>#DIV/0!</v>
      </c>
      <c r="AN56" s="187" t="e">
        <f t="shared" si="11"/>
        <v>#DIV/0!</v>
      </c>
    </row>
    <row r="57" spans="2:40" x14ac:dyDescent="0.15">
      <c r="B57" s="304"/>
      <c r="C57" s="142" t="s">
        <v>1039</v>
      </c>
      <c r="D57" s="107">
        <f>SUMIFS('caseload data'!E:E,'caseload data'!$D:$D,"TPO",'caseload data'!$A:$A,"Yorkshire and The Humber")</f>
        <v>0</v>
      </c>
      <c r="E57" s="107">
        <f>SUMIFS('caseload data'!F:F,'caseload data'!$D:$D,"TPO",'caseload data'!$A:$A,"Yorkshire and The Humber")</f>
        <v>0</v>
      </c>
      <c r="F57" s="107">
        <f>SUMIFS('caseload data'!G:G,'caseload data'!$D:$D,"TPO",'caseload data'!$A:$A,"Yorkshire and The Humber")</f>
        <v>0</v>
      </c>
      <c r="G57" s="107">
        <f>SUMIFS('caseload data'!H:H,'caseload data'!$D:$D,"TPO",'caseload data'!$A:$A,"Yorkshire and The Humber")</f>
        <v>0</v>
      </c>
      <c r="H57" s="107">
        <f>SUMIFS('caseload data'!I:I,'caseload data'!$D:$D,"TPO",'caseload data'!$A:$A,"Yorkshire and The Humber")</f>
        <v>0</v>
      </c>
      <c r="I57" s="107">
        <f>SUMIFS('caseload data'!J:J,'caseload data'!$D:$D,"TPO",'caseload data'!$A:$A,"Yorkshire and The Humber")</f>
        <v>0</v>
      </c>
      <c r="J57" s="107">
        <f>SUMIFS('caseload data'!K:K,'caseload data'!$D:$D,"TPO",'caseload data'!$A:$A,"Yorkshire and The Humber")</f>
        <v>0</v>
      </c>
      <c r="K57" s="107">
        <f>SUMIFS('caseload data'!L:L,'caseload data'!$D:$D,"TPO",'caseload data'!$A:$A,"Yorkshire and The Humber")</f>
        <v>0</v>
      </c>
      <c r="L57" s="107">
        <f>SUMIFS('caseload data'!M:M,'caseload data'!$D:$D,"TPO",'caseload data'!$A:$A,"Yorkshire and The Humber")</f>
        <v>0</v>
      </c>
      <c r="M57" s="107">
        <f>SUMIFS('caseload data'!N:N,'caseload data'!$D:$D,"TPO",'caseload data'!$A:$A,"Yorkshire and The Humber")</f>
        <v>0</v>
      </c>
      <c r="N57" s="107">
        <f>SUMIFS('caseload data'!O:O,'caseload data'!$D:$D,"TPO",'caseload data'!$A:$A,"Yorkshire and The Humber")</f>
        <v>0</v>
      </c>
      <c r="O57" s="107">
        <f>SUMIFS('caseload data'!P:P,'caseload data'!$D:$D,"TPO",'caseload data'!$A:$A,"Yorkshire and The Humber")</f>
        <v>0</v>
      </c>
      <c r="P57" s="107">
        <f>SUMIFS('caseload data'!Q:Q,'caseload data'!$D:$D,"TPO",'caseload data'!$A:$A,"Yorkshire and The Humber")</f>
        <v>0</v>
      </c>
      <c r="Q57" s="107">
        <f>SUMIFS('caseload data'!R:R,'caseload data'!$D:$D,"TPO",'caseload data'!$A:$A,"Yorkshire and The Humber")</f>
        <v>0</v>
      </c>
      <c r="R57" s="107">
        <f>SUMIFS('caseload data'!S:S,'caseload data'!$D:$D,"TPO",'caseload data'!$A:$A,"Yorkshire and The Humber")</f>
        <v>0</v>
      </c>
      <c r="S57" s="107">
        <f>SUMIFS('caseload data'!T:T,'caseload data'!$D:$D,"TPO",'caseload data'!$A:$A,"Yorkshire and The Humber")</f>
        <v>0</v>
      </c>
      <c r="T57" s="107">
        <f>SUMIFS('caseload data'!V:V,'caseload data'!$D:$D,"TPO",'caseload data'!$A:$A,"Yorkshire and The Humber")</f>
        <v>0</v>
      </c>
      <c r="U57" s="76"/>
      <c r="V57" s="76"/>
      <c r="W57" s="304"/>
      <c r="X57" s="142" t="s">
        <v>1039</v>
      </c>
      <c r="Y57" s="187" t="e">
        <f t="shared" si="11"/>
        <v>#DIV/0!</v>
      </c>
      <c r="Z57" s="187" t="e">
        <f t="shared" si="11"/>
        <v>#DIV/0!</v>
      </c>
      <c r="AA57" s="187" t="e">
        <f t="shared" si="11"/>
        <v>#DIV/0!</v>
      </c>
      <c r="AB57" s="187" t="e">
        <f t="shared" si="11"/>
        <v>#DIV/0!</v>
      </c>
      <c r="AC57" s="187" t="e">
        <f t="shared" si="11"/>
        <v>#DIV/0!</v>
      </c>
      <c r="AD57" s="187" t="e">
        <f t="shared" si="11"/>
        <v>#DIV/0!</v>
      </c>
      <c r="AE57" s="187" t="e">
        <f t="shared" si="11"/>
        <v>#DIV/0!</v>
      </c>
      <c r="AF57" s="187" t="e">
        <f t="shared" si="11"/>
        <v>#DIV/0!</v>
      </c>
      <c r="AG57" s="187" t="e">
        <f t="shared" si="11"/>
        <v>#DIV/0!</v>
      </c>
      <c r="AH57" s="187" t="e">
        <f t="shared" si="11"/>
        <v>#DIV/0!</v>
      </c>
      <c r="AI57" s="187" t="e">
        <f t="shared" si="11"/>
        <v>#DIV/0!</v>
      </c>
      <c r="AJ57" s="187" t="e">
        <f t="shared" si="11"/>
        <v>#DIV/0!</v>
      </c>
      <c r="AK57" s="187" t="e">
        <f t="shared" si="11"/>
        <v>#DIV/0!</v>
      </c>
      <c r="AL57" s="187" t="e">
        <f t="shared" si="11"/>
        <v>#DIV/0!</v>
      </c>
      <c r="AM57" s="187" t="e">
        <f t="shared" si="11"/>
        <v>#DIV/0!</v>
      </c>
      <c r="AN57" s="187" t="e">
        <f t="shared" si="11"/>
        <v>#DIV/0!</v>
      </c>
    </row>
    <row r="58" spans="2:40" x14ac:dyDescent="0.15">
      <c r="B58" s="305"/>
      <c r="C58" s="142" t="s">
        <v>1040</v>
      </c>
      <c r="D58" s="107">
        <f>SUMIFS('caseload data'!E:E,'caseload data'!$D:$D,"SPO",'caseload data'!$A:$A,"Yorkshire and The Humber")</f>
        <v>0</v>
      </c>
      <c r="E58" s="107">
        <f>SUMIFS('caseload data'!F:F,'caseload data'!$D:$D,"SPO",'caseload data'!$A:$A,"Yorkshire and The Humber")</f>
        <v>0</v>
      </c>
      <c r="F58" s="107">
        <f>SUMIFS('caseload data'!G:G,'caseload data'!$D:$D,"SPO",'caseload data'!$A:$A,"Yorkshire and The Humber")</f>
        <v>0</v>
      </c>
      <c r="G58" s="107">
        <f>SUMIFS('caseload data'!H:H,'caseload data'!$D:$D,"SPO",'caseload data'!$A:$A,"Yorkshire and The Humber")</f>
        <v>0</v>
      </c>
      <c r="H58" s="107">
        <f>SUMIFS('caseload data'!I:I,'caseload data'!$D:$D,"SPO",'caseload data'!$A:$A,"Yorkshire and The Humber")</f>
        <v>0</v>
      </c>
      <c r="I58" s="107">
        <f>SUMIFS('caseload data'!J:J,'caseload data'!$D:$D,"SPO",'caseload data'!$A:$A,"Yorkshire and The Humber")</f>
        <v>0</v>
      </c>
      <c r="J58" s="107">
        <f>SUMIFS('caseload data'!K:K,'caseload data'!$D:$D,"SPO",'caseload data'!$A:$A,"Yorkshire and The Humber")</f>
        <v>0</v>
      </c>
      <c r="K58" s="107">
        <f>SUMIFS('caseload data'!L:L,'caseload data'!$D:$D,"SPO",'caseload data'!$A:$A,"Yorkshire and The Humber")</f>
        <v>0</v>
      </c>
      <c r="L58" s="107">
        <f>SUMIFS('caseload data'!M:M,'caseload data'!$D:$D,"SPO",'caseload data'!$A:$A,"Yorkshire and The Humber")</f>
        <v>0</v>
      </c>
      <c r="M58" s="107">
        <f>SUMIFS('caseload data'!N:N,'caseload data'!$D:$D,"SPO",'caseload data'!$A:$A,"Yorkshire and The Humber")</f>
        <v>0</v>
      </c>
      <c r="N58" s="107">
        <f>SUMIFS('caseload data'!O:O,'caseload data'!$D:$D,"SPO",'caseload data'!$A:$A,"Yorkshire and The Humber")</f>
        <v>0</v>
      </c>
      <c r="O58" s="107">
        <f>SUMIFS('caseload data'!P:P,'caseload data'!$D:$D,"SPO",'caseload data'!$A:$A,"Yorkshire and The Humber")</f>
        <v>0</v>
      </c>
      <c r="P58" s="107">
        <f>SUMIFS('caseload data'!Q:Q,'caseload data'!$D:$D,"SPO",'caseload data'!$A:$A,"Yorkshire and The Humber")</f>
        <v>0</v>
      </c>
      <c r="Q58" s="107">
        <f>SUMIFS('caseload data'!R:R,'caseload data'!$D:$D,"SPO",'caseload data'!$A:$A,"Yorkshire and The Humber")</f>
        <v>0</v>
      </c>
      <c r="R58" s="107">
        <f>SUMIFS('caseload data'!S:S,'caseload data'!$D:$D,"SPO",'caseload data'!$A:$A,"Yorkshire and The Humber")</f>
        <v>0</v>
      </c>
      <c r="S58" s="107">
        <f>SUMIFS('caseload data'!T:T,'caseload data'!$D:$D,"SPO",'caseload data'!$A:$A,"Yorkshire and The Humber")</f>
        <v>0</v>
      </c>
      <c r="T58" s="107">
        <f>SUMIFS('caseload data'!V:V,'caseload data'!$D:$D,"SPO",'caseload data'!$A:$A,"Yorkshire and The Humber")</f>
        <v>0</v>
      </c>
      <c r="U58" s="76"/>
      <c r="V58" s="76"/>
      <c r="W58" s="309"/>
      <c r="X58" s="143" t="s">
        <v>1040</v>
      </c>
      <c r="Y58" s="187" t="e">
        <f t="shared" si="11"/>
        <v>#DIV/0!</v>
      </c>
      <c r="Z58" s="187" t="e">
        <f t="shared" si="11"/>
        <v>#DIV/0!</v>
      </c>
      <c r="AA58" s="187" t="e">
        <f t="shared" si="11"/>
        <v>#DIV/0!</v>
      </c>
      <c r="AB58" s="187" t="e">
        <f t="shared" si="11"/>
        <v>#DIV/0!</v>
      </c>
      <c r="AC58" s="187" t="e">
        <f t="shared" si="11"/>
        <v>#DIV/0!</v>
      </c>
      <c r="AD58" s="187" t="e">
        <f t="shared" si="11"/>
        <v>#DIV/0!</v>
      </c>
      <c r="AE58" s="187" t="e">
        <f t="shared" si="11"/>
        <v>#DIV/0!</v>
      </c>
      <c r="AF58" s="187" t="e">
        <f t="shared" si="11"/>
        <v>#DIV/0!</v>
      </c>
      <c r="AG58" s="187" t="e">
        <f t="shared" si="11"/>
        <v>#DIV/0!</v>
      </c>
      <c r="AH58" s="187" t="e">
        <f t="shared" si="11"/>
        <v>#DIV/0!</v>
      </c>
      <c r="AI58" s="187" t="e">
        <f t="shared" si="11"/>
        <v>#DIV/0!</v>
      </c>
      <c r="AJ58" s="187" t="e">
        <f t="shared" si="11"/>
        <v>#DIV/0!</v>
      </c>
      <c r="AK58" s="187" t="e">
        <f t="shared" si="11"/>
        <v>#DIV/0!</v>
      </c>
      <c r="AL58" s="187" t="e">
        <f t="shared" si="11"/>
        <v>#DIV/0!</v>
      </c>
      <c r="AM58" s="187" t="e">
        <f t="shared" si="11"/>
        <v>#DIV/0!</v>
      </c>
      <c r="AN58" s="187" t="e">
        <f t="shared" si="11"/>
        <v>#DIV/0!</v>
      </c>
    </row>
    <row r="59" spans="2:40" x14ac:dyDescent="0.15">
      <c r="B59" s="303" t="s">
        <v>29</v>
      </c>
      <c r="C59" s="141" t="s">
        <v>1037</v>
      </c>
      <c r="D59" s="107">
        <f>SUMIFS('caseload data'!E:E,'caseload data'!$D:$D,"PO",'caseload data'!$A:$A,$B$59)</f>
        <v>0</v>
      </c>
      <c r="E59" s="107">
        <f>SUMIFS('caseload data'!F:F,'caseload data'!$D:$D,"PO",'caseload data'!$A:$A,$B$59)</f>
        <v>0</v>
      </c>
      <c r="F59" s="107">
        <f>SUMIFS('caseload data'!G:G,'caseload data'!$D:$D,"PO",'caseload data'!$A:$A,$B$59)</f>
        <v>0</v>
      </c>
      <c r="G59" s="107">
        <f>SUMIFS('caseload data'!H:H,'caseload data'!$D:$D,"PO",'caseload data'!$A:$A,$B$59)</f>
        <v>0</v>
      </c>
      <c r="H59" s="107">
        <f>SUMIFS('caseload data'!I:I,'caseload data'!$D:$D,"PO",'caseload data'!$A:$A,$B$59)</f>
        <v>0</v>
      </c>
      <c r="I59" s="107">
        <f>SUMIFS('caseload data'!J:J,'caseload data'!$D:$D,"PO",'caseload data'!$A:$A,$B$59)</f>
        <v>0</v>
      </c>
      <c r="J59" s="107">
        <f>SUMIFS('caseload data'!K:K,'caseload data'!$D:$D,"PO",'caseload data'!$A:$A,$B$59)</f>
        <v>0</v>
      </c>
      <c r="K59" s="107">
        <f>SUMIFS('caseload data'!L:L,'caseload data'!$D:$D,"PO",'caseload data'!$A:$A,$B$59)</f>
        <v>0</v>
      </c>
      <c r="L59" s="107">
        <f>SUMIFS('caseload data'!M:M,'caseload data'!$D:$D,"PO",'caseload data'!$A:$A,$B$59)</f>
        <v>0</v>
      </c>
      <c r="M59" s="107">
        <f>SUMIFS('caseload data'!N:N,'caseload data'!$D:$D,"PO",'caseload data'!$A:$A,$B$59)</f>
        <v>0</v>
      </c>
      <c r="N59" s="107">
        <f>SUMIFS('caseload data'!O:O,'caseload data'!$D:$D,"PO",'caseload data'!$A:$A,$B$59)</f>
        <v>0</v>
      </c>
      <c r="O59" s="107">
        <f>SUMIFS('caseload data'!P:P,'caseload data'!$D:$D,"PO",'caseload data'!$A:$A,$B$59)</f>
        <v>0</v>
      </c>
      <c r="P59" s="107">
        <f>SUMIFS('caseload data'!Q:Q,'caseload data'!$D:$D,"PO",'caseload data'!$A:$A,$B$59)</f>
        <v>0</v>
      </c>
      <c r="Q59" s="107">
        <f>SUMIFS('caseload data'!R:R,'caseload data'!$D:$D,"PO",'caseload data'!$A:$A,$B$59)</f>
        <v>0</v>
      </c>
      <c r="R59" s="107">
        <f>SUMIFS('caseload data'!S:S,'caseload data'!$D:$D,"PO",'caseload data'!$A:$A,$B$59)</f>
        <v>0</v>
      </c>
      <c r="S59" s="107">
        <f>SUMIFS('caseload data'!T:T,'caseload data'!$D:$D,"PO",'caseload data'!$A:$A,$B$59)</f>
        <v>0</v>
      </c>
      <c r="T59" s="107">
        <f>SUMIFS('caseload data'!V:V,'caseload data'!$D:$D,"PO",'caseload data'!$A:$A,$B$59)</f>
        <v>0</v>
      </c>
      <c r="U59" s="76"/>
      <c r="V59" s="76"/>
      <c r="W59" s="303" t="s">
        <v>29</v>
      </c>
      <c r="X59" s="141" t="s">
        <v>1037</v>
      </c>
      <c r="Y59" s="187" t="e">
        <f>SUM(D59)/SUM(D$59:D$62)</f>
        <v>#DIV/0!</v>
      </c>
      <c r="Z59" s="187" t="e">
        <f t="shared" ref="Z59:AN62" si="12">SUM(E59)/SUM(E$59:E$62)</f>
        <v>#DIV/0!</v>
      </c>
      <c r="AA59" s="187" t="e">
        <f t="shared" si="12"/>
        <v>#DIV/0!</v>
      </c>
      <c r="AB59" s="187" t="e">
        <f t="shared" si="12"/>
        <v>#DIV/0!</v>
      </c>
      <c r="AC59" s="187" t="e">
        <f t="shared" si="12"/>
        <v>#DIV/0!</v>
      </c>
      <c r="AD59" s="187" t="e">
        <f t="shared" si="12"/>
        <v>#DIV/0!</v>
      </c>
      <c r="AE59" s="187" t="e">
        <f t="shared" si="12"/>
        <v>#DIV/0!</v>
      </c>
      <c r="AF59" s="187" t="e">
        <f t="shared" si="12"/>
        <v>#DIV/0!</v>
      </c>
      <c r="AG59" s="187" t="e">
        <f t="shared" si="12"/>
        <v>#DIV/0!</v>
      </c>
      <c r="AH59" s="187" t="e">
        <f t="shared" si="12"/>
        <v>#DIV/0!</v>
      </c>
      <c r="AI59" s="187" t="e">
        <f t="shared" si="12"/>
        <v>#DIV/0!</v>
      </c>
      <c r="AJ59" s="187" t="e">
        <f t="shared" si="12"/>
        <v>#DIV/0!</v>
      </c>
      <c r="AK59" s="187" t="e">
        <f t="shared" si="12"/>
        <v>#DIV/0!</v>
      </c>
      <c r="AL59" s="187" t="e">
        <f t="shared" si="12"/>
        <v>#DIV/0!</v>
      </c>
      <c r="AM59" s="187" t="e">
        <f t="shared" si="12"/>
        <v>#DIV/0!</v>
      </c>
      <c r="AN59" s="187" t="e">
        <f t="shared" si="12"/>
        <v>#DIV/0!</v>
      </c>
    </row>
    <row r="60" spans="2:40" x14ac:dyDescent="0.15">
      <c r="B60" s="304"/>
      <c r="C60" s="142" t="s">
        <v>1038</v>
      </c>
      <c r="D60" s="107">
        <f>SUMIFS('caseload data'!E:E,'caseload data'!$D:$D,"PSO",'caseload data'!$A:$A,$B$59)</f>
        <v>0</v>
      </c>
      <c r="E60" s="107">
        <f>SUMIFS('caseload data'!F:F,'caseload data'!$D:$D,"PSO",'caseload data'!$A:$A,$B$59)</f>
        <v>0</v>
      </c>
      <c r="F60" s="107">
        <f>SUMIFS('caseload data'!G:G,'caseload data'!$D:$D,"PSO",'caseload data'!$A:$A,$B$59)</f>
        <v>0</v>
      </c>
      <c r="G60" s="107">
        <f>SUMIFS('caseload data'!H:H,'caseload data'!$D:$D,"PSO",'caseload data'!$A:$A,$B$59)</f>
        <v>0</v>
      </c>
      <c r="H60" s="107">
        <f>SUMIFS('caseload data'!I:I,'caseload data'!$D:$D,"PSO",'caseload data'!$A:$A,$B$59)</f>
        <v>0</v>
      </c>
      <c r="I60" s="107">
        <f>SUMIFS('caseload data'!J:J,'caseload data'!$D:$D,"PSO",'caseload data'!$A:$A,$B$59)</f>
        <v>0</v>
      </c>
      <c r="J60" s="107">
        <f>SUMIFS('caseload data'!K:K,'caseload data'!$D:$D,"PSO",'caseload data'!$A:$A,$B$59)</f>
        <v>0</v>
      </c>
      <c r="K60" s="107">
        <f>SUMIFS('caseload data'!L:L,'caseload data'!$D:$D,"PSO",'caseload data'!$A:$A,$B$59)</f>
        <v>0</v>
      </c>
      <c r="L60" s="107">
        <f>SUMIFS('caseload data'!M:M,'caseload data'!$D:$D,"PSO",'caseload data'!$A:$A,$B$59)</f>
        <v>0</v>
      </c>
      <c r="M60" s="107">
        <f>SUMIFS('caseload data'!N:N,'caseload data'!$D:$D,"PSO",'caseload data'!$A:$A,$B$59)</f>
        <v>0</v>
      </c>
      <c r="N60" s="107">
        <f>SUMIFS('caseload data'!O:O,'caseload data'!$D:$D,"PSO",'caseload data'!$A:$A,$B$59)</f>
        <v>0</v>
      </c>
      <c r="O60" s="107">
        <f>SUMIFS('caseload data'!P:P,'caseload data'!$D:$D,"PSO",'caseload data'!$A:$A,$B$59)</f>
        <v>0</v>
      </c>
      <c r="P60" s="107">
        <f>SUMIFS('caseload data'!Q:Q,'caseload data'!$D:$D,"PSO",'caseload data'!$A:$A,$B$59)</f>
        <v>0</v>
      </c>
      <c r="Q60" s="107">
        <f>SUMIFS('caseload data'!R:R,'caseload data'!$D:$D,"PSO",'caseload data'!$A:$A,$B$59)</f>
        <v>0</v>
      </c>
      <c r="R60" s="107">
        <f>SUMIFS('caseload data'!S:S,'caseload data'!$D:$D,"PSO",'caseload data'!$A:$A,$B$59)</f>
        <v>0</v>
      </c>
      <c r="S60" s="107">
        <f>SUMIFS('caseload data'!T:T,'caseload data'!$D:$D,"PSO",'caseload data'!$A:$A,$B$59)</f>
        <v>0</v>
      </c>
      <c r="T60" s="107">
        <f>SUMIFS('caseload data'!V:V,'caseload data'!$D:$D,"PSO",'caseload data'!$A:$A,$B$59)</f>
        <v>0</v>
      </c>
      <c r="U60" s="76"/>
      <c r="V60" s="76"/>
      <c r="W60" s="304"/>
      <c r="X60" s="142" t="s">
        <v>1038</v>
      </c>
      <c r="Y60" s="187" t="e">
        <f t="shared" ref="Y60:Y62" si="13">SUM(D60)/SUM(D$59:D$62)</f>
        <v>#DIV/0!</v>
      </c>
      <c r="Z60" s="187" t="e">
        <f t="shared" si="12"/>
        <v>#DIV/0!</v>
      </c>
      <c r="AA60" s="187" t="e">
        <f t="shared" si="12"/>
        <v>#DIV/0!</v>
      </c>
      <c r="AB60" s="187" t="e">
        <f t="shared" si="12"/>
        <v>#DIV/0!</v>
      </c>
      <c r="AC60" s="187" t="e">
        <f t="shared" si="12"/>
        <v>#DIV/0!</v>
      </c>
      <c r="AD60" s="187" t="e">
        <f t="shared" si="12"/>
        <v>#DIV/0!</v>
      </c>
      <c r="AE60" s="187" t="e">
        <f t="shared" si="12"/>
        <v>#DIV/0!</v>
      </c>
      <c r="AF60" s="187" t="e">
        <f t="shared" si="12"/>
        <v>#DIV/0!</v>
      </c>
      <c r="AG60" s="187" t="e">
        <f t="shared" si="12"/>
        <v>#DIV/0!</v>
      </c>
      <c r="AH60" s="187" t="e">
        <f t="shared" si="12"/>
        <v>#DIV/0!</v>
      </c>
      <c r="AI60" s="187" t="e">
        <f t="shared" si="12"/>
        <v>#DIV/0!</v>
      </c>
      <c r="AJ60" s="187" t="e">
        <f t="shared" si="12"/>
        <v>#DIV/0!</v>
      </c>
      <c r="AK60" s="187" t="e">
        <f t="shared" si="12"/>
        <v>#DIV/0!</v>
      </c>
      <c r="AL60" s="187" t="e">
        <f t="shared" si="12"/>
        <v>#DIV/0!</v>
      </c>
      <c r="AM60" s="187" t="e">
        <f t="shared" si="12"/>
        <v>#DIV/0!</v>
      </c>
      <c r="AN60" s="187" t="e">
        <f t="shared" si="12"/>
        <v>#DIV/0!</v>
      </c>
    </row>
    <row r="61" spans="2:40" x14ac:dyDescent="0.15">
      <c r="B61" s="304"/>
      <c r="C61" s="142" t="s">
        <v>1039</v>
      </c>
      <c r="D61" s="107">
        <f>SUMIFS('caseload data'!E:E,'caseload data'!$D:$D,"TPO",'caseload data'!$A:$A,$B$59)</f>
        <v>0</v>
      </c>
      <c r="E61" s="107">
        <f>SUMIFS('caseload data'!F:F,'caseload data'!$D:$D,"TPO",'caseload data'!$A:$A,$B$59)</f>
        <v>0</v>
      </c>
      <c r="F61" s="107">
        <f>SUMIFS('caseload data'!G:G,'caseload data'!$D:$D,"TPO",'caseload data'!$A:$A,$B$59)</f>
        <v>0</v>
      </c>
      <c r="G61" s="107">
        <f>SUMIFS('caseload data'!H:H,'caseload data'!$D:$D,"TPO",'caseload data'!$A:$A,$B$59)</f>
        <v>0</v>
      </c>
      <c r="H61" s="107">
        <f>SUMIFS('caseload data'!I:I,'caseload data'!$D:$D,"TPO",'caseload data'!$A:$A,$B$59)</f>
        <v>0</v>
      </c>
      <c r="I61" s="107">
        <f>SUMIFS('caseload data'!J:J,'caseload data'!$D:$D,"TPO",'caseload data'!$A:$A,$B$59)</f>
        <v>0</v>
      </c>
      <c r="J61" s="107">
        <f>SUMIFS('caseload data'!K:K,'caseload data'!$D:$D,"TPO",'caseload data'!$A:$A,$B$59)</f>
        <v>0</v>
      </c>
      <c r="K61" s="107">
        <f>SUMIFS('caseload data'!L:L,'caseload data'!$D:$D,"TPO",'caseload data'!$A:$A,$B$59)</f>
        <v>0</v>
      </c>
      <c r="L61" s="107">
        <f>SUMIFS('caseload data'!M:M,'caseload data'!$D:$D,"TPO",'caseload data'!$A:$A,$B$59)</f>
        <v>0</v>
      </c>
      <c r="M61" s="107">
        <f>SUMIFS('caseload data'!N:N,'caseload data'!$D:$D,"TPO",'caseload data'!$A:$A,$B$59)</f>
        <v>0</v>
      </c>
      <c r="N61" s="107">
        <f>SUMIFS('caseload data'!O:O,'caseload data'!$D:$D,"TPO",'caseload data'!$A:$A,$B$59)</f>
        <v>0</v>
      </c>
      <c r="O61" s="107">
        <f>SUMIFS('caseload data'!P:P,'caseload data'!$D:$D,"TPO",'caseload data'!$A:$A,$B$59)</f>
        <v>0</v>
      </c>
      <c r="P61" s="107">
        <f>SUMIFS('caseload data'!Q:Q,'caseload data'!$D:$D,"TPO",'caseload data'!$A:$A,$B$59)</f>
        <v>0</v>
      </c>
      <c r="Q61" s="107">
        <f>SUMIFS('caseload data'!R:R,'caseload data'!$D:$D,"TPO",'caseload data'!$A:$A,$B$59)</f>
        <v>0</v>
      </c>
      <c r="R61" s="107">
        <f>SUMIFS('caseload data'!S:S,'caseload data'!$D:$D,"TPO",'caseload data'!$A:$A,$B$59)</f>
        <v>0</v>
      </c>
      <c r="S61" s="107">
        <f>SUMIFS('caseload data'!T:T,'caseload data'!$D:$D,"TPO",'caseload data'!$A:$A,$B$59)</f>
        <v>0</v>
      </c>
      <c r="T61" s="107">
        <f>SUMIFS('caseload data'!V:V,'caseload data'!$D:$D,"TPO",'caseload data'!$A:$A,$B$59)</f>
        <v>0</v>
      </c>
      <c r="U61" s="76"/>
      <c r="V61" s="76"/>
      <c r="W61" s="304"/>
      <c r="X61" s="142" t="s">
        <v>1039</v>
      </c>
      <c r="Y61" s="187" t="e">
        <f t="shared" si="13"/>
        <v>#DIV/0!</v>
      </c>
      <c r="Z61" s="187" t="e">
        <f t="shared" si="12"/>
        <v>#DIV/0!</v>
      </c>
      <c r="AA61" s="187" t="e">
        <f t="shared" si="12"/>
        <v>#DIV/0!</v>
      </c>
      <c r="AB61" s="187" t="e">
        <f t="shared" si="12"/>
        <v>#DIV/0!</v>
      </c>
      <c r="AC61" s="187" t="e">
        <f t="shared" si="12"/>
        <v>#DIV/0!</v>
      </c>
      <c r="AD61" s="187" t="e">
        <f t="shared" si="12"/>
        <v>#DIV/0!</v>
      </c>
      <c r="AE61" s="187" t="e">
        <f t="shared" si="12"/>
        <v>#DIV/0!</v>
      </c>
      <c r="AF61" s="187" t="e">
        <f t="shared" si="12"/>
        <v>#DIV/0!</v>
      </c>
      <c r="AG61" s="187" t="e">
        <f t="shared" si="12"/>
        <v>#DIV/0!</v>
      </c>
      <c r="AH61" s="187" t="e">
        <f t="shared" si="12"/>
        <v>#DIV/0!</v>
      </c>
      <c r="AI61" s="187" t="e">
        <f t="shared" si="12"/>
        <v>#DIV/0!</v>
      </c>
      <c r="AJ61" s="187" t="e">
        <f t="shared" si="12"/>
        <v>#DIV/0!</v>
      </c>
      <c r="AK61" s="187" t="e">
        <f t="shared" si="12"/>
        <v>#DIV/0!</v>
      </c>
      <c r="AL61" s="187" t="e">
        <f t="shared" si="12"/>
        <v>#DIV/0!</v>
      </c>
      <c r="AM61" s="187" t="e">
        <f t="shared" si="12"/>
        <v>#DIV/0!</v>
      </c>
      <c r="AN61" s="187" t="e">
        <f t="shared" si="12"/>
        <v>#DIV/0!</v>
      </c>
    </row>
    <row r="62" spans="2:40" x14ac:dyDescent="0.15">
      <c r="B62" s="305"/>
      <c r="C62" s="142" t="s">
        <v>1040</v>
      </c>
      <c r="D62" s="107">
        <f>SUMIFS('caseload data'!E:E,'caseload data'!$D:$D,"SPO",'caseload data'!$A:$A,$B$59)</f>
        <v>0</v>
      </c>
      <c r="E62" s="107">
        <f>SUMIFS('caseload data'!F:F,'caseload data'!$D:$D,"SPO",'caseload data'!$A:$A,$B$59)</f>
        <v>0</v>
      </c>
      <c r="F62" s="107">
        <f>SUMIFS('caseload data'!G:G,'caseload data'!$D:$D,"SPO",'caseload data'!$A:$A,$B$59)</f>
        <v>0</v>
      </c>
      <c r="G62" s="107">
        <f>SUMIFS('caseload data'!H:H,'caseload data'!$D:$D,"SPO",'caseload data'!$A:$A,$B$59)</f>
        <v>0</v>
      </c>
      <c r="H62" s="107">
        <f>SUMIFS('caseload data'!I:I,'caseload data'!$D:$D,"SPO",'caseload data'!$A:$A,$B$59)</f>
        <v>0</v>
      </c>
      <c r="I62" s="107">
        <f>SUMIFS('caseload data'!J:J,'caseload data'!$D:$D,"SPO",'caseload data'!$A:$A,$B$59)</f>
        <v>0</v>
      </c>
      <c r="J62" s="107">
        <f>SUMIFS('caseload data'!K:K,'caseload data'!$D:$D,"SPO",'caseload data'!$A:$A,$B$59)</f>
        <v>0</v>
      </c>
      <c r="K62" s="107">
        <f>SUMIFS('caseload data'!L:L,'caseload data'!$D:$D,"SPO",'caseload data'!$A:$A,$B$59)</f>
        <v>0</v>
      </c>
      <c r="L62" s="107">
        <f>SUMIFS('caseload data'!M:M,'caseload data'!$D:$D,"SPO",'caseload data'!$A:$A,$B$59)</f>
        <v>0</v>
      </c>
      <c r="M62" s="107">
        <f>SUMIFS('caseload data'!N:N,'caseload data'!$D:$D,"SPO",'caseload data'!$A:$A,$B$59)</f>
        <v>0</v>
      </c>
      <c r="N62" s="107">
        <f>SUMIFS('caseload data'!O:O,'caseload data'!$D:$D,"SPO",'caseload data'!$A:$A,$B$59)</f>
        <v>0</v>
      </c>
      <c r="O62" s="107">
        <f>SUMIFS('caseload data'!P:P,'caseload data'!$D:$D,"SPO",'caseload data'!$A:$A,$B$59)</f>
        <v>0</v>
      </c>
      <c r="P62" s="107">
        <f>SUMIFS('caseload data'!Q:Q,'caseload data'!$D:$D,"SPO",'caseload data'!$A:$A,$B$59)</f>
        <v>0</v>
      </c>
      <c r="Q62" s="107">
        <f>SUMIFS('caseload data'!R:R,'caseload data'!$D:$D,"SPO",'caseload data'!$A:$A,$B$59)</f>
        <v>0</v>
      </c>
      <c r="R62" s="107">
        <f>SUMIFS('caseload data'!S:S,'caseload data'!$D:$D,"SPO",'caseload data'!$A:$A,$B$59)</f>
        <v>0</v>
      </c>
      <c r="S62" s="107">
        <f>SUMIFS('caseload data'!T:T,'caseload data'!$D:$D,"SPO",'caseload data'!$A:$A,$B$59)</f>
        <v>0</v>
      </c>
      <c r="T62" s="107">
        <f>SUMIFS('caseload data'!V:V,'caseload data'!$D:$D,"SPO",'caseload data'!$A:$A,$B$59)</f>
        <v>0</v>
      </c>
      <c r="U62" s="76"/>
      <c r="V62" s="76"/>
      <c r="W62" s="305"/>
      <c r="X62" s="143" t="s">
        <v>1040</v>
      </c>
      <c r="Y62" s="187" t="e">
        <f t="shared" si="13"/>
        <v>#DIV/0!</v>
      </c>
      <c r="Z62" s="187" t="e">
        <f t="shared" si="12"/>
        <v>#DIV/0!</v>
      </c>
      <c r="AA62" s="187" t="e">
        <f t="shared" si="12"/>
        <v>#DIV/0!</v>
      </c>
      <c r="AB62" s="187" t="e">
        <f t="shared" si="12"/>
        <v>#DIV/0!</v>
      </c>
      <c r="AC62" s="187" t="e">
        <f t="shared" si="12"/>
        <v>#DIV/0!</v>
      </c>
      <c r="AD62" s="187" t="e">
        <f t="shared" si="12"/>
        <v>#DIV/0!</v>
      </c>
      <c r="AE62" s="187" t="e">
        <f t="shared" si="12"/>
        <v>#DIV/0!</v>
      </c>
      <c r="AF62" s="187" t="e">
        <f t="shared" si="12"/>
        <v>#DIV/0!</v>
      </c>
      <c r="AG62" s="187" t="e">
        <f t="shared" si="12"/>
        <v>#DIV/0!</v>
      </c>
      <c r="AH62" s="187" t="e">
        <f t="shared" si="12"/>
        <v>#DIV/0!</v>
      </c>
      <c r="AI62" s="187" t="e">
        <f t="shared" si="12"/>
        <v>#DIV/0!</v>
      </c>
      <c r="AJ62" s="187" t="e">
        <f t="shared" si="12"/>
        <v>#DIV/0!</v>
      </c>
      <c r="AK62" s="187" t="e">
        <f t="shared" si="12"/>
        <v>#DIV/0!</v>
      </c>
      <c r="AL62" s="187" t="e">
        <f t="shared" si="12"/>
        <v>#DIV/0!</v>
      </c>
      <c r="AM62" s="187" t="e">
        <f t="shared" si="12"/>
        <v>#DIV/0!</v>
      </c>
      <c r="AN62" s="187" t="e">
        <f t="shared" si="12"/>
        <v>#DIV/0!</v>
      </c>
    </row>
    <row r="63" spans="2:40" x14ac:dyDescent="0.15">
      <c r="B63" s="303" t="s">
        <v>30</v>
      </c>
      <c r="C63" s="141" t="s">
        <v>1037</v>
      </c>
      <c r="D63" s="107">
        <f>SUMIFS('caseload data'!E:E,'caseload data'!$D:$D,"PO",'caseload data'!$A:$A,$B$63)</f>
        <v>0</v>
      </c>
      <c r="E63" s="107">
        <f>SUMIFS('caseload data'!F:F,'caseload data'!$D:$D,"PO",'caseload data'!$A:$A,$B$63)</f>
        <v>0</v>
      </c>
      <c r="F63" s="107">
        <f>SUMIFS('caseload data'!G:G,'caseload data'!$D:$D,"PO",'caseload data'!$A:$A,$B$63)</f>
        <v>0</v>
      </c>
      <c r="G63" s="107">
        <f>SUMIFS('caseload data'!H:H,'caseload data'!$D:$D,"PO",'caseload data'!$A:$A,$B$63)</f>
        <v>0</v>
      </c>
      <c r="H63" s="107">
        <f>SUMIFS('caseload data'!I:I,'caseload data'!$D:$D,"PO",'caseload data'!$A:$A,$B$63)</f>
        <v>0</v>
      </c>
      <c r="I63" s="107">
        <f>SUMIFS('caseload data'!J:J,'caseload data'!$D:$D,"PO",'caseload data'!$A:$A,$B$63)</f>
        <v>0</v>
      </c>
      <c r="J63" s="107">
        <f>SUMIFS('caseload data'!K:K,'caseload data'!$D:$D,"PO",'caseload data'!$A:$A,$B$63)</f>
        <v>0</v>
      </c>
      <c r="K63" s="107">
        <f>SUMIFS('caseload data'!L:L,'caseload data'!$D:$D,"PO",'caseload data'!$A:$A,$B$63)</f>
        <v>0</v>
      </c>
      <c r="L63" s="107">
        <f>SUMIFS('caseload data'!M:M,'caseload data'!$D:$D,"PO",'caseload data'!$A:$A,$B$63)</f>
        <v>0</v>
      </c>
      <c r="M63" s="107">
        <f>SUMIFS('caseload data'!N:N,'caseload data'!$D:$D,"PO",'caseload data'!$A:$A,$B$63)</f>
        <v>0</v>
      </c>
      <c r="N63" s="107">
        <f>SUMIFS('caseload data'!O:O,'caseload data'!$D:$D,"PO",'caseload data'!$A:$A,$B$63)</f>
        <v>0</v>
      </c>
      <c r="O63" s="107">
        <f>SUMIFS('caseload data'!P:P,'caseload data'!$D:$D,"PO",'caseload data'!$A:$A,$B$63)</f>
        <v>0</v>
      </c>
      <c r="P63" s="107">
        <f>SUMIFS('caseload data'!Q:Q,'caseload data'!$D:$D,"PO",'caseload data'!$A:$A,$B$63)</f>
        <v>0</v>
      </c>
      <c r="Q63" s="107">
        <f>SUMIFS('caseload data'!R:R,'caseload data'!$D:$D,"PO",'caseload data'!$A:$A,$B$63)</f>
        <v>0</v>
      </c>
      <c r="R63" s="107">
        <f>SUMIFS('caseload data'!S:S,'caseload data'!$D:$D,"PO",'caseload data'!$A:$A,$B$63)</f>
        <v>0</v>
      </c>
      <c r="S63" s="107">
        <f>SUMIFS('caseload data'!T:T,'caseload data'!$D:$D,"PO",'caseload data'!$A:$A,$B$63)</f>
        <v>0</v>
      </c>
      <c r="T63" s="107">
        <f>SUMIFS('caseload data'!V:V,'caseload data'!$D:$D,"PO",'caseload data'!$A:$A,$B$63)</f>
        <v>0</v>
      </c>
      <c r="U63" s="76"/>
      <c r="V63" s="76"/>
      <c r="W63" s="303" t="s">
        <v>30</v>
      </c>
      <c r="X63" s="141" t="s">
        <v>1037</v>
      </c>
      <c r="Y63" s="187" t="e">
        <f>SUM(D63)/SUM(D$63:D$66)</f>
        <v>#DIV/0!</v>
      </c>
      <c r="Z63" s="187" t="e">
        <f t="shared" ref="Z63:AN66" si="14">SUM(E63)/SUM(E$63:E$66)</f>
        <v>#DIV/0!</v>
      </c>
      <c r="AA63" s="187" t="e">
        <f t="shared" si="14"/>
        <v>#DIV/0!</v>
      </c>
      <c r="AB63" s="187" t="e">
        <f t="shared" si="14"/>
        <v>#DIV/0!</v>
      </c>
      <c r="AC63" s="187" t="e">
        <f t="shared" si="14"/>
        <v>#DIV/0!</v>
      </c>
      <c r="AD63" s="187" t="e">
        <f t="shared" si="14"/>
        <v>#DIV/0!</v>
      </c>
      <c r="AE63" s="187" t="e">
        <f t="shared" si="14"/>
        <v>#DIV/0!</v>
      </c>
      <c r="AF63" s="187" t="e">
        <f t="shared" si="14"/>
        <v>#DIV/0!</v>
      </c>
      <c r="AG63" s="187" t="e">
        <f t="shared" si="14"/>
        <v>#DIV/0!</v>
      </c>
      <c r="AH63" s="187" t="e">
        <f t="shared" si="14"/>
        <v>#DIV/0!</v>
      </c>
      <c r="AI63" s="187" t="e">
        <f t="shared" si="14"/>
        <v>#DIV/0!</v>
      </c>
      <c r="AJ63" s="187" t="e">
        <f t="shared" si="14"/>
        <v>#DIV/0!</v>
      </c>
      <c r="AK63" s="187" t="e">
        <f t="shared" si="14"/>
        <v>#DIV/0!</v>
      </c>
      <c r="AL63" s="187" t="e">
        <f t="shared" si="14"/>
        <v>#DIV/0!</v>
      </c>
      <c r="AM63" s="187" t="e">
        <f t="shared" si="14"/>
        <v>#DIV/0!</v>
      </c>
      <c r="AN63" s="187" t="e">
        <f t="shared" si="14"/>
        <v>#DIV/0!</v>
      </c>
    </row>
    <row r="64" spans="2:40" x14ac:dyDescent="0.15">
      <c r="B64" s="304"/>
      <c r="C64" s="142" t="s">
        <v>1038</v>
      </c>
      <c r="D64" s="107">
        <f>SUMIFS('caseload data'!E:E,'caseload data'!$D:$D,"PSO",'caseload data'!$A:$A,$B$63)</f>
        <v>0</v>
      </c>
      <c r="E64" s="107">
        <f>SUMIFS('caseload data'!F:F,'caseload data'!$D:$D,"PSO",'caseload data'!$A:$A,$B$63)</f>
        <v>0</v>
      </c>
      <c r="F64" s="107">
        <f>SUMIFS('caseload data'!G:G,'caseload data'!$D:$D,"PSO",'caseload data'!$A:$A,$B$63)</f>
        <v>0</v>
      </c>
      <c r="G64" s="107">
        <f>SUMIFS('caseload data'!H:H,'caseload data'!$D:$D,"PSO",'caseload data'!$A:$A,$B$63)</f>
        <v>0</v>
      </c>
      <c r="H64" s="107">
        <f>SUMIFS('caseload data'!I:I,'caseload data'!$D:$D,"PSO",'caseload data'!$A:$A,$B$63)</f>
        <v>0</v>
      </c>
      <c r="I64" s="107">
        <f>SUMIFS('caseload data'!J:J,'caseload data'!$D:$D,"PSO",'caseload data'!$A:$A,$B$63)</f>
        <v>0</v>
      </c>
      <c r="J64" s="107">
        <f>SUMIFS('caseload data'!K:K,'caseload data'!$D:$D,"PSO",'caseload data'!$A:$A,$B$63)</f>
        <v>0</v>
      </c>
      <c r="K64" s="107">
        <f>SUMIFS('caseload data'!L:L,'caseload data'!$D:$D,"PSO",'caseload data'!$A:$A,$B$63)</f>
        <v>0</v>
      </c>
      <c r="L64" s="107">
        <f>SUMIFS('caseload data'!M:M,'caseload data'!$D:$D,"PSO",'caseload data'!$A:$A,$B$63)</f>
        <v>0</v>
      </c>
      <c r="M64" s="107">
        <f>SUMIFS('caseload data'!N:N,'caseload data'!$D:$D,"PSO",'caseload data'!$A:$A,$B$63)</f>
        <v>0</v>
      </c>
      <c r="N64" s="107">
        <f>SUMIFS('caseload data'!O:O,'caseload data'!$D:$D,"PSO",'caseload data'!$A:$A,$B$63)</f>
        <v>0</v>
      </c>
      <c r="O64" s="107">
        <f>SUMIFS('caseload data'!P:P,'caseload data'!$D:$D,"PSO",'caseload data'!$A:$A,$B$63)</f>
        <v>0</v>
      </c>
      <c r="P64" s="107">
        <f>SUMIFS('caseload data'!Q:Q,'caseload data'!$D:$D,"PSO",'caseload data'!$A:$A,$B$63)</f>
        <v>0</v>
      </c>
      <c r="Q64" s="107">
        <f>SUMIFS('caseload data'!R:R,'caseload data'!$D:$D,"PSO",'caseload data'!$A:$A,$B$63)</f>
        <v>0</v>
      </c>
      <c r="R64" s="107">
        <f>SUMIFS('caseload data'!S:S,'caseload data'!$D:$D,"PSO",'caseload data'!$A:$A,$B$63)</f>
        <v>0</v>
      </c>
      <c r="S64" s="107">
        <f>SUMIFS('caseload data'!T:T,'caseload data'!$D:$D,"PSO",'caseload data'!$A:$A,$B$63)</f>
        <v>0</v>
      </c>
      <c r="T64" s="107">
        <f>SUMIFS('caseload data'!V:V,'caseload data'!$D:$D,"PSO",'caseload data'!$A:$A,$B$63)</f>
        <v>0</v>
      </c>
      <c r="U64" s="76"/>
      <c r="V64" s="76"/>
      <c r="W64" s="304"/>
      <c r="X64" s="142" t="s">
        <v>1038</v>
      </c>
      <c r="Y64" s="187" t="e">
        <f t="shared" ref="Y64:Y66" si="15">SUM(D64)/SUM(D$63:D$66)</f>
        <v>#DIV/0!</v>
      </c>
      <c r="Z64" s="187" t="e">
        <f t="shared" si="14"/>
        <v>#DIV/0!</v>
      </c>
      <c r="AA64" s="187" t="e">
        <f t="shared" si="14"/>
        <v>#DIV/0!</v>
      </c>
      <c r="AB64" s="187" t="e">
        <f t="shared" si="14"/>
        <v>#DIV/0!</v>
      </c>
      <c r="AC64" s="187" t="e">
        <f t="shared" si="14"/>
        <v>#DIV/0!</v>
      </c>
      <c r="AD64" s="187" t="e">
        <f t="shared" si="14"/>
        <v>#DIV/0!</v>
      </c>
      <c r="AE64" s="187" t="e">
        <f t="shared" si="14"/>
        <v>#DIV/0!</v>
      </c>
      <c r="AF64" s="187" t="e">
        <f t="shared" si="14"/>
        <v>#DIV/0!</v>
      </c>
      <c r="AG64" s="187" t="e">
        <f t="shared" si="14"/>
        <v>#DIV/0!</v>
      </c>
      <c r="AH64" s="187" t="e">
        <f t="shared" si="14"/>
        <v>#DIV/0!</v>
      </c>
      <c r="AI64" s="187" t="e">
        <f t="shared" si="14"/>
        <v>#DIV/0!</v>
      </c>
      <c r="AJ64" s="187" t="e">
        <f t="shared" si="14"/>
        <v>#DIV/0!</v>
      </c>
      <c r="AK64" s="187" t="e">
        <f t="shared" si="14"/>
        <v>#DIV/0!</v>
      </c>
      <c r="AL64" s="187" t="e">
        <f t="shared" si="14"/>
        <v>#DIV/0!</v>
      </c>
      <c r="AM64" s="187" t="e">
        <f t="shared" si="14"/>
        <v>#DIV/0!</v>
      </c>
      <c r="AN64" s="187" t="e">
        <f t="shared" si="14"/>
        <v>#DIV/0!</v>
      </c>
    </row>
    <row r="65" spans="2:40" x14ac:dyDescent="0.15">
      <c r="B65" s="304"/>
      <c r="C65" s="142" t="s">
        <v>1039</v>
      </c>
      <c r="D65" s="107">
        <f>SUMIFS('caseload data'!E:E,'caseload data'!$D:$D,"TPO",'caseload data'!$A:$A,$B$63)</f>
        <v>0</v>
      </c>
      <c r="E65" s="107">
        <f>SUMIFS('caseload data'!F:F,'caseload data'!$D:$D,"TPO",'caseload data'!$A:$A,$B$63)</f>
        <v>0</v>
      </c>
      <c r="F65" s="107">
        <f>SUMIFS('caseload data'!G:G,'caseload data'!$D:$D,"TPO",'caseload data'!$A:$A,$B$63)</f>
        <v>0</v>
      </c>
      <c r="G65" s="107">
        <f>SUMIFS('caseload data'!H:H,'caseload data'!$D:$D,"TPO",'caseload data'!$A:$A,$B$63)</f>
        <v>0</v>
      </c>
      <c r="H65" s="107">
        <f>SUMIFS('caseload data'!I:I,'caseload data'!$D:$D,"TPO",'caseload data'!$A:$A,$B$63)</f>
        <v>0</v>
      </c>
      <c r="I65" s="107">
        <f>SUMIFS('caseload data'!J:J,'caseload data'!$D:$D,"TPO",'caseload data'!$A:$A,$B$63)</f>
        <v>0</v>
      </c>
      <c r="J65" s="107">
        <f>SUMIFS('caseload data'!K:K,'caseload data'!$D:$D,"TPO",'caseload data'!$A:$A,$B$63)</f>
        <v>0</v>
      </c>
      <c r="K65" s="107">
        <f>SUMIFS('caseload data'!L:L,'caseload data'!$D:$D,"TPO",'caseload data'!$A:$A,$B$63)</f>
        <v>0</v>
      </c>
      <c r="L65" s="107">
        <f>SUMIFS('caseload data'!M:M,'caseload data'!$D:$D,"TPO",'caseload data'!$A:$A,$B$63)</f>
        <v>0</v>
      </c>
      <c r="M65" s="107">
        <f>SUMIFS('caseload data'!N:N,'caseload data'!$D:$D,"TPO",'caseload data'!$A:$A,$B$63)</f>
        <v>0</v>
      </c>
      <c r="N65" s="107">
        <f>SUMIFS('caseload data'!O:O,'caseload data'!$D:$D,"TPO",'caseload data'!$A:$A,$B$63)</f>
        <v>0</v>
      </c>
      <c r="O65" s="107">
        <f>SUMIFS('caseload data'!P:P,'caseload data'!$D:$D,"TPO",'caseload data'!$A:$A,$B$63)</f>
        <v>0</v>
      </c>
      <c r="P65" s="107">
        <f>SUMIFS('caseload data'!Q:Q,'caseload data'!$D:$D,"TPO",'caseload data'!$A:$A,$B$63)</f>
        <v>0</v>
      </c>
      <c r="Q65" s="107">
        <f>SUMIFS('caseload data'!R:R,'caseload data'!$D:$D,"TPO",'caseload data'!$A:$A,$B$63)</f>
        <v>0</v>
      </c>
      <c r="R65" s="107">
        <f>SUMIFS('caseload data'!S:S,'caseload data'!$D:$D,"TPO",'caseload data'!$A:$A,$B$63)</f>
        <v>0</v>
      </c>
      <c r="S65" s="107">
        <f>SUMIFS('caseload data'!T:T,'caseload data'!$D:$D,"TPO",'caseload data'!$A:$A,$B$63)</f>
        <v>0</v>
      </c>
      <c r="T65" s="107">
        <f>SUMIFS('caseload data'!V:V,'caseload data'!$D:$D,"TPO",'caseload data'!$A:$A,$B$63)</f>
        <v>0</v>
      </c>
      <c r="U65" s="76"/>
      <c r="V65" s="76"/>
      <c r="W65" s="304"/>
      <c r="X65" s="142" t="s">
        <v>1039</v>
      </c>
      <c r="Y65" s="187" t="e">
        <f t="shared" si="15"/>
        <v>#DIV/0!</v>
      </c>
      <c r="Z65" s="187" t="e">
        <f t="shared" si="14"/>
        <v>#DIV/0!</v>
      </c>
      <c r="AA65" s="187" t="e">
        <f t="shared" si="14"/>
        <v>#DIV/0!</v>
      </c>
      <c r="AB65" s="187" t="e">
        <f t="shared" si="14"/>
        <v>#DIV/0!</v>
      </c>
      <c r="AC65" s="187" t="e">
        <f t="shared" si="14"/>
        <v>#DIV/0!</v>
      </c>
      <c r="AD65" s="187" t="e">
        <f t="shared" si="14"/>
        <v>#DIV/0!</v>
      </c>
      <c r="AE65" s="187" t="e">
        <f t="shared" si="14"/>
        <v>#DIV/0!</v>
      </c>
      <c r="AF65" s="187" t="e">
        <f t="shared" si="14"/>
        <v>#DIV/0!</v>
      </c>
      <c r="AG65" s="187" t="e">
        <f t="shared" si="14"/>
        <v>#DIV/0!</v>
      </c>
      <c r="AH65" s="187" t="e">
        <f t="shared" si="14"/>
        <v>#DIV/0!</v>
      </c>
      <c r="AI65" s="187" t="e">
        <f t="shared" si="14"/>
        <v>#DIV/0!</v>
      </c>
      <c r="AJ65" s="187" t="e">
        <f t="shared" si="14"/>
        <v>#DIV/0!</v>
      </c>
      <c r="AK65" s="187" t="e">
        <f t="shared" si="14"/>
        <v>#DIV/0!</v>
      </c>
      <c r="AL65" s="187" t="e">
        <f t="shared" si="14"/>
        <v>#DIV/0!</v>
      </c>
      <c r="AM65" s="187" t="e">
        <f t="shared" si="14"/>
        <v>#DIV/0!</v>
      </c>
      <c r="AN65" s="187" t="e">
        <f t="shared" si="14"/>
        <v>#DIV/0!</v>
      </c>
    </row>
    <row r="66" spans="2:40" x14ac:dyDescent="0.15">
      <c r="B66" s="305"/>
      <c r="C66" s="143" t="s">
        <v>1040</v>
      </c>
      <c r="D66" s="107">
        <f>SUMIFS('caseload data'!E:E,'caseload data'!$D:$D,"SPO",'caseload data'!$A:$A,$B$63)</f>
        <v>0</v>
      </c>
      <c r="E66" s="107">
        <f>SUMIFS('caseload data'!F:F,'caseload data'!$D:$D,"SPO",'caseload data'!$A:$A,$B$63)</f>
        <v>0</v>
      </c>
      <c r="F66" s="107">
        <f>SUMIFS('caseload data'!G:G,'caseload data'!$D:$D,"SPO",'caseload data'!$A:$A,$B$63)</f>
        <v>0</v>
      </c>
      <c r="G66" s="107">
        <f>SUMIFS('caseload data'!H:H,'caseload data'!$D:$D,"SPO",'caseload data'!$A:$A,$B$63)</f>
        <v>0</v>
      </c>
      <c r="H66" s="107">
        <f>SUMIFS('caseload data'!I:I,'caseload data'!$D:$D,"SPO",'caseload data'!$A:$A,$B$63)</f>
        <v>0</v>
      </c>
      <c r="I66" s="107">
        <f>SUMIFS('caseload data'!J:J,'caseload data'!$D:$D,"SPO",'caseload data'!$A:$A,$B$63)</f>
        <v>0</v>
      </c>
      <c r="J66" s="107">
        <f>SUMIFS('caseload data'!K:K,'caseload data'!$D:$D,"SPO",'caseload data'!$A:$A,$B$63)</f>
        <v>0</v>
      </c>
      <c r="K66" s="107">
        <f>SUMIFS('caseload data'!L:L,'caseload data'!$D:$D,"SPO",'caseload data'!$A:$A,$B$63)</f>
        <v>0</v>
      </c>
      <c r="L66" s="107">
        <f>SUMIFS('caseload data'!M:M,'caseload data'!$D:$D,"SPO",'caseload data'!$A:$A,$B$63)</f>
        <v>0</v>
      </c>
      <c r="M66" s="107">
        <f>SUMIFS('caseload data'!N:N,'caseload data'!$D:$D,"SPO",'caseload data'!$A:$A,$B$63)</f>
        <v>0</v>
      </c>
      <c r="N66" s="107">
        <f>SUMIFS('caseload data'!O:O,'caseload data'!$D:$D,"SPO",'caseload data'!$A:$A,$B$63)</f>
        <v>0</v>
      </c>
      <c r="O66" s="107">
        <f>SUMIFS('caseload data'!P:P,'caseload data'!$D:$D,"SPO",'caseload data'!$A:$A,$B$63)</f>
        <v>0</v>
      </c>
      <c r="P66" s="107">
        <f>SUMIFS('caseload data'!Q:Q,'caseload data'!$D:$D,"SPO",'caseload data'!$A:$A,$B$63)</f>
        <v>0</v>
      </c>
      <c r="Q66" s="107">
        <f>SUMIFS('caseload data'!R:R,'caseload data'!$D:$D,"SPO",'caseload data'!$A:$A,$B$63)</f>
        <v>0</v>
      </c>
      <c r="R66" s="107">
        <f>SUMIFS('caseload data'!S:S,'caseload data'!$D:$D,"SPO",'caseload data'!$A:$A,$B$63)</f>
        <v>0</v>
      </c>
      <c r="S66" s="107">
        <f>SUMIFS('caseload data'!T:T,'caseload data'!$D:$D,"SPO",'caseload data'!$A:$A,$B$63)</f>
        <v>0</v>
      </c>
      <c r="T66" s="107">
        <f>SUMIFS('caseload data'!V:V,'caseload data'!$D:$D,"SPO",'caseload data'!$A:$A,$B$63)</f>
        <v>0</v>
      </c>
      <c r="U66" s="76"/>
      <c r="V66" s="76"/>
      <c r="W66" s="305"/>
      <c r="X66" s="143" t="s">
        <v>1040</v>
      </c>
      <c r="Y66" s="187" t="e">
        <f t="shared" si="15"/>
        <v>#DIV/0!</v>
      </c>
      <c r="Z66" s="187" t="e">
        <f t="shared" si="14"/>
        <v>#DIV/0!</v>
      </c>
      <c r="AA66" s="187" t="e">
        <f t="shared" si="14"/>
        <v>#DIV/0!</v>
      </c>
      <c r="AB66" s="187" t="e">
        <f t="shared" si="14"/>
        <v>#DIV/0!</v>
      </c>
      <c r="AC66" s="187" t="e">
        <f t="shared" si="14"/>
        <v>#DIV/0!</v>
      </c>
      <c r="AD66" s="187" t="e">
        <f t="shared" si="14"/>
        <v>#DIV/0!</v>
      </c>
      <c r="AE66" s="187" t="e">
        <f t="shared" si="14"/>
        <v>#DIV/0!</v>
      </c>
      <c r="AF66" s="187" t="e">
        <f t="shared" si="14"/>
        <v>#DIV/0!</v>
      </c>
      <c r="AG66" s="187" t="e">
        <f t="shared" si="14"/>
        <v>#DIV/0!</v>
      </c>
      <c r="AH66" s="187" t="e">
        <f t="shared" si="14"/>
        <v>#DIV/0!</v>
      </c>
      <c r="AI66" s="187" t="e">
        <f t="shared" si="14"/>
        <v>#DIV/0!</v>
      </c>
      <c r="AJ66" s="187" t="e">
        <f t="shared" si="14"/>
        <v>#DIV/0!</v>
      </c>
      <c r="AK66" s="187" t="e">
        <f t="shared" si="14"/>
        <v>#DIV/0!</v>
      </c>
      <c r="AL66" s="187" t="e">
        <f t="shared" si="14"/>
        <v>#DIV/0!</v>
      </c>
      <c r="AM66" s="187" t="e">
        <f t="shared" si="14"/>
        <v>#DIV/0!</v>
      </c>
      <c r="AN66" s="187" t="e">
        <f t="shared" si="14"/>
        <v>#DIV/0!</v>
      </c>
    </row>
    <row r="67" spans="2:40" x14ac:dyDescent="0.15">
      <c r="B67" s="303" t="s">
        <v>34</v>
      </c>
      <c r="C67" s="141" t="s">
        <v>1037</v>
      </c>
      <c r="D67" s="107">
        <f>SUMIFS('caseload data'!E:E,'caseload data'!$D:$D,"PO",'caseload data'!$A:$A,$B$67)</f>
        <v>0</v>
      </c>
      <c r="E67" s="107">
        <f>SUMIFS('caseload data'!F:F,'caseload data'!$D:$D,"PO",'caseload data'!$A:$A,$B$67)</f>
        <v>0</v>
      </c>
      <c r="F67" s="107">
        <f>SUMIFS('caseload data'!G:G,'caseload data'!$D:$D,"PO",'caseload data'!$A:$A,$B$67)</f>
        <v>0</v>
      </c>
      <c r="G67" s="107">
        <f>SUMIFS('caseload data'!H:H,'caseload data'!$D:$D,"PO",'caseload data'!$A:$A,$B$67)</f>
        <v>0</v>
      </c>
      <c r="H67" s="107">
        <f>SUMIFS('caseload data'!I:I,'caseload data'!$D:$D,"PO",'caseload data'!$A:$A,$B$67)</f>
        <v>0</v>
      </c>
      <c r="I67" s="107">
        <f>SUMIFS('caseload data'!J:J,'caseload data'!$D:$D,"PO",'caseload data'!$A:$A,$B$67)</f>
        <v>0</v>
      </c>
      <c r="J67" s="107">
        <f>SUMIFS('caseload data'!K:K,'caseload data'!$D:$D,"PO",'caseload data'!$A:$A,$B$67)</f>
        <v>0</v>
      </c>
      <c r="K67" s="107">
        <f>SUMIFS('caseload data'!L:L,'caseload data'!$D:$D,"PO",'caseload data'!$A:$A,$B$67)</f>
        <v>0</v>
      </c>
      <c r="L67" s="107">
        <f>SUMIFS('caseload data'!M:M,'caseload data'!$D:$D,"PO",'caseload data'!$A:$A,$B$67)</f>
        <v>0</v>
      </c>
      <c r="M67" s="107">
        <f>SUMIFS('caseload data'!N:N,'caseload data'!$D:$D,"PO",'caseload data'!$A:$A,$B$67)</f>
        <v>0</v>
      </c>
      <c r="N67" s="107">
        <f>SUMIFS('caseload data'!O:O,'caseload data'!$D:$D,"PO",'caseload data'!$A:$A,$B$67)</f>
        <v>0</v>
      </c>
      <c r="O67" s="107">
        <f>SUMIFS('caseload data'!P:P,'caseload data'!$D:$D,"PO",'caseload data'!$A:$A,$B$67)</f>
        <v>0</v>
      </c>
      <c r="P67" s="107">
        <f>SUMIFS('caseload data'!Q:Q,'caseload data'!$D:$D,"PO",'caseload data'!$A:$A,$B$67)</f>
        <v>0</v>
      </c>
      <c r="Q67" s="107">
        <f>SUMIFS('caseload data'!R:R,'caseload data'!$D:$D,"PO",'caseload data'!$A:$A,$B$67)</f>
        <v>0</v>
      </c>
      <c r="R67" s="107">
        <f>SUMIFS('caseload data'!S:S,'caseload data'!$D:$D,"PO",'caseload data'!$A:$A,$B$67)</f>
        <v>0</v>
      </c>
      <c r="S67" s="107">
        <f>SUMIFS('caseload data'!T:T,'caseload data'!$D:$D,"PO",'caseload data'!$A:$A,$B$67)</f>
        <v>0</v>
      </c>
      <c r="T67" s="107">
        <f>SUMIFS('caseload data'!V:V,'caseload data'!$D:$D,"PO",'caseload data'!$A:$A,$B$67)</f>
        <v>0</v>
      </c>
      <c r="U67" s="76"/>
      <c r="V67" s="76"/>
      <c r="W67" s="303" t="s">
        <v>34</v>
      </c>
      <c r="X67" s="141" t="s">
        <v>1037</v>
      </c>
      <c r="Y67" s="187" t="e">
        <f>SUM(D67)/SUM(D$67:D$70)</f>
        <v>#DIV/0!</v>
      </c>
      <c r="Z67" s="187" t="e">
        <f t="shared" ref="Z67:AN70" si="16">SUM(E67)/SUM(E$67:E$70)</f>
        <v>#DIV/0!</v>
      </c>
      <c r="AA67" s="187" t="e">
        <f t="shared" si="16"/>
        <v>#DIV/0!</v>
      </c>
      <c r="AB67" s="187" t="e">
        <f t="shared" si="16"/>
        <v>#DIV/0!</v>
      </c>
      <c r="AC67" s="187" t="e">
        <f t="shared" si="16"/>
        <v>#DIV/0!</v>
      </c>
      <c r="AD67" s="187" t="e">
        <f t="shared" si="16"/>
        <v>#DIV/0!</v>
      </c>
      <c r="AE67" s="187" t="e">
        <f t="shared" si="16"/>
        <v>#DIV/0!</v>
      </c>
      <c r="AF67" s="187" t="e">
        <f t="shared" si="16"/>
        <v>#DIV/0!</v>
      </c>
      <c r="AG67" s="187" t="e">
        <f t="shared" si="16"/>
        <v>#DIV/0!</v>
      </c>
      <c r="AH67" s="187" t="e">
        <f t="shared" si="16"/>
        <v>#DIV/0!</v>
      </c>
      <c r="AI67" s="187" t="e">
        <f t="shared" si="16"/>
        <v>#DIV/0!</v>
      </c>
      <c r="AJ67" s="187" t="e">
        <f t="shared" si="16"/>
        <v>#DIV/0!</v>
      </c>
      <c r="AK67" s="187" t="e">
        <f t="shared" si="16"/>
        <v>#DIV/0!</v>
      </c>
      <c r="AL67" s="187" t="e">
        <f t="shared" si="16"/>
        <v>#DIV/0!</v>
      </c>
      <c r="AM67" s="187" t="e">
        <f t="shared" si="16"/>
        <v>#DIV/0!</v>
      </c>
      <c r="AN67" s="187" t="e">
        <f t="shared" si="16"/>
        <v>#DIV/0!</v>
      </c>
    </row>
    <row r="68" spans="2:40" x14ac:dyDescent="0.15">
      <c r="B68" s="304"/>
      <c r="C68" s="142" t="s">
        <v>1038</v>
      </c>
      <c r="D68" s="107">
        <f>SUMIFS('caseload data'!E:E,'caseload data'!$D:$D,"PSO",'caseload data'!$A:$A,$B$67)</f>
        <v>0</v>
      </c>
      <c r="E68" s="107">
        <f>SUMIFS('caseload data'!F:F,'caseload data'!$D:$D,"PSO",'caseload data'!$A:$A,$B$67)</f>
        <v>0</v>
      </c>
      <c r="F68" s="107">
        <f>SUMIFS('caseload data'!G:G,'caseload data'!$D:$D,"PSO",'caseload data'!$A:$A,$B$67)</f>
        <v>0</v>
      </c>
      <c r="G68" s="107">
        <f>SUMIFS('caseload data'!H:H,'caseload data'!$D:$D,"PSO",'caseload data'!$A:$A,$B$67)</f>
        <v>0</v>
      </c>
      <c r="H68" s="107">
        <f>SUMIFS('caseload data'!I:I,'caseload data'!$D:$D,"PSO",'caseload data'!$A:$A,$B$67)</f>
        <v>0</v>
      </c>
      <c r="I68" s="107">
        <f>SUMIFS('caseload data'!J:J,'caseload data'!$D:$D,"PSO",'caseload data'!$A:$A,$B$67)</f>
        <v>0</v>
      </c>
      <c r="J68" s="107">
        <f>SUMIFS('caseload data'!K:K,'caseload data'!$D:$D,"PSO",'caseload data'!$A:$A,$B$67)</f>
        <v>0</v>
      </c>
      <c r="K68" s="107">
        <f>SUMIFS('caseload data'!L:L,'caseload data'!$D:$D,"PSO",'caseload data'!$A:$A,$B$67)</f>
        <v>0</v>
      </c>
      <c r="L68" s="107">
        <f>SUMIFS('caseload data'!M:M,'caseload data'!$D:$D,"PSO",'caseload data'!$A:$A,$B$67)</f>
        <v>0</v>
      </c>
      <c r="M68" s="107">
        <f>SUMIFS('caseload data'!N:N,'caseload data'!$D:$D,"PSO",'caseload data'!$A:$A,$B$67)</f>
        <v>0</v>
      </c>
      <c r="N68" s="107">
        <f>SUMIFS('caseload data'!O:O,'caseload data'!$D:$D,"PSO",'caseload data'!$A:$A,$B$67)</f>
        <v>0</v>
      </c>
      <c r="O68" s="107">
        <f>SUMIFS('caseload data'!P:P,'caseload data'!$D:$D,"PSO",'caseload data'!$A:$A,$B$67)</f>
        <v>0</v>
      </c>
      <c r="P68" s="107">
        <f>SUMIFS('caseload data'!Q:Q,'caseload data'!$D:$D,"PSO",'caseload data'!$A:$A,$B$67)</f>
        <v>0</v>
      </c>
      <c r="Q68" s="107">
        <f>SUMIFS('caseload data'!R:R,'caseload data'!$D:$D,"PSO",'caseload data'!$A:$A,$B$67)</f>
        <v>0</v>
      </c>
      <c r="R68" s="107">
        <f>SUMIFS('caseload data'!S:S,'caseload data'!$D:$D,"PSO",'caseload data'!$A:$A,$B$67)</f>
        <v>0</v>
      </c>
      <c r="S68" s="107">
        <f>SUMIFS('caseload data'!T:T,'caseload data'!$D:$D,"PSO",'caseload data'!$A:$A,$B$67)</f>
        <v>0</v>
      </c>
      <c r="T68" s="107">
        <f>SUMIFS('caseload data'!V:V,'caseload data'!$D:$D,"PSO",'caseload data'!$A:$A,$B$67)</f>
        <v>0</v>
      </c>
      <c r="U68" s="76"/>
      <c r="V68" s="76"/>
      <c r="W68" s="304"/>
      <c r="X68" s="142" t="s">
        <v>1038</v>
      </c>
      <c r="Y68" s="187" t="e">
        <f t="shared" ref="Y68:Y70" si="17">SUM(D68)/SUM(D$67:D$70)</f>
        <v>#DIV/0!</v>
      </c>
      <c r="Z68" s="187" t="e">
        <f t="shared" si="16"/>
        <v>#DIV/0!</v>
      </c>
      <c r="AA68" s="187" t="e">
        <f t="shared" si="16"/>
        <v>#DIV/0!</v>
      </c>
      <c r="AB68" s="187" t="e">
        <f t="shared" si="16"/>
        <v>#DIV/0!</v>
      </c>
      <c r="AC68" s="187" t="e">
        <f t="shared" si="16"/>
        <v>#DIV/0!</v>
      </c>
      <c r="AD68" s="187" t="e">
        <f t="shared" si="16"/>
        <v>#DIV/0!</v>
      </c>
      <c r="AE68" s="187" t="e">
        <f t="shared" si="16"/>
        <v>#DIV/0!</v>
      </c>
      <c r="AF68" s="187" t="e">
        <f t="shared" si="16"/>
        <v>#DIV/0!</v>
      </c>
      <c r="AG68" s="187" t="e">
        <f t="shared" si="16"/>
        <v>#DIV/0!</v>
      </c>
      <c r="AH68" s="187" t="e">
        <f t="shared" si="16"/>
        <v>#DIV/0!</v>
      </c>
      <c r="AI68" s="187" t="e">
        <f t="shared" si="16"/>
        <v>#DIV/0!</v>
      </c>
      <c r="AJ68" s="187" t="e">
        <f t="shared" si="16"/>
        <v>#DIV/0!</v>
      </c>
      <c r="AK68" s="187" t="e">
        <f t="shared" si="16"/>
        <v>#DIV/0!</v>
      </c>
      <c r="AL68" s="187" t="e">
        <f t="shared" si="16"/>
        <v>#DIV/0!</v>
      </c>
      <c r="AM68" s="187" t="e">
        <f t="shared" si="16"/>
        <v>#DIV/0!</v>
      </c>
      <c r="AN68" s="187" t="e">
        <f t="shared" si="16"/>
        <v>#DIV/0!</v>
      </c>
    </row>
    <row r="69" spans="2:40" x14ac:dyDescent="0.15">
      <c r="B69" s="304"/>
      <c r="C69" s="142" t="s">
        <v>1039</v>
      </c>
      <c r="D69" s="107">
        <f>SUMIFS('caseload data'!E:E,'caseload data'!$D:$D,"TPO",'caseload data'!$A:$A,$B$67)</f>
        <v>0</v>
      </c>
      <c r="E69" s="107">
        <f>SUMIFS('caseload data'!F:F,'caseload data'!$D:$D,"TPO",'caseload data'!$A:$A,$B$67)</f>
        <v>0</v>
      </c>
      <c r="F69" s="107">
        <f>SUMIFS('caseload data'!G:G,'caseload data'!$D:$D,"TPO",'caseload data'!$A:$A,$B$67)</f>
        <v>0</v>
      </c>
      <c r="G69" s="107">
        <f>SUMIFS('caseload data'!H:H,'caseload data'!$D:$D,"TPO",'caseload data'!$A:$A,$B$67)</f>
        <v>0</v>
      </c>
      <c r="H69" s="107">
        <f>SUMIFS('caseload data'!I:I,'caseload data'!$D:$D,"TPO",'caseload data'!$A:$A,$B$67)</f>
        <v>0</v>
      </c>
      <c r="I69" s="107">
        <f>SUMIFS('caseload data'!J:J,'caseload data'!$D:$D,"TPO",'caseload data'!$A:$A,$B$67)</f>
        <v>0</v>
      </c>
      <c r="J69" s="107">
        <f>SUMIFS('caseload data'!K:K,'caseload data'!$D:$D,"TPO",'caseload data'!$A:$A,$B$67)</f>
        <v>0</v>
      </c>
      <c r="K69" s="107">
        <f>SUMIFS('caseload data'!L:L,'caseload data'!$D:$D,"TPO",'caseload data'!$A:$A,$B$67)</f>
        <v>0</v>
      </c>
      <c r="L69" s="107">
        <f>SUMIFS('caseload data'!M:M,'caseload data'!$D:$D,"TPO",'caseload data'!$A:$A,$B$67)</f>
        <v>0</v>
      </c>
      <c r="M69" s="107">
        <f>SUMIFS('caseload data'!N:N,'caseload data'!$D:$D,"TPO",'caseload data'!$A:$A,$B$67)</f>
        <v>0</v>
      </c>
      <c r="N69" s="107">
        <f>SUMIFS('caseload data'!O:O,'caseload data'!$D:$D,"TPO",'caseload data'!$A:$A,$B$67)</f>
        <v>0</v>
      </c>
      <c r="O69" s="107">
        <f>SUMIFS('caseload data'!P:P,'caseload data'!$D:$D,"TPO",'caseload data'!$A:$A,$B$67)</f>
        <v>0</v>
      </c>
      <c r="P69" s="107">
        <f>SUMIFS('caseload data'!Q:Q,'caseload data'!$D:$D,"TPO",'caseload data'!$A:$A,$B$67)</f>
        <v>0</v>
      </c>
      <c r="Q69" s="107">
        <f>SUMIFS('caseload data'!R:R,'caseload data'!$D:$D,"TPO",'caseload data'!$A:$A,$B$67)</f>
        <v>0</v>
      </c>
      <c r="R69" s="107">
        <f>SUMIFS('caseload data'!S:S,'caseload data'!$D:$D,"TPO",'caseload data'!$A:$A,$B$67)</f>
        <v>0</v>
      </c>
      <c r="S69" s="107">
        <f>SUMIFS('caseload data'!T:T,'caseload data'!$D:$D,"TPO",'caseload data'!$A:$A,$B$67)</f>
        <v>0</v>
      </c>
      <c r="T69" s="107">
        <f>SUMIFS('caseload data'!V:V,'caseload data'!$D:$D,"TPO",'caseload data'!$A:$A,$B$67)</f>
        <v>0</v>
      </c>
      <c r="U69" s="76"/>
      <c r="V69" s="76"/>
      <c r="W69" s="304"/>
      <c r="X69" s="142" t="s">
        <v>1039</v>
      </c>
      <c r="Y69" s="187" t="e">
        <f t="shared" si="17"/>
        <v>#DIV/0!</v>
      </c>
      <c r="Z69" s="187" t="e">
        <f t="shared" si="16"/>
        <v>#DIV/0!</v>
      </c>
      <c r="AA69" s="187" t="e">
        <f t="shared" si="16"/>
        <v>#DIV/0!</v>
      </c>
      <c r="AB69" s="187" t="e">
        <f t="shared" si="16"/>
        <v>#DIV/0!</v>
      </c>
      <c r="AC69" s="187" t="e">
        <f t="shared" si="16"/>
        <v>#DIV/0!</v>
      </c>
      <c r="AD69" s="187" t="e">
        <f t="shared" si="16"/>
        <v>#DIV/0!</v>
      </c>
      <c r="AE69" s="187" t="e">
        <f t="shared" si="16"/>
        <v>#DIV/0!</v>
      </c>
      <c r="AF69" s="187" t="e">
        <f t="shared" si="16"/>
        <v>#DIV/0!</v>
      </c>
      <c r="AG69" s="187" t="e">
        <f t="shared" si="16"/>
        <v>#DIV/0!</v>
      </c>
      <c r="AH69" s="187" t="e">
        <f t="shared" si="16"/>
        <v>#DIV/0!</v>
      </c>
      <c r="AI69" s="187" t="e">
        <f t="shared" si="16"/>
        <v>#DIV/0!</v>
      </c>
      <c r="AJ69" s="187" t="e">
        <f t="shared" si="16"/>
        <v>#DIV/0!</v>
      </c>
      <c r="AK69" s="187" t="e">
        <f t="shared" si="16"/>
        <v>#DIV/0!</v>
      </c>
      <c r="AL69" s="187" t="e">
        <f t="shared" si="16"/>
        <v>#DIV/0!</v>
      </c>
      <c r="AM69" s="187" t="e">
        <f t="shared" si="16"/>
        <v>#DIV/0!</v>
      </c>
      <c r="AN69" s="187" t="e">
        <f t="shared" si="16"/>
        <v>#DIV/0!</v>
      </c>
    </row>
    <row r="70" spans="2:40" ht="12.5" customHeight="1" thickBot="1" x14ac:dyDescent="0.2">
      <c r="B70" s="305"/>
      <c r="C70" s="143" t="s">
        <v>1040</v>
      </c>
      <c r="D70" s="107">
        <f>SUMIFS('caseload data'!E:E,'caseload data'!$D:$D,"SPO",'caseload data'!$A:$A,$B$67)</f>
        <v>0</v>
      </c>
      <c r="E70" s="107">
        <f>SUMIFS('caseload data'!F:F,'caseload data'!$D:$D,"SPO",'caseload data'!$A:$A,$B$67)</f>
        <v>0</v>
      </c>
      <c r="F70" s="107">
        <f>SUMIFS('caseload data'!G:G,'caseload data'!$D:$D,"SPO",'caseload data'!$A:$A,$B$67)</f>
        <v>0</v>
      </c>
      <c r="G70" s="107">
        <f>SUMIFS('caseload data'!H:H,'caseload data'!$D:$D,"SPO",'caseload data'!$A:$A,$B$67)</f>
        <v>0</v>
      </c>
      <c r="H70" s="107">
        <f>SUMIFS('caseload data'!I:I,'caseload data'!$D:$D,"SPO",'caseload data'!$A:$A,$B$67)</f>
        <v>0</v>
      </c>
      <c r="I70" s="107">
        <f>SUMIFS('caseload data'!J:J,'caseload data'!$D:$D,"SPO",'caseload data'!$A:$A,$B$67)</f>
        <v>0</v>
      </c>
      <c r="J70" s="107">
        <f>SUMIFS('caseload data'!K:K,'caseload data'!$D:$D,"SPO",'caseload data'!$A:$A,$B$67)</f>
        <v>0</v>
      </c>
      <c r="K70" s="107">
        <f>SUMIFS('caseload data'!L:L,'caseload data'!$D:$D,"SPO",'caseload data'!$A:$A,$B$67)</f>
        <v>0</v>
      </c>
      <c r="L70" s="107">
        <f>SUMIFS('caseload data'!M:M,'caseload data'!$D:$D,"SPO",'caseload data'!$A:$A,$B$67)</f>
        <v>0</v>
      </c>
      <c r="M70" s="107">
        <f>SUMIFS('caseload data'!N:N,'caseload data'!$D:$D,"SPO",'caseload data'!$A:$A,$B$67)</f>
        <v>0</v>
      </c>
      <c r="N70" s="107">
        <f>SUMIFS('caseload data'!O:O,'caseload data'!$D:$D,"SPO",'caseload data'!$A:$A,$B$67)</f>
        <v>0</v>
      </c>
      <c r="O70" s="107">
        <f>SUMIFS('caseload data'!P:P,'caseload data'!$D:$D,"SPO",'caseload data'!$A:$A,$B$67)</f>
        <v>0</v>
      </c>
      <c r="P70" s="107">
        <f>SUMIFS('caseload data'!Q:Q,'caseload data'!$D:$D,"SPO",'caseload data'!$A:$A,$B$67)</f>
        <v>0</v>
      </c>
      <c r="Q70" s="107">
        <f>SUMIFS('caseload data'!R:R,'caseload data'!$D:$D,"SPO",'caseload data'!$A:$A,$B$67)</f>
        <v>0</v>
      </c>
      <c r="R70" s="107">
        <f>SUMIFS('caseload data'!S:S,'caseload data'!$D:$D,"SPO",'caseload data'!$A:$A,$B$67)</f>
        <v>0</v>
      </c>
      <c r="S70" s="107">
        <f>SUMIFS('caseload data'!T:T,'caseload data'!$D:$D,"SPO",'caseload data'!$A:$A,$B$67)</f>
        <v>0</v>
      </c>
      <c r="T70" s="107">
        <f>SUMIFS('caseload data'!V:V,'caseload data'!$D:$D,"SPO",'caseload data'!$A:$A,$B$67)</f>
        <v>0</v>
      </c>
      <c r="U70" s="76"/>
      <c r="V70" s="76"/>
      <c r="W70" s="305"/>
      <c r="X70" s="143" t="s">
        <v>1040</v>
      </c>
      <c r="Y70" s="187" t="e">
        <f t="shared" si="17"/>
        <v>#DIV/0!</v>
      </c>
      <c r="Z70" s="187" t="e">
        <f t="shared" si="16"/>
        <v>#DIV/0!</v>
      </c>
      <c r="AA70" s="187" t="e">
        <f t="shared" si="16"/>
        <v>#DIV/0!</v>
      </c>
      <c r="AB70" s="187" t="e">
        <f t="shared" si="16"/>
        <v>#DIV/0!</v>
      </c>
      <c r="AC70" s="187" t="e">
        <f t="shared" si="16"/>
        <v>#DIV/0!</v>
      </c>
      <c r="AD70" s="187" t="e">
        <f t="shared" si="16"/>
        <v>#DIV/0!</v>
      </c>
      <c r="AE70" s="187" t="e">
        <f t="shared" si="16"/>
        <v>#DIV/0!</v>
      </c>
      <c r="AF70" s="187" t="e">
        <f t="shared" si="16"/>
        <v>#DIV/0!</v>
      </c>
      <c r="AG70" s="187" t="e">
        <f t="shared" si="16"/>
        <v>#DIV/0!</v>
      </c>
      <c r="AH70" s="187" t="e">
        <f t="shared" si="16"/>
        <v>#DIV/0!</v>
      </c>
      <c r="AI70" s="187" t="e">
        <f t="shared" si="16"/>
        <v>#DIV/0!</v>
      </c>
      <c r="AJ70" s="187" t="e">
        <f t="shared" si="16"/>
        <v>#DIV/0!</v>
      </c>
      <c r="AK70" s="187" t="e">
        <f t="shared" si="16"/>
        <v>#DIV/0!</v>
      </c>
      <c r="AL70" s="187" t="e">
        <f t="shared" si="16"/>
        <v>#DIV/0!</v>
      </c>
      <c r="AM70" s="187" t="e">
        <f t="shared" si="16"/>
        <v>#DIV/0!</v>
      </c>
      <c r="AN70" s="187" t="e">
        <f t="shared" si="16"/>
        <v>#DIV/0!</v>
      </c>
    </row>
    <row r="71" spans="2:40" x14ac:dyDescent="0.15">
      <c r="B71" s="313" t="s">
        <v>1240</v>
      </c>
      <c r="C71" s="150" t="s">
        <v>1037</v>
      </c>
      <c r="D71" s="151">
        <f>SUMIF('caseload data'!$D:$D,"PO",'caseload data'!E:E)</f>
        <v>0</v>
      </c>
      <c r="E71" s="151">
        <f>SUMIF('caseload data'!$D:$D,"PO",'caseload data'!F:F)</f>
        <v>0</v>
      </c>
      <c r="F71" s="151">
        <f>SUMIF('caseload data'!$D:$D,"PO",'caseload data'!G:G)</f>
        <v>0</v>
      </c>
      <c r="G71" s="151">
        <f>SUMIF('caseload data'!$D:$D,"PO",'caseload data'!H:H)</f>
        <v>0</v>
      </c>
      <c r="H71" s="151">
        <f>SUMIF('caseload data'!$D:$D,"PO",'caseload data'!I:I)</f>
        <v>0</v>
      </c>
      <c r="I71" s="151">
        <f>SUMIF('caseload data'!$D:$D,"PO",'caseload data'!J:J)</f>
        <v>0</v>
      </c>
      <c r="J71" s="151">
        <f>SUMIF('caseload data'!$D:$D,"PO",'caseload data'!K:K)</f>
        <v>0</v>
      </c>
      <c r="K71" s="151">
        <f>SUMIF('caseload data'!$D:$D,"PO",'caseload data'!L:L)</f>
        <v>0</v>
      </c>
      <c r="L71" s="151">
        <f>SUMIF('caseload data'!$D:$D,"PO",'caseload data'!M:M)</f>
        <v>0</v>
      </c>
      <c r="M71" s="151">
        <f>SUMIF('caseload data'!$D:$D,"PO",'caseload data'!N:N)</f>
        <v>0</v>
      </c>
      <c r="N71" s="151">
        <f>SUMIF('caseload data'!$D:$D,"PO",'caseload data'!O:O)</f>
        <v>0</v>
      </c>
      <c r="O71" s="151">
        <f>SUMIF('caseload data'!$D:$D,"PO",'caseload data'!P:P)</f>
        <v>0</v>
      </c>
      <c r="P71" s="151">
        <f>SUMIF('caseload data'!$D:$D,"PO",'caseload data'!Q:Q)</f>
        <v>0</v>
      </c>
      <c r="Q71" s="151">
        <f>SUMIF('caseload data'!$D:$D,"PO",'caseload data'!R:R)</f>
        <v>0</v>
      </c>
      <c r="R71" s="151">
        <f>SUMIF('caseload data'!$D:$D,"PO",'caseload data'!S:S)</f>
        <v>0</v>
      </c>
      <c r="S71" s="151">
        <f>SUMIF('caseload data'!$D:$D,"PO",'caseload data'!T:T)</f>
        <v>0</v>
      </c>
      <c r="T71" s="152">
        <f>SUMIF('caseload data'!D:D,"PO",'caseload data'!V:V)</f>
        <v>0</v>
      </c>
      <c r="U71" s="76"/>
      <c r="V71" s="76"/>
      <c r="W71" s="324" t="s">
        <v>1240</v>
      </c>
      <c r="X71" s="150" t="s">
        <v>1037</v>
      </c>
      <c r="Y71" s="154" t="e">
        <f>SUM(D71)/SUM(D$71:D$74)</f>
        <v>#DIV/0!</v>
      </c>
      <c r="Z71" s="154" t="e">
        <f t="shared" ref="Z71:AN74" si="18">SUM(E71)/SUM(E$71:E$74)</f>
        <v>#DIV/0!</v>
      </c>
      <c r="AA71" s="154" t="e">
        <f t="shared" si="18"/>
        <v>#DIV/0!</v>
      </c>
      <c r="AB71" s="154" t="e">
        <f t="shared" si="18"/>
        <v>#DIV/0!</v>
      </c>
      <c r="AC71" s="154" t="e">
        <f t="shared" si="18"/>
        <v>#DIV/0!</v>
      </c>
      <c r="AD71" s="154" t="e">
        <f t="shared" si="18"/>
        <v>#DIV/0!</v>
      </c>
      <c r="AE71" s="154" t="e">
        <f t="shared" si="18"/>
        <v>#DIV/0!</v>
      </c>
      <c r="AF71" s="154" t="e">
        <f t="shared" si="18"/>
        <v>#DIV/0!</v>
      </c>
      <c r="AG71" s="154" t="e">
        <f t="shared" si="18"/>
        <v>#DIV/0!</v>
      </c>
      <c r="AH71" s="154" t="e">
        <f t="shared" si="18"/>
        <v>#DIV/0!</v>
      </c>
      <c r="AI71" s="154" t="e">
        <f t="shared" si="18"/>
        <v>#DIV/0!</v>
      </c>
      <c r="AJ71" s="154" t="e">
        <f t="shared" si="18"/>
        <v>#DIV/0!</v>
      </c>
      <c r="AK71" s="154" t="e">
        <f t="shared" si="18"/>
        <v>#DIV/0!</v>
      </c>
      <c r="AL71" s="154" t="e">
        <f t="shared" si="18"/>
        <v>#DIV/0!</v>
      </c>
      <c r="AM71" s="154" t="e">
        <f t="shared" si="18"/>
        <v>#DIV/0!</v>
      </c>
      <c r="AN71" s="154" t="e">
        <f t="shared" si="18"/>
        <v>#DIV/0!</v>
      </c>
    </row>
    <row r="72" spans="2:40" x14ac:dyDescent="0.15">
      <c r="B72" s="314"/>
      <c r="C72" s="153" t="s">
        <v>1038</v>
      </c>
      <c r="D72" s="151">
        <f>SUMIF('caseload data'!$D:$D,"PSO",'caseload data'!E:E)</f>
        <v>0</v>
      </c>
      <c r="E72" s="151">
        <f>SUMIF('caseload data'!$D:$D,"PSO",'caseload data'!F:F)</f>
        <v>0</v>
      </c>
      <c r="F72" s="151">
        <f>SUMIF('caseload data'!$D:$D,"PSO",'caseload data'!G:G)</f>
        <v>0</v>
      </c>
      <c r="G72" s="151">
        <f>SUMIF('caseload data'!$D:$D,"PSO",'caseload data'!H:H)</f>
        <v>0</v>
      </c>
      <c r="H72" s="151">
        <f>SUMIF('caseload data'!$D:$D,"PSO",'caseload data'!I:I)</f>
        <v>0</v>
      </c>
      <c r="I72" s="151">
        <f>SUMIF('caseload data'!$D:$D,"PSO",'caseload data'!J:J)</f>
        <v>0</v>
      </c>
      <c r="J72" s="151">
        <f>SUMIF('caseload data'!$D:$D,"PSO",'caseload data'!K:K)</f>
        <v>0</v>
      </c>
      <c r="K72" s="151">
        <f>SUMIF('caseload data'!$D:$D,"PSO",'caseload data'!L:L)</f>
        <v>0</v>
      </c>
      <c r="L72" s="151">
        <f>SUMIF('caseload data'!$D:$D,"PSO",'caseload data'!M:M)</f>
        <v>0</v>
      </c>
      <c r="M72" s="151">
        <f>SUMIF('caseload data'!$D:$D,"PSO",'caseload data'!N:N)</f>
        <v>0</v>
      </c>
      <c r="N72" s="151">
        <f>SUMIF('caseload data'!$D:$D,"PSO",'caseload data'!O:O)</f>
        <v>0</v>
      </c>
      <c r="O72" s="151">
        <f>SUMIF('caseload data'!$D:$D,"PSO",'caseload data'!P:P)</f>
        <v>0</v>
      </c>
      <c r="P72" s="151">
        <f>SUMIF('caseload data'!$D:$D,"PSO",'caseload data'!Q:Q)</f>
        <v>0</v>
      </c>
      <c r="Q72" s="151">
        <f>SUMIF('caseload data'!$D:$D,"PSO",'caseload data'!R:R)</f>
        <v>0</v>
      </c>
      <c r="R72" s="151">
        <f>SUMIF('caseload data'!$D:$D,"PSO",'caseload data'!S:S)</f>
        <v>0</v>
      </c>
      <c r="S72" s="151">
        <f>SUMIF('caseload data'!$D:$D,"PSO",'caseload data'!T:T)</f>
        <v>0</v>
      </c>
      <c r="T72" s="152">
        <f>SUMIF('caseload data'!D:D,"PSO",'caseload data'!V:V)</f>
        <v>0</v>
      </c>
      <c r="U72" s="76"/>
      <c r="V72" s="76"/>
      <c r="W72" s="325"/>
      <c r="X72" s="153" t="s">
        <v>1038</v>
      </c>
      <c r="Y72" s="154" t="e">
        <f>SUM(D72)/SUM(D$71:D$74)</f>
        <v>#DIV/0!</v>
      </c>
      <c r="Z72" s="154" t="e">
        <f t="shared" si="18"/>
        <v>#DIV/0!</v>
      </c>
      <c r="AA72" s="154" t="e">
        <f t="shared" si="18"/>
        <v>#DIV/0!</v>
      </c>
      <c r="AB72" s="154" t="e">
        <f t="shared" si="18"/>
        <v>#DIV/0!</v>
      </c>
      <c r="AC72" s="154" t="e">
        <f t="shared" si="18"/>
        <v>#DIV/0!</v>
      </c>
      <c r="AD72" s="154" t="e">
        <f t="shared" si="18"/>
        <v>#DIV/0!</v>
      </c>
      <c r="AE72" s="154" t="e">
        <f t="shared" si="18"/>
        <v>#DIV/0!</v>
      </c>
      <c r="AF72" s="154" t="e">
        <f t="shared" si="18"/>
        <v>#DIV/0!</v>
      </c>
      <c r="AG72" s="154" t="e">
        <f t="shared" si="18"/>
        <v>#DIV/0!</v>
      </c>
      <c r="AH72" s="154" t="e">
        <f t="shared" si="18"/>
        <v>#DIV/0!</v>
      </c>
      <c r="AI72" s="154" t="e">
        <f t="shared" si="18"/>
        <v>#DIV/0!</v>
      </c>
      <c r="AJ72" s="154" t="e">
        <f t="shared" si="18"/>
        <v>#DIV/0!</v>
      </c>
      <c r="AK72" s="154" t="e">
        <f t="shared" si="18"/>
        <v>#DIV/0!</v>
      </c>
      <c r="AL72" s="154" t="e">
        <f t="shared" si="18"/>
        <v>#DIV/0!</v>
      </c>
      <c r="AM72" s="154" t="e">
        <f t="shared" si="18"/>
        <v>#DIV/0!</v>
      </c>
      <c r="AN72" s="154" t="e">
        <f t="shared" si="18"/>
        <v>#DIV/0!</v>
      </c>
    </row>
    <row r="73" spans="2:40" x14ac:dyDescent="0.15">
      <c r="B73" s="314"/>
      <c r="C73" s="153" t="s">
        <v>1039</v>
      </c>
      <c r="D73" s="151">
        <f>SUMIF('caseload data'!$D:$D,"TPO",'caseload data'!E:E)</f>
        <v>0</v>
      </c>
      <c r="E73" s="151">
        <f>SUMIF('caseload data'!$D:$D,"TPO",'caseload data'!F:F)</f>
        <v>0</v>
      </c>
      <c r="F73" s="151">
        <f>SUMIF('caseload data'!$D:$D,"TPO",'caseload data'!G:G)</f>
        <v>0</v>
      </c>
      <c r="G73" s="151">
        <f>SUMIF('caseload data'!$D:$D,"TPO",'caseload data'!H:H)</f>
        <v>0</v>
      </c>
      <c r="H73" s="151">
        <f>SUMIF('caseload data'!$D:$D,"TPO",'caseload data'!I:I)</f>
        <v>0</v>
      </c>
      <c r="I73" s="151">
        <f>SUMIF('caseload data'!$D:$D,"TPO",'caseload data'!J:J)</f>
        <v>0</v>
      </c>
      <c r="J73" s="151">
        <f>SUMIF('caseload data'!$D:$D,"TPO",'caseload data'!K:K)</f>
        <v>0</v>
      </c>
      <c r="K73" s="151">
        <f>SUMIF('caseload data'!$D:$D,"TPO",'caseload data'!L:L)</f>
        <v>0</v>
      </c>
      <c r="L73" s="151">
        <f>SUMIF('caseload data'!$D:$D,"TPO",'caseload data'!M:M)</f>
        <v>0</v>
      </c>
      <c r="M73" s="151">
        <f>SUMIF('caseload data'!$D:$D,"TPO",'caseload data'!N:N)</f>
        <v>0</v>
      </c>
      <c r="N73" s="151">
        <f>SUMIF('caseload data'!$D:$D,"TPO",'caseload data'!O:O)</f>
        <v>0</v>
      </c>
      <c r="O73" s="151">
        <f>SUMIF('caseload data'!$D:$D,"TPO",'caseload data'!P:P)</f>
        <v>0</v>
      </c>
      <c r="P73" s="151">
        <f>SUMIF('caseload data'!$D:$D,"TPO",'caseload data'!Q:Q)</f>
        <v>0</v>
      </c>
      <c r="Q73" s="151">
        <f>SUMIF('caseload data'!$D:$D,"TPO",'caseload data'!R:R)</f>
        <v>0</v>
      </c>
      <c r="R73" s="151">
        <f>SUMIF('caseload data'!$D:$D,"TPO",'caseload data'!S:S)</f>
        <v>0</v>
      </c>
      <c r="S73" s="151">
        <f>SUMIF('caseload data'!$D:$D,"TPO",'caseload data'!T:T)</f>
        <v>0</v>
      </c>
      <c r="T73" s="152">
        <f>SUMIF('caseload data'!D:D,"TPO",'caseload data'!V:V)</f>
        <v>0</v>
      </c>
      <c r="U73" s="76"/>
      <c r="V73" s="76"/>
      <c r="W73" s="325"/>
      <c r="X73" s="153" t="s">
        <v>1039</v>
      </c>
      <c r="Y73" s="154" t="e">
        <f>SUM(D73)/SUM(D$71:D$74)</f>
        <v>#DIV/0!</v>
      </c>
      <c r="Z73" s="154" t="e">
        <f t="shared" si="18"/>
        <v>#DIV/0!</v>
      </c>
      <c r="AA73" s="154" t="e">
        <f t="shared" si="18"/>
        <v>#DIV/0!</v>
      </c>
      <c r="AB73" s="154" t="e">
        <f t="shared" si="18"/>
        <v>#DIV/0!</v>
      </c>
      <c r="AC73" s="154" t="e">
        <f t="shared" si="18"/>
        <v>#DIV/0!</v>
      </c>
      <c r="AD73" s="154" t="e">
        <f t="shared" si="18"/>
        <v>#DIV/0!</v>
      </c>
      <c r="AE73" s="154" t="e">
        <f t="shared" si="18"/>
        <v>#DIV/0!</v>
      </c>
      <c r="AF73" s="154" t="e">
        <f t="shared" si="18"/>
        <v>#DIV/0!</v>
      </c>
      <c r="AG73" s="154" t="e">
        <f t="shared" si="18"/>
        <v>#DIV/0!</v>
      </c>
      <c r="AH73" s="154" t="e">
        <f t="shared" si="18"/>
        <v>#DIV/0!</v>
      </c>
      <c r="AI73" s="154" t="e">
        <f t="shared" si="18"/>
        <v>#DIV/0!</v>
      </c>
      <c r="AJ73" s="154" t="e">
        <f t="shared" si="18"/>
        <v>#DIV/0!</v>
      </c>
      <c r="AK73" s="154" t="e">
        <f t="shared" si="18"/>
        <v>#DIV/0!</v>
      </c>
      <c r="AL73" s="154" t="e">
        <f t="shared" si="18"/>
        <v>#DIV/0!</v>
      </c>
      <c r="AM73" s="154" t="e">
        <f t="shared" si="18"/>
        <v>#DIV/0!</v>
      </c>
      <c r="AN73" s="154" t="e">
        <f t="shared" si="18"/>
        <v>#DIV/0!</v>
      </c>
    </row>
    <row r="74" spans="2:40" ht="15" thickBot="1" x14ac:dyDescent="0.2">
      <c r="B74" s="314"/>
      <c r="C74" s="153" t="s">
        <v>1040</v>
      </c>
      <c r="D74" s="151">
        <f>SUMIF('caseload data'!$D:$D,"SPO",'caseload data'!E:E)</f>
        <v>0</v>
      </c>
      <c r="E74" s="151">
        <f>SUMIF('caseload data'!$D:$D,"SPO",'caseload data'!F:F)</f>
        <v>0</v>
      </c>
      <c r="F74" s="151">
        <f>SUMIF('caseload data'!$D:$D,"SPO",'caseload data'!G:G)</f>
        <v>0</v>
      </c>
      <c r="G74" s="151">
        <f>SUMIF('caseload data'!$D:$D,"SPO",'caseload data'!H:H)</f>
        <v>0</v>
      </c>
      <c r="H74" s="151">
        <f>SUMIF('caseload data'!$D:$D,"SPO",'caseload data'!I:I)</f>
        <v>0</v>
      </c>
      <c r="I74" s="151">
        <f>SUMIF('caseload data'!$D:$D,"SPO",'caseload data'!J:J)</f>
        <v>0</v>
      </c>
      <c r="J74" s="151">
        <f>SUMIF('caseload data'!$D:$D,"SPO",'caseload data'!K:K)</f>
        <v>0</v>
      </c>
      <c r="K74" s="151">
        <f>SUMIF('caseload data'!$D:$D,"SPO",'caseload data'!L:L)</f>
        <v>0</v>
      </c>
      <c r="L74" s="151">
        <f>SUMIF('caseload data'!$D:$D,"SPO",'caseload data'!M:M)</f>
        <v>0</v>
      </c>
      <c r="M74" s="151">
        <f>SUMIF('caseload data'!$D:$D,"SPO",'caseload data'!N:N)</f>
        <v>0</v>
      </c>
      <c r="N74" s="151">
        <f>SUMIF('caseload data'!$D:$D,"SPO",'caseload data'!O:O)</f>
        <v>0</v>
      </c>
      <c r="O74" s="151">
        <f>SUMIF('caseload data'!$D:$D,"SPO",'caseload data'!P:P)</f>
        <v>0</v>
      </c>
      <c r="P74" s="151">
        <f>SUMIF('caseload data'!$D:$D,"SPO",'caseload data'!Q:Q)</f>
        <v>0</v>
      </c>
      <c r="Q74" s="151">
        <f>SUMIF('caseload data'!$D:$D,"SPO",'caseload data'!R:R)</f>
        <v>0</v>
      </c>
      <c r="R74" s="151">
        <f>SUMIF('caseload data'!$D:$D,"SPO",'caseload data'!S:S)</f>
        <v>0</v>
      </c>
      <c r="S74" s="151">
        <f>SUMIF('caseload data'!$D:$D,"SPO",'caseload data'!T:T)</f>
        <v>0</v>
      </c>
      <c r="T74" s="152">
        <f>SUMIF('caseload data'!D:D,"SPO",'caseload data'!V:V)</f>
        <v>0</v>
      </c>
      <c r="U74" s="76"/>
      <c r="V74" s="76"/>
      <c r="W74" s="326"/>
      <c r="X74" s="155" t="s">
        <v>1040</v>
      </c>
      <c r="Y74" s="154" t="e">
        <f>SUM(D74)/SUM(D$71:D$74)</f>
        <v>#DIV/0!</v>
      </c>
      <c r="Z74" s="154" t="e">
        <f t="shared" si="18"/>
        <v>#DIV/0!</v>
      </c>
      <c r="AA74" s="154" t="e">
        <f t="shared" si="18"/>
        <v>#DIV/0!</v>
      </c>
      <c r="AB74" s="154" t="e">
        <f t="shared" si="18"/>
        <v>#DIV/0!</v>
      </c>
      <c r="AC74" s="154" t="e">
        <f t="shared" si="18"/>
        <v>#DIV/0!</v>
      </c>
      <c r="AD74" s="154" t="e">
        <f t="shared" si="18"/>
        <v>#DIV/0!</v>
      </c>
      <c r="AE74" s="154" t="e">
        <f t="shared" si="18"/>
        <v>#DIV/0!</v>
      </c>
      <c r="AF74" s="154" t="e">
        <f t="shared" si="18"/>
        <v>#DIV/0!</v>
      </c>
      <c r="AG74" s="154" t="e">
        <f t="shared" si="18"/>
        <v>#DIV/0!</v>
      </c>
      <c r="AH74" s="154" t="e">
        <f t="shared" si="18"/>
        <v>#DIV/0!</v>
      </c>
      <c r="AI74" s="154" t="e">
        <f t="shared" si="18"/>
        <v>#DIV/0!</v>
      </c>
      <c r="AJ74" s="154" t="e">
        <f t="shared" si="18"/>
        <v>#DIV/0!</v>
      </c>
      <c r="AK74" s="154" t="e">
        <f t="shared" si="18"/>
        <v>#DIV/0!</v>
      </c>
      <c r="AL74" s="154" t="e">
        <f t="shared" si="18"/>
        <v>#DIV/0!</v>
      </c>
      <c r="AM74" s="154" t="e">
        <f t="shared" si="18"/>
        <v>#DIV/0!</v>
      </c>
      <c r="AN74" s="154" t="e">
        <f t="shared" si="18"/>
        <v>#DIV/0!</v>
      </c>
    </row>
    <row r="75" spans="2:40" ht="35.25" customHeight="1" thickBot="1" x14ac:dyDescent="0.2">
      <c r="B75" s="315"/>
      <c r="C75" s="147" t="s">
        <v>1241</v>
      </c>
      <c r="D75" s="148">
        <f>SUM('caseload data'!E:E)</f>
        <v>0</v>
      </c>
      <c r="E75" s="148">
        <f>SUM('caseload data'!F:F)</f>
        <v>0</v>
      </c>
      <c r="F75" s="148">
        <f>SUM('caseload data'!G:G)</f>
        <v>0</v>
      </c>
      <c r="G75" s="148">
        <f>SUM('caseload data'!H:H)</f>
        <v>0</v>
      </c>
      <c r="H75" s="148">
        <f>SUM('caseload data'!I:I)</f>
        <v>0</v>
      </c>
      <c r="I75" s="148">
        <f>SUM('caseload data'!J:J)</f>
        <v>0</v>
      </c>
      <c r="J75" s="148">
        <f>SUM('caseload data'!K:K)</f>
        <v>0</v>
      </c>
      <c r="K75" s="148">
        <f>SUM('caseload data'!L:L)</f>
        <v>0</v>
      </c>
      <c r="L75" s="148">
        <f>SUM('caseload data'!M:M)</f>
        <v>0</v>
      </c>
      <c r="M75" s="148">
        <f>SUM('caseload data'!N:N)</f>
        <v>0</v>
      </c>
      <c r="N75" s="148">
        <f>SUM('caseload data'!O:O)</f>
        <v>0</v>
      </c>
      <c r="O75" s="148">
        <f>SUM('caseload data'!P:P)</f>
        <v>0</v>
      </c>
      <c r="P75" s="148">
        <f>SUM('caseload data'!Q:Q)</f>
        <v>0</v>
      </c>
      <c r="Q75" s="148">
        <f>SUM('caseload data'!R:R)</f>
        <v>0</v>
      </c>
      <c r="R75" s="148">
        <f>SUM('caseload data'!S:S)</f>
        <v>0</v>
      </c>
      <c r="S75" s="148">
        <f>SUM('caseload data'!T:T)</f>
        <v>0</v>
      </c>
      <c r="T75" s="149">
        <f>SUM('caseload data'!V:V)</f>
        <v>0</v>
      </c>
      <c r="U75" s="76"/>
      <c r="V75" s="76"/>
      <c r="W75" s="144"/>
      <c r="X75" s="145"/>
      <c r="Y75" s="146"/>
      <c r="Z75" s="146"/>
      <c r="AA75" s="146"/>
      <c r="AB75" s="146"/>
      <c r="AC75" s="146"/>
      <c r="AD75" s="146"/>
      <c r="AE75" s="146"/>
    </row>
    <row r="77" spans="2:40" ht="15" thickBot="1" x14ac:dyDescent="0.2"/>
    <row r="78" spans="2:40" ht="17" thickBot="1" x14ac:dyDescent="0.25">
      <c r="B78" s="1"/>
      <c r="C78" s="2"/>
      <c r="D78" s="310" t="s">
        <v>1242</v>
      </c>
      <c r="E78" s="311"/>
      <c r="F78" s="311"/>
      <c r="G78" s="311"/>
      <c r="H78" s="311"/>
      <c r="I78" s="311"/>
      <c r="J78" s="311"/>
      <c r="K78" s="311"/>
      <c r="L78" s="311"/>
      <c r="M78" s="311"/>
      <c r="N78" s="311"/>
      <c r="O78" s="311"/>
      <c r="P78" s="311"/>
      <c r="Q78" s="311"/>
      <c r="R78" s="311"/>
      <c r="S78" s="311"/>
      <c r="T78" s="312"/>
      <c r="W78" s="1"/>
      <c r="X78" s="2"/>
      <c r="Y78" s="322" t="s">
        <v>1243</v>
      </c>
      <c r="Z78" s="323"/>
      <c r="AA78" s="323"/>
      <c r="AB78" s="323"/>
      <c r="AC78" s="323"/>
      <c r="AD78" s="323"/>
      <c r="AE78" s="323"/>
      <c r="AF78" s="323"/>
      <c r="AG78" s="323"/>
      <c r="AH78" s="323"/>
      <c r="AI78" s="323"/>
      <c r="AJ78" s="323"/>
      <c r="AK78" s="323"/>
      <c r="AL78" s="323"/>
      <c r="AM78" s="323"/>
      <c r="AN78" s="323"/>
    </row>
    <row r="79" spans="2:40" x14ac:dyDescent="0.15">
      <c r="B79" s="137" t="s">
        <v>1238</v>
      </c>
      <c r="C79" s="139" t="s">
        <v>1239</v>
      </c>
      <c r="D79" s="42" t="s">
        <v>1019</v>
      </c>
      <c r="E79" s="42" t="s">
        <v>1020</v>
      </c>
      <c r="F79" s="42" t="s">
        <v>1021</v>
      </c>
      <c r="G79" s="42" t="s">
        <v>1022</v>
      </c>
      <c r="H79" s="42" t="s">
        <v>1023</v>
      </c>
      <c r="I79" s="42" t="s">
        <v>1024</v>
      </c>
      <c r="J79" s="42" t="s">
        <v>1025</v>
      </c>
      <c r="K79" s="42" t="s">
        <v>1026</v>
      </c>
      <c r="L79" s="42" t="s">
        <v>1027</v>
      </c>
      <c r="M79" s="42" t="s">
        <v>1028</v>
      </c>
      <c r="N79" s="42" t="s">
        <v>1029</v>
      </c>
      <c r="O79" s="42" t="s">
        <v>1030</v>
      </c>
      <c r="P79" s="42" t="s">
        <v>1031</v>
      </c>
      <c r="Q79" s="42" t="s">
        <v>1032</v>
      </c>
      <c r="R79" s="42" t="s">
        <v>1033</v>
      </c>
      <c r="S79" s="42" t="s">
        <v>1034</v>
      </c>
      <c r="T79" s="140" t="s">
        <v>1036</v>
      </c>
      <c r="U79" s="76"/>
      <c r="V79" s="76"/>
      <c r="W79" s="137" t="s">
        <v>1238</v>
      </c>
      <c r="X79" s="139" t="s">
        <v>1239</v>
      </c>
      <c r="Y79" s="42" t="s">
        <v>1019</v>
      </c>
      <c r="Z79" s="42" t="s">
        <v>1020</v>
      </c>
      <c r="AA79" s="42" t="s">
        <v>1021</v>
      </c>
      <c r="AB79" s="42" t="s">
        <v>1022</v>
      </c>
      <c r="AC79" s="42" t="s">
        <v>1023</v>
      </c>
      <c r="AD79" s="42" t="s">
        <v>1024</v>
      </c>
      <c r="AE79" s="42" t="s">
        <v>1025</v>
      </c>
      <c r="AF79" s="42" t="s">
        <v>1026</v>
      </c>
      <c r="AG79" s="42" t="s">
        <v>1027</v>
      </c>
      <c r="AH79" s="42" t="s">
        <v>1028</v>
      </c>
      <c r="AI79" s="42" t="s">
        <v>1029</v>
      </c>
      <c r="AJ79" s="42" t="s">
        <v>1030</v>
      </c>
      <c r="AK79" s="42" t="s">
        <v>1031</v>
      </c>
      <c r="AL79" s="42" t="s">
        <v>1032</v>
      </c>
      <c r="AM79" s="42" t="s">
        <v>1033</v>
      </c>
      <c r="AN79" s="42" t="s">
        <v>1034</v>
      </c>
    </row>
    <row r="80" spans="2:40" x14ac:dyDescent="0.15">
      <c r="B80" s="306" t="s">
        <v>1355</v>
      </c>
      <c r="C80" s="141" t="s">
        <v>1037</v>
      </c>
      <c r="D80" s="107" cm="1">
        <f t="array" ref="D80">SUM(SUMIFS('caseload data'!E:E,'caseload data'!$D:$D,"PO",'caseload data'!$A:$A,_xlfn.SINGLE('national caseload'!$B$80:$B$82),'caseload data'!$B:$B,{"licence","community"}))</f>
        <v>0</v>
      </c>
      <c r="E80" s="107" cm="1">
        <f t="array" ref="E80">SUM(SUMIFS('caseload data'!F:F,'caseload data'!$D:$D,"PO",'caseload data'!$A:$A,_xlfn.SINGLE('national caseload'!$B$80:$B$82),'caseload data'!$B:$B,{"licence","community"}))</f>
        <v>0</v>
      </c>
      <c r="F80" s="107" cm="1">
        <f t="array" ref="F80">SUM(SUMIFS('caseload data'!G:G,'caseload data'!$D:$D,"PO",'caseload data'!$A:$A,_xlfn.SINGLE('national caseload'!$B$80:$B$82),'caseload data'!$B:$B,{"licence","community"}))</f>
        <v>0</v>
      </c>
      <c r="G80" s="107" cm="1">
        <f t="array" ref="G80">SUM(SUMIFS('caseload data'!H:H,'caseload data'!$D:$D,"PO",'caseload data'!$A:$A,_xlfn.SINGLE('national caseload'!$B$80:$B$82),'caseload data'!$B:$B,{"licence","community"}))</f>
        <v>0</v>
      </c>
      <c r="H80" s="107" cm="1">
        <f t="array" ref="H80">SUM(SUMIFS('caseload data'!I:I,'caseload data'!$D:$D,"PO",'caseload data'!$A:$A,_xlfn.SINGLE('national caseload'!$B$80:$B$82),'caseload data'!$B:$B,{"licence","community"}))</f>
        <v>0</v>
      </c>
      <c r="I80" s="107" cm="1">
        <f t="array" ref="I80">SUM(SUMIFS('caseload data'!J:J,'caseload data'!$D:$D,"PO",'caseload data'!$A:$A,_xlfn.SINGLE('national caseload'!$B$80:$B$82),'caseload data'!$B:$B,{"licence","community"}))</f>
        <v>0</v>
      </c>
      <c r="J80" s="107" cm="1">
        <f t="array" ref="J80">SUM(SUMIFS('caseload data'!K:K,'caseload data'!$D:$D,"PO",'caseload data'!$A:$A,_xlfn.SINGLE('national caseload'!$B$80:$B$82),'caseload data'!$B:$B,{"licence","community"}))</f>
        <v>0</v>
      </c>
      <c r="K80" s="107" cm="1">
        <f t="array" ref="K80">SUM(SUMIFS('caseload data'!L:L,'caseload data'!$D:$D,"PO",'caseload data'!$A:$A,_xlfn.SINGLE('national caseload'!$B$80:$B$82),'caseload data'!$B:$B,{"licence","community"}))</f>
        <v>0</v>
      </c>
      <c r="L80" s="107" cm="1">
        <f t="array" ref="L80">SUM(SUMIFS('caseload data'!M:M,'caseload data'!$D:$D,"PO",'caseload data'!$A:$A,_xlfn.SINGLE('national caseload'!$B$80:$B$82),'caseload data'!$B:$B,{"licence","community"}))</f>
        <v>0</v>
      </c>
      <c r="M80" s="107" cm="1">
        <f t="array" ref="M80">SUM(SUMIFS('caseload data'!N:N,'caseload data'!$D:$D,"PO",'caseload data'!$A:$A,_xlfn.SINGLE('national caseload'!$B$80:$B$82),'caseload data'!$B:$B,{"licence","community"}))</f>
        <v>0</v>
      </c>
      <c r="N80" s="107" cm="1">
        <f t="array" ref="N80">SUM(SUMIFS('caseload data'!O:O,'caseload data'!$D:$D,"PO",'caseload data'!$A:$A,_xlfn.SINGLE('national caseload'!$B$80:$B$82),'caseload data'!$B:$B,{"licence","community"}))</f>
        <v>0</v>
      </c>
      <c r="O80" s="107" cm="1">
        <f t="array" ref="O80">SUM(SUMIFS('caseload data'!P:P,'caseload data'!$D:$D,"PO",'caseload data'!$A:$A,_xlfn.SINGLE('national caseload'!$B$80:$B$82),'caseload data'!$B:$B,{"licence","community"}))</f>
        <v>0</v>
      </c>
      <c r="P80" s="107" cm="1">
        <f t="array" ref="P80">SUM(SUMIFS('caseload data'!Q:Q,'caseload data'!$D:$D,"PO",'caseload data'!$A:$A,_xlfn.SINGLE('national caseload'!$B$80:$B$82),'caseload data'!$B:$B,{"licence","community"}))</f>
        <v>0</v>
      </c>
      <c r="Q80" s="107" cm="1">
        <f t="array" ref="Q80">SUM(SUMIFS('caseload data'!R:R,'caseload data'!$D:$D,"PO",'caseload data'!$A:$A,_xlfn.SINGLE('national caseload'!$B$80:$B$82),'caseload data'!$B:$B,{"licence","community"}))</f>
        <v>0</v>
      </c>
      <c r="R80" s="107" cm="1">
        <f t="array" ref="R80">SUM(SUMIFS('caseload data'!S:S,'caseload data'!$D:$D,"PO",'caseload data'!$A:$A,_xlfn.SINGLE('national caseload'!$B$80:$B$82),'caseload data'!$B:$B,{"licence","community"}))</f>
        <v>0</v>
      </c>
      <c r="S80" s="107" cm="1">
        <f t="array" ref="S80">SUM(SUMIFS('caseload data'!T:T,'caseload data'!$D:$D,"PO",'caseload data'!$A:$A,_xlfn.SINGLE('national caseload'!$B$80:$B$82),'caseload data'!$B:$B,{"licence","community"}))</f>
        <v>0</v>
      </c>
      <c r="T80" s="107">
        <f>SUM(SUMIFS('caseload data'!V:V,'caseload data'!D:D,"PO",'caseload data'!A:A,'national caseload'!B80:B82,'caseload data'!B:B,{"licence","community"}))</f>
        <v>0</v>
      </c>
      <c r="U80" s="76"/>
      <c r="V80" s="76"/>
      <c r="W80" s="306" t="s">
        <v>1355</v>
      </c>
      <c r="X80" s="141" t="s">
        <v>1037</v>
      </c>
      <c r="Y80" s="187" t="e">
        <f t="shared" ref="Y80:Y99" si="19">SUM(D80)/SUM(D$80:D$83)</f>
        <v>#DIV/0!</v>
      </c>
      <c r="Z80" s="187" t="e">
        <f t="shared" ref="Z80:AN94" si="20">SUM(E80)/SUM(E$80:E$83)</f>
        <v>#DIV/0!</v>
      </c>
      <c r="AA80" s="187" t="e">
        <f t="shared" si="20"/>
        <v>#DIV/0!</v>
      </c>
      <c r="AB80" s="187" t="e">
        <f t="shared" si="20"/>
        <v>#DIV/0!</v>
      </c>
      <c r="AC80" s="187" t="e">
        <f t="shared" si="20"/>
        <v>#DIV/0!</v>
      </c>
      <c r="AD80" s="187" t="e">
        <f t="shared" si="20"/>
        <v>#DIV/0!</v>
      </c>
      <c r="AE80" s="187" t="e">
        <f t="shared" si="20"/>
        <v>#DIV/0!</v>
      </c>
      <c r="AF80" s="187" t="e">
        <f t="shared" si="20"/>
        <v>#DIV/0!</v>
      </c>
      <c r="AG80" s="187" t="e">
        <f t="shared" si="20"/>
        <v>#DIV/0!</v>
      </c>
      <c r="AH80" s="187" t="e">
        <f t="shared" si="20"/>
        <v>#DIV/0!</v>
      </c>
      <c r="AI80" s="187" t="e">
        <f t="shared" si="20"/>
        <v>#DIV/0!</v>
      </c>
      <c r="AJ80" s="187" t="e">
        <f t="shared" si="20"/>
        <v>#DIV/0!</v>
      </c>
      <c r="AK80" s="187" t="e">
        <f t="shared" si="20"/>
        <v>#DIV/0!</v>
      </c>
      <c r="AL80" s="187" t="e">
        <f t="shared" si="20"/>
        <v>#DIV/0!</v>
      </c>
      <c r="AM80" s="187" t="e">
        <f t="shared" si="20"/>
        <v>#DIV/0!</v>
      </c>
      <c r="AN80" s="187" t="e">
        <f t="shared" si="20"/>
        <v>#DIV/0!</v>
      </c>
    </row>
    <row r="81" spans="2:40" x14ac:dyDescent="0.15">
      <c r="B81" s="307"/>
      <c r="C81" s="142" t="s">
        <v>1038</v>
      </c>
      <c r="D81" s="107" cm="1">
        <f t="array" ref="D81">SUM(SUMIFS('caseload data'!E:E,'caseload data'!$D:$D,"PSO",'caseload data'!$A:$A,"East Midlands Region",'caseload data'!$B:$B,{"licence","community"}))</f>
        <v>0</v>
      </c>
      <c r="E81" s="107" cm="1">
        <f t="array" ref="E81">SUM(SUMIFS('caseload data'!F:F,'caseload data'!$D:$D,"PSO",'caseload data'!$A:$A,"East Midlands Region",'caseload data'!$B:$B,{"licence","community"}))</f>
        <v>0</v>
      </c>
      <c r="F81" s="107" cm="1">
        <f t="array" ref="F81">SUM(SUMIFS('caseload data'!G:G,'caseload data'!$D:$D,"PSO",'caseload data'!$A:$A,"East Midlands Region",'caseload data'!$B:$B,{"licence","community"}))</f>
        <v>0</v>
      </c>
      <c r="G81" s="107" cm="1">
        <f t="array" ref="G81">SUM(SUMIFS('caseload data'!H:H,'caseload data'!$D:$D,"PSO",'caseload data'!$A:$A,"East Midlands Region",'caseload data'!$B:$B,{"licence","community"}))</f>
        <v>0</v>
      </c>
      <c r="H81" s="107" cm="1">
        <f t="array" ref="H81">SUM(SUMIFS('caseload data'!I:I,'caseload data'!$D:$D,"PSO",'caseload data'!$A:$A,"East Midlands Region",'caseload data'!$B:$B,{"licence","community"}))</f>
        <v>0</v>
      </c>
      <c r="I81" s="107" cm="1">
        <f t="array" ref="I81">SUM(SUMIFS('caseload data'!J:J,'caseload data'!$D:$D,"PSO",'caseload data'!$A:$A,"East Midlands Region",'caseload data'!$B:$B,{"licence","community"}))</f>
        <v>0</v>
      </c>
      <c r="J81" s="107" cm="1">
        <f t="array" ref="J81">SUM(SUMIFS('caseload data'!K:K,'caseload data'!$D:$D,"PSO",'caseload data'!$A:$A,"East Midlands Region",'caseload data'!$B:$B,{"licence","community"}))</f>
        <v>0</v>
      </c>
      <c r="K81" s="107" cm="1">
        <f t="array" ref="K81">SUM(SUMIFS('caseload data'!L:L,'caseload data'!$D:$D,"PSO",'caseload data'!$A:$A,"East Midlands Region",'caseload data'!$B:$B,{"licence","community"}))</f>
        <v>0</v>
      </c>
      <c r="L81" s="107" cm="1">
        <f t="array" ref="L81">SUM(SUMIFS('caseload data'!M:M,'caseload data'!$D:$D,"PSO",'caseload data'!$A:$A,"East Midlands Region",'caseload data'!$B:$B,{"licence","community"}))</f>
        <v>0</v>
      </c>
      <c r="M81" s="107" cm="1">
        <f t="array" ref="M81">SUM(SUMIFS('caseload data'!N:N,'caseload data'!$D:$D,"PSO",'caseload data'!$A:$A,"East Midlands Region",'caseload data'!$B:$B,{"licence","community"}))</f>
        <v>0</v>
      </c>
      <c r="N81" s="107" cm="1">
        <f t="array" ref="N81">SUM(SUMIFS('caseload data'!O:O,'caseload data'!$D:$D,"PSO",'caseload data'!$A:$A,"East Midlands Region",'caseload data'!$B:$B,{"licence","community"}))</f>
        <v>0</v>
      </c>
      <c r="O81" s="107" cm="1">
        <f t="array" ref="O81">SUM(SUMIFS('caseload data'!P:P,'caseload data'!$D:$D,"PSO",'caseload data'!$A:$A,"East Midlands Region",'caseload data'!$B:$B,{"licence","community"}))</f>
        <v>0</v>
      </c>
      <c r="P81" s="107" cm="1">
        <f t="array" ref="P81">SUM(SUMIFS('caseload data'!Q:Q,'caseload data'!$D:$D,"PSO",'caseload data'!$A:$A,"East Midlands Region",'caseload data'!$B:$B,{"licence","community"}))</f>
        <v>0</v>
      </c>
      <c r="Q81" s="107" cm="1">
        <f t="array" ref="Q81">SUM(SUMIFS('caseload data'!R:R,'caseload data'!$D:$D,"PSO",'caseload data'!$A:$A,"East Midlands Region",'caseload data'!$B:$B,{"licence","community"}))</f>
        <v>0</v>
      </c>
      <c r="R81" s="107" cm="1">
        <f t="array" ref="R81">SUM(SUMIFS('caseload data'!S:S,'caseload data'!$D:$D,"PSO",'caseload data'!$A:$A,"East Midlands Region",'caseload data'!$B:$B,{"licence","community"}))</f>
        <v>0</v>
      </c>
      <c r="S81" s="107" cm="1">
        <f t="array" ref="S81">SUM(SUMIFS('caseload data'!T:T,'caseload data'!$D:$D,"PSO",'caseload data'!$A:$A,"East Midlands Region",'caseload data'!$B:$B,{"licence","community"}))</f>
        <v>0</v>
      </c>
      <c r="T81" s="107" cm="1">
        <f t="array" ref="T81">SUM(SUMIFS('caseload data'!V:V,'caseload data'!D:D,"PSO",'caseload data'!A:A,"East Midlands Region",'caseload data'!B:B,{"licence","community"}))</f>
        <v>0</v>
      </c>
      <c r="U81" s="76"/>
      <c r="V81" s="76"/>
      <c r="W81" s="307"/>
      <c r="X81" s="142" t="s">
        <v>1038</v>
      </c>
      <c r="Y81" s="187" t="e">
        <f t="shared" si="19"/>
        <v>#DIV/0!</v>
      </c>
      <c r="Z81" s="187" t="e">
        <f t="shared" si="20"/>
        <v>#DIV/0!</v>
      </c>
      <c r="AA81" s="187" t="e">
        <f t="shared" si="20"/>
        <v>#DIV/0!</v>
      </c>
      <c r="AB81" s="187" t="e">
        <f t="shared" si="20"/>
        <v>#DIV/0!</v>
      </c>
      <c r="AC81" s="187" t="e">
        <f t="shared" si="20"/>
        <v>#DIV/0!</v>
      </c>
      <c r="AD81" s="187" t="e">
        <f t="shared" si="20"/>
        <v>#DIV/0!</v>
      </c>
      <c r="AE81" s="187" t="e">
        <f t="shared" si="20"/>
        <v>#DIV/0!</v>
      </c>
      <c r="AF81" s="187" t="e">
        <f t="shared" si="20"/>
        <v>#DIV/0!</v>
      </c>
      <c r="AG81" s="187" t="e">
        <f t="shared" si="20"/>
        <v>#DIV/0!</v>
      </c>
      <c r="AH81" s="187" t="e">
        <f t="shared" si="20"/>
        <v>#DIV/0!</v>
      </c>
      <c r="AI81" s="187" t="e">
        <f t="shared" si="20"/>
        <v>#DIV/0!</v>
      </c>
      <c r="AJ81" s="187" t="e">
        <f t="shared" si="20"/>
        <v>#DIV/0!</v>
      </c>
      <c r="AK81" s="187" t="e">
        <f t="shared" si="20"/>
        <v>#DIV/0!</v>
      </c>
      <c r="AL81" s="187" t="e">
        <f t="shared" si="20"/>
        <v>#DIV/0!</v>
      </c>
      <c r="AM81" s="187" t="e">
        <f t="shared" si="20"/>
        <v>#DIV/0!</v>
      </c>
      <c r="AN81" s="187" t="e">
        <f t="shared" si="20"/>
        <v>#DIV/0!</v>
      </c>
    </row>
    <row r="82" spans="2:40" x14ac:dyDescent="0.15">
      <c r="B82" s="307"/>
      <c r="C82" s="142" t="s">
        <v>1039</v>
      </c>
      <c r="D82" s="107" cm="1">
        <f t="array" ref="D82">SUM(SUMIFS('caseload data'!E:E,'caseload data'!$D:$D,"TPO",'caseload data'!$A:$A,"East Midlands Region",'caseload data'!$B:$B,{"licence","community"}))</f>
        <v>0</v>
      </c>
      <c r="E82" s="107" cm="1">
        <f t="array" ref="E82">SUM(SUMIFS('caseload data'!F:F,'caseload data'!$D:$D,"TPO",'caseload data'!$A:$A,"East Midlands Region",'caseload data'!$B:$B,{"licence","community"}))</f>
        <v>0</v>
      </c>
      <c r="F82" s="107" cm="1">
        <f t="array" ref="F82">SUM(SUMIFS('caseload data'!G:G,'caseload data'!$D:$D,"TPO",'caseload data'!$A:$A,"East Midlands Region",'caseload data'!$B:$B,{"licence","community"}))</f>
        <v>0</v>
      </c>
      <c r="G82" s="107" cm="1">
        <f t="array" ref="G82">SUM(SUMIFS('caseload data'!H:H,'caseload data'!$D:$D,"TPO",'caseload data'!$A:$A,"East Midlands Region",'caseload data'!$B:$B,{"licence","community"}))</f>
        <v>0</v>
      </c>
      <c r="H82" s="107" cm="1">
        <f t="array" ref="H82">SUM(SUMIFS('caseload data'!I:I,'caseload data'!$D:$D,"TPO",'caseload data'!$A:$A,"East Midlands Region",'caseload data'!$B:$B,{"licence","community"}))</f>
        <v>0</v>
      </c>
      <c r="I82" s="107" cm="1">
        <f t="array" ref="I82">SUM(SUMIFS('caseload data'!J:J,'caseload data'!$D:$D,"TPO",'caseload data'!$A:$A,"East Midlands Region",'caseload data'!$B:$B,{"licence","community"}))</f>
        <v>0</v>
      </c>
      <c r="J82" s="107" cm="1">
        <f t="array" ref="J82">SUM(SUMIFS('caseload data'!K:K,'caseload data'!$D:$D,"TPO",'caseload data'!$A:$A,"East Midlands Region",'caseload data'!$B:$B,{"licence","community"}))</f>
        <v>0</v>
      </c>
      <c r="K82" s="107" cm="1">
        <f t="array" ref="K82">SUM(SUMIFS('caseload data'!L:L,'caseload data'!$D:$D,"TPO",'caseload data'!$A:$A,"East Midlands Region",'caseload data'!$B:$B,{"licence","community"}))</f>
        <v>0</v>
      </c>
      <c r="L82" s="107" cm="1">
        <f t="array" ref="L82">SUM(SUMIFS('caseload data'!M:M,'caseload data'!$D:$D,"TPO",'caseload data'!$A:$A,"East Midlands Region",'caseload data'!$B:$B,{"licence","community"}))</f>
        <v>0</v>
      </c>
      <c r="M82" s="107" cm="1">
        <f t="array" ref="M82">SUM(SUMIFS('caseload data'!N:N,'caseload data'!$D:$D,"TPO",'caseload data'!$A:$A,"East Midlands Region",'caseload data'!$B:$B,{"licence","community"}))</f>
        <v>0</v>
      </c>
      <c r="N82" s="107" cm="1">
        <f t="array" ref="N82">SUM(SUMIFS('caseload data'!O:O,'caseload data'!$D:$D,"TPO",'caseload data'!$A:$A,"East Midlands Region",'caseload data'!$B:$B,{"licence","community"}))</f>
        <v>0</v>
      </c>
      <c r="O82" s="107" cm="1">
        <f t="array" ref="O82">SUM(SUMIFS('caseload data'!P:P,'caseload data'!$D:$D,"TPO",'caseload data'!$A:$A,"East Midlands Region",'caseload data'!$B:$B,{"licence","community"}))</f>
        <v>0</v>
      </c>
      <c r="P82" s="107" cm="1">
        <f t="array" ref="P82">SUM(SUMIFS('caseload data'!Q:Q,'caseload data'!$D:$D,"TPO",'caseload data'!$A:$A,"East Midlands Region",'caseload data'!$B:$B,{"licence","community"}))</f>
        <v>0</v>
      </c>
      <c r="Q82" s="107" cm="1">
        <f t="array" ref="Q82">SUM(SUMIFS('caseload data'!R:R,'caseload data'!$D:$D,"TPO",'caseload data'!$A:$A,"East Midlands Region",'caseload data'!$B:$B,{"licence","community"}))</f>
        <v>0</v>
      </c>
      <c r="R82" s="107" cm="1">
        <f t="array" ref="R82">SUM(SUMIFS('caseload data'!S:S,'caseload data'!$D:$D,"TPO",'caseload data'!$A:$A,"East Midlands Region",'caseload data'!$B:$B,{"licence","community"}))</f>
        <v>0</v>
      </c>
      <c r="S82" s="107" cm="1">
        <f t="array" ref="S82">SUM(SUMIFS('caseload data'!T:T,'caseload data'!$D:$D,"TPO",'caseload data'!$A:$A,"East Midlands Region",'caseload data'!$B:$B,{"licence","community"}))</f>
        <v>0</v>
      </c>
      <c r="T82" s="107" cm="1">
        <f t="array" ref="T82">SUM(SUMIFS('caseload data'!V:V,'caseload data'!D:D,"TPO",'caseload data'!A:A,"East Midlands Region",'caseload data'!B:B,{"licence","community"}))</f>
        <v>0</v>
      </c>
      <c r="U82" s="76"/>
      <c r="V82" s="76"/>
      <c r="W82" s="307"/>
      <c r="X82" s="142" t="s">
        <v>1039</v>
      </c>
      <c r="Y82" s="187" t="e">
        <f t="shared" si="19"/>
        <v>#DIV/0!</v>
      </c>
      <c r="Z82" s="187" t="e">
        <f t="shared" si="20"/>
        <v>#DIV/0!</v>
      </c>
      <c r="AA82" s="187" t="e">
        <f t="shared" si="20"/>
        <v>#DIV/0!</v>
      </c>
      <c r="AB82" s="187" t="e">
        <f t="shared" si="20"/>
        <v>#DIV/0!</v>
      </c>
      <c r="AC82" s="187" t="e">
        <f t="shared" si="20"/>
        <v>#DIV/0!</v>
      </c>
      <c r="AD82" s="187" t="e">
        <f t="shared" si="20"/>
        <v>#DIV/0!</v>
      </c>
      <c r="AE82" s="187" t="e">
        <f t="shared" si="20"/>
        <v>#DIV/0!</v>
      </c>
      <c r="AF82" s="187" t="e">
        <f t="shared" si="20"/>
        <v>#DIV/0!</v>
      </c>
      <c r="AG82" s="187" t="e">
        <f t="shared" si="20"/>
        <v>#DIV/0!</v>
      </c>
      <c r="AH82" s="187" t="e">
        <f t="shared" si="20"/>
        <v>#DIV/0!</v>
      </c>
      <c r="AI82" s="187" t="e">
        <f t="shared" si="20"/>
        <v>#DIV/0!</v>
      </c>
      <c r="AJ82" s="187" t="e">
        <f t="shared" si="20"/>
        <v>#DIV/0!</v>
      </c>
      <c r="AK82" s="187" t="e">
        <f t="shared" si="20"/>
        <v>#DIV/0!</v>
      </c>
      <c r="AL82" s="187" t="e">
        <f t="shared" si="20"/>
        <v>#DIV/0!</v>
      </c>
      <c r="AM82" s="187" t="e">
        <f t="shared" si="20"/>
        <v>#DIV/0!</v>
      </c>
      <c r="AN82" s="187" t="e">
        <f t="shared" si="20"/>
        <v>#DIV/0!</v>
      </c>
    </row>
    <row r="83" spans="2:40" x14ac:dyDescent="0.15">
      <c r="B83" s="308"/>
      <c r="C83" s="143" t="s">
        <v>1040</v>
      </c>
      <c r="D83" s="107" cm="1">
        <f t="array" ref="D83">SUM(SUMIFS('caseload data'!E:E,'caseload data'!$D:$D,"SPO",'caseload data'!$A:$A,"East Midlands Region",'caseload data'!$B:$B,{"licence","community"}))</f>
        <v>0</v>
      </c>
      <c r="E83" s="107" cm="1">
        <f t="array" ref="E83">SUM(SUMIFS('caseload data'!F:F,'caseload data'!$D:$D,"SPO",'caseload data'!$A:$A,"East Midlands Region",'caseload data'!$B:$B,{"licence","community"}))</f>
        <v>0</v>
      </c>
      <c r="F83" s="107" cm="1">
        <f t="array" ref="F83">SUM(SUMIFS('caseload data'!G:G,'caseload data'!$D:$D,"SPO",'caseload data'!$A:$A,"East Midlands Region",'caseload data'!$B:$B,{"licence","community"}))</f>
        <v>0</v>
      </c>
      <c r="G83" s="107" cm="1">
        <f t="array" ref="G83">SUM(SUMIFS('caseload data'!H:H,'caseload data'!$D:$D,"SPO",'caseload data'!$A:$A,"East Midlands Region",'caseload data'!$B:$B,{"licence","community"}))</f>
        <v>0</v>
      </c>
      <c r="H83" s="107" cm="1">
        <f t="array" ref="H83">SUM(SUMIFS('caseload data'!I:I,'caseload data'!$D:$D,"SPO",'caseload data'!$A:$A,"East Midlands Region",'caseload data'!$B:$B,{"licence","community"}))</f>
        <v>0</v>
      </c>
      <c r="I83" s="107" cm="1">
        <f t="array" ref="I83">SUM(SUMIFS('caseload data'!J:J,'caseload data'!$D:$D,"SPO",'caseload data'!$A:$A,"East Midlands Region",'caseload data'!$B:$B,{"licence","community"}))</f>
        <v>0</v>
      </c>
      <c r="J83" s="107" cm="1">
        <f t="array" ref="J83">SUM(SUMIFS('caseload data'!K:K,'caseload data'!$D:$D,"SPO",'caseload data'!$A:$A,"East Midlands Region",'caseload data'!$B:$B,{"licence","community"}))</f>
        <v>0</v>
      </c>
      <c r="K83" s="107" cm="1">
        <f t="array" ref="K83">SUM(SUMIFS('caseload data'!L:L,'caseload data'!$D:$D,"SPO",'caseload data'!$A:$A,"East Midlands Region",'caseload data'!$B:$B,{"licence","community"}))</f>
        <v>0</v>
      </c>
      <c r="L83" s="107" cm="1">
        <f t="array" ref="L83">SUM(SUMIFS('caseload data'!M:M,'caseload data'!$D:$D,"SPO",'caseload data'!$A:$A,"East Midlands Region",'caseload data'!$B:$B,{"licence","community"}))</f>
        <v>0</v>
      </c>
      <c r="M83" s="107" cm="1">
        <f t="array" ref="M83">SUM(SUMIFS('caseload data'!N:N,'caseload data'!$D:$D,"SPO",'caseload data'!$A:$A,"East Midlands Region",'caseload data'!$B:$B,{"licence","community"}))</f>
        <v>0</v>
      </c>
      <c r="N83" s="107" cm="1">
        <f t="array" ref="N83">SUM(SUMIFS('caseload data'!O:O,'caseload data'!$D:$D,"SPO",'caseload data'!$A:$A,"East Midlands Region",'caseload data'!$B:$B,{"licence","community"}))</f>
        <v>0</v>
      </c>
      <c r="O83" s="107" cm="1">
        <f t="array" ref="O83">SUM(SUMIFS('caseload data'!P:P,'caseload data'!$D:$D,"SPO",'caseload data'!$A:$A,"East Midlands Region",'caseload data'!$B:$B,{"licence","community"}))</f>
        <v>0</v>
      </c>
      <c r="P83" s="107" cm="1">
        <f t="array" ref="P83">SUM(SUMIFS('caseload data'!Q:Q,'caseload data'!$D:$D,"SPO",'caseload data'!$A:$A,"East Midlands Region",'caseload data'!$B:$B,{"licence","community"}))</f>
        <v>0</v>
      </c>
      <c r="Q83" s="107" cm="1">
        <f t="array" ref="Q83">SUM(SUMIFS('caseload data'!R:R,'caseload data'!$D:$D,"SPO",'caseload data'!$A:$A,"East Midlands Region",'caseload data'!$B:$B,{"licence","community"}))</f>
        <v>0</v>
      </c>
      <c r="R83" s="107" cm="1">
        <f t="array" ref="R83">SUM(SUMIFS('caseload data'!S:S,'caseload data'!$D:$D,"SPO",'caseload data'!$A:$A,"East Midlands Region",'caseload data'!$B:$B,{"licence","community"}))</f>
        <v>0</v>
      </c>
      <c r="S83" s="107" cm="1">
        <f t="array" ref="S83">SUM(SUMIFS('caseload data'!T:T,'caseload data'!$D:$D,"SPO",'caseload data'!$A:$A,"East Midlands Region",'caseload data'!$B:$B,{"licence","community"}))</f>
        <v>0</v>
      </c>
      <c r="T83" s="107" cm="1">
        <f t="array" ref="T83">SUM(SUMIFS('caseload data'!V:V,'caseload data'!$D:$D,"SPO",'caseload data'!$A:$A,"East Midlands Region",'caseload data'!$B:$B,{"licence","community"}))</f>
        <v>0</v>
      </c>
      <c r="U83" s="76"/>
      <c r="V83" s="76"/>
      <c r="W83" s="308"/>
      <c r="X83" s="143" t="s">
        <v>1040</v>
      </c>
      <c r="Y83" s="187" t="e">
        <f t="shared" si="19"/>
        <v>#DIV/0!</v>
      </c>
      <c r="Z83" s="187" t="e">
        <f t="shared" si="20"/>
        <v>#DIV/0!</v>
      </c>
      <c r="AA83" s="187" t="e">
        <f t="shared" si="20"/>
        <v>#DIV/0!</v>
      </c>
      <c r="AB83" s="187" t="e">
        <f t="shared" si="20"/>
        <v>#DIV/0!</v>
      </c>
      <c r="AC83" s="187" t="e">
        <f t="shared" si="20"/>
        <v>#DIV/0!</v>
      </c>
      <c r="AD83" s="187" t="e">
        <f t="shared" si="20"/>
        <v>#DIV/0!</v>
      </c>
      <c r="AE83" s="187" t="e">
        <f t="shared" si="20"/>
        <v>#DIV/0!</v>
      </c>
      <c r="AF83" s="187" t="e">
        <f t="shared" si="20"/>
        <v>#DIV/0!</v>
      </c>
      <c r="AG83" s="187" t="e">
        <f t="shared" si="20"/>
        <v>#DIV/0!</v>
      </c>
      <c r="AH83" s="187" t="e">
        <f t="shared" si="20"/>
        <v>#DIV/0!</v>
      </c>
      <c r="AI83" s="187" t="e">
        <f t="shared" si="20"/>
        <v>#DIV/0!</v>
      </c>
      <c r="AJ83" s="187" t="e">
        <f t="shared" si="20"/>
        <v>#DIV/0!</v>
      </c>
      <c r="AK83" s="187" t="e">
        <f t="shared" si="20"/>
        <v>#DIV/0!</v>
      </c>
      <c r="AL83" s="187" t="e">
        <f t="shared" si="20"/>
        <v>#DIV/0!</v>
      </c>
      <c r="AM83" s="187" t="e">
        <f t="shared" si="20"/>
        <v>#DIV/0!</v>
      </c>
      <c r="AN83" s="187" t="e">
        <f t="shared" si="20"/>
        <v>#DIV/0!</v>
      </c>
    </row>
    <row r="84" spans="2:40" x14ac:dyDescent="0.15">
      <c r="B84" s="306" t="s">
        <v>20</v>
      </c>
      <c r="C84" s="141" t="s">
        <v>1037</v>
      </c>
      <c r="D84" s="107" cm="1">
        <f t="array" ref="D84">SUM(SUMIFS('caseload data'!E:E,'caseload data'!$D:$D,"PO",'caseload data'!$A:$A,_xlfn.SINGLE('national caseload'!$B$84:$B$86),'caseload data'!$B:$B,{"licence","community"}))</f>
        <v>0</v>
      </c>
      <c r="E84" s="107" cm="1">
        <f t="array" ref="E84">SUM(SUMIFS('caseload data'!F:F,'caseload data'!$D:$D,"PO",'caseload data'!$A:$A,_xlfn.SINGLE('national caseload'!$B$84:$B$86),'caseload data'!$B:$B,{"licence","community"}))</f>
        <v>0</v>
      </c>
      <c r="F84" s="107" cm="1">
        <f t="array" ref="F84">SUM(SUMIFS('caseload data'!G:G,'caseload data'!$D:$D,"PO",'caseload data'!$A:$A,_xlfn.SINGLE('national caseload'!$B$84:$B$86),'caseload data'!$B:$B,{"licence","community"}))</f>
        <v>0</v>
      </c>
      <c r="G84" s="107" cm="1">
        <f t="array" ref="G84">SUM(SUMIFS('caseload data'!H:H,'caseload data'!$D:$D,"PO",'caseload data'!$A:$A,_xlfn.SINGLE('national caseload'!$B$84:$B$86),'caseload data'!$B:$B,{"licence","community"}))</f>
        <v>0</v>
      </c>
      <c r="H84" s="107" cm="1">
        <f t="array" ref="H84">SUM(SUMIFS('caseload data'!I:I,'caseload data'!$D:$D,"PO",'caseload data'!$A:$A,_xlfn.SINGLE('national caseload'!$B$84:$B$86),'caseload data'!$B:$B,{"licence","community"}))</f>
        <v>0</v>
      </c>
      <c r="I84" s="107" cm="1">
        <f t="array" ref="I84">SUM(SUMIFS('caseload data'!J:J,'caseload data'!$D:$D,"PO",'caseload data'!$A:$A,_xlfn.SINGLE('national caseload'!$B$84:$B$86),'caseload data'!$B:$B,{"licence","community"}))</f>
        <v>0</v>
      </c>
      <c r="J84" s="107" cm="1">
        <f t="array" ref="J84">SUM(SUMIFS('caseload data'!K:K,'caseload data'!$D:$D,"PO",'caseload data'!$A:$A,_xlfn.SINGLE('national caseload'!$B$84:$B$86),'caseload data'!$B:$B,{"licence","community"}))</f>
        <v>0</v>
      </c>
      <c r="K84" s="107" cm="1">
        <f t="array" ref="K84">SUM(SUMIFS('caseload data'!L:L,'caseload data'!$D:$D,"PO",'caseload data'!$A:$A,_xlfn.SINGLE('national caseload'!$B$84:$B$86),'caseload data'!$B:$B,{"licence","community"}))</f>
        <v>0</v>
      </c>
      <c r="L84" s="107" cm="1">
        <f t="array" ref="L84">SUM(SUMIFS('caseload data'!M:M,'caseload data'!$D:$D,"PO",'caseload data'!$A:$A,_xlfn.SINGLE('national caseload'!$B$84:$B$86),'caseload data'!$B:$B,{"licence","community"}))</f>
        <v>0</v>
      </c>
      <c r="M84" s="107" cm="1">
        <f t="array" ref="M84">SUM(SUMIFS('caseload data'!N:N,'caseload data'!$D:$D,"PO",'caseload data'!$A:$A,_xlfn.SINGLE('national caseload'!$B$84:$B$86),'caseload data'!$B:$B,{"licence","community"}))</f>
        <v>0</v>
      </c>
      <c r="N84" s="107" cm="1">
        <f t="array" ref="N84">SUM(SUMIFS('caseload data'!O:O,'caseload data'!$D:$D,"PO",'caseload data'!$A:$A,_xlfn.SINGLE('national caseload'!$B$84:$B$86),'caseload data'!$B:$B,{"licence","community"}))</f>
        <v>0</v>
      </c>
      <c r="O84" s="107" cm="1">
        <f t="array" ref="O84">SUM(SUMIFS('caseload data'!P:P,'caseload data'!$D:$D,"PO",'caseload data'!$A:$A,_xlfn.SINGLE('national caseload'!$B$84:$B$86),'caseload data'!$B:$B,{"licence","community"}))</f>
        <v>0</v>
      </c>
      <c r="P84" s="107" cm="1">
        <f t="array" ref="P84">SUM(SUMIFS('caseload data'!Q:Q,'caseload data'!$D:$D,"PO",'caseload data'!$A:$A,_xlfn.SINGLE('national caseload'!$B$84:$B$86),'caseload data'!$B:$B,{"licence","community"}))</f>
        <v>0</v>
      </c>
      <c r="Q84" s="107" cm="1">
        <f t="array" ref="Q84">SUM(SUMIFS('caseload data'!R:R,'caseload data'!$D:$D,"PO",'caseload data'!$A:$A,_xlfn.SINGLE('national caseload'!$B$84:$B$86),'caseload data'!$B:$B,{"licence","community"}))</f>
        <v>0</v>
      </c>
      <c r="R84" s="107" cm="1">
        <f t="array" ref="R84">SUM(SUMIFS('caseload data'!S:S,'caseload data'!$D:$D,"PO",'caseload data'!$A:$A,_xlfn.SINGLE('national caseload'!$B$84:$B$86),'caseload data'!$B:$B,{"licence","community"}))</f>
        <v>0</v>
      </c>
      <c r="S84" s="107" cm="1">
        <f t="array" ref="S84">SUM(SUMIFS('caseload data'!T:T,'caseload data'!$D:$D,"PO",'caseload data'!$A:$A,_xlfn.SINGLE('national caseload'!$B$84:$B$86),'caseload data'!$B:$B,{"licence","community"}))</f>
        <v>0</v>
      </c>
      <c r="T84" s="107">
        <f>SUM(SUMIFS('caseload data'!V:V,'caseload data'!D:D,"PO",'caseload data'!A:A,'national caseload'!B84:B86,'caseload data'!B:B,{"licence","community"}))</f>
        <v>0</v>
      </c>
      <c r="U84" s="76"/>
      <c r="V84" s="76"/>
      <c r="W84" s="306" t="s">
        <v>20</v>
      </c>
      <c r="X84" s="141" t="s">
        <v>1037</v>
      </c>
      <c r="Y84" s="187" t="e">
        <f t="shared" si="19"/>
        <v>#DIV/0!</v>
      </c>
      <c r="Z84" s="187" t="e">
        <f t="shared" si="20"/>
        <v>#DIV/0!</v>
      </c>
      <c r="AA84" s="187" t="e">
        <f t="shared" si="20"/>
        <v>#DIV/0!</v>
      </c>
      <c r="AB84" s="187" t="e">
        <f t="shared" si="20"/>
        <v>#DIV/0!</v>
      </c>
      <c r="AC84" s="187" t="e">
        <f t="shared" si="20"/>
        <v>#DIV/0!</v>
      </c>
      <c r="AD84" s="187" t="e">
        <f t="shared" si="20"/>
        <v>#DIV/0!</v>
      </c>
      <c r="AE84" s="187" t="e">
        <f t="shared" si="20"/>
        <v>#DIV/0!</v>
      </c>
      <c r="AF84" s="187" t="e">
        <f t="shared" si="20"/>
        <v>#DIV/0!</v>
      </c>
      <c r="AG84" s="187" t="e">
        <f t="shared" si="20"/>
        <v>#DIV/0!</v>
      </c>
      <c r="AH84" s="187" t="e">
        <f t="shared" si="20"/>
        <v>#DIV/0!</v>
      </c>
      <c r="AI84" s="187" t="e">
        <f t="shared" si="20"/>
        <v>#DIV/0!</v>
      </c>
      <c r="AJ84" s="187" t="e">
        <f t="shared" si="20"/>
        <v>#DIV/0!</v>
      </c>
      <c r="AK84" s="187" t="e">
        <f t="shared" si="20"/>
        <v>#DIV/0!</v>
      </c>
      <c r="AL84" s="187" t="e">
        <f t="shared" si="20"/>
        <v>#DIV/0!</v>
      </c>
      <c r="AM84" s="187" t="e">
        <f t="shared" si="20"/>
        <v>#DIV/0!</v>
      </c>
      <c r="AN84" s="187" t="e">
        <f t="shared" si="20"/>
        <v>#DIV/0!</v>
      </c>
    </row>
    <row r="85" spans="2:40" x14ac:dyDescent="0.15">
      <c r="B85" s="307"/>
      <c r="C85" s="142" t="s">
        <v>1038</v>
      </c>
      <c r="D85" s="107" cm="1">
        <f t="array" ref="D85">SUM(SUMIFS('caseload data'!E:E,'caseload data'!$D:$D,"PSO",'caseload data'!$A:$A,"East of England",'caseload data'!$B:$B,{"licence","community"}))</f>
        <v>0</v>
      </c>
      <c r="E85" s="107" cm="1">
        <f t="array" ref="E85">SUM(SUMIFS('caseload data'!F:F,'caseload data'!$D:$D,"PSO",'caseload data'!$A:$A,"East of England",'caseload data'!$B:$B,{"licence","community"}))</f>
        <v>0</v>
      </c>
      <c r="F85" s="107" cm="1">
        <f t="array" ref="F85">SUM(SUMIFS('caseload data'!G:G,'caseload data'!$D:$D,"PSO",'caseload data'!$A:$A,"East of England",'caseload data'!$B:$B,{"licence","community"}))</f>
        <v>0</v>
      </c>
      <c r="G85" s="107" cm="1">
        <f t="array" ref="G85">SUM(SUMIFS('caseload data'!H:H,'caseload data'!$D:$D,"PSO",'caseload data'!$A:$A,"East of England",'caseload data'!$B:$B,{"licence","community"}))</f>
        <v>0</v>
      </c>
      <c r="H85" s="107" cm="1">
        <f t="array" ref="H85">SUM(SUMIFS('caseload data'!I:I,'caseload data'!$D:$D,"PSO",'caseload data'!$A:$A,"East of England",'caseload data'!$B:$B,{"licence","community"}))</f>
        <v>0</v>
      </c>
      <c r="I85" s="107" cm="1">
        <f t="array" ref="I85">SUM(SUMIFS('caseload data'!J:J,'caseload data'!$D:$D,"PSO",'caseload data'!$A:$A,"East of England",'caseload data'!$B:$B,{"licence","community"}))</f>
        <v>0</v>
      </c>
      <c r="J85" s="107" cm="1">
        <f t="array" ref="J85">SUM(SUMIFS('caseload data'!K:K,'caseload data'!$D:$D,"PSO",'caseload data'!$A:$A,"East of England",'caseload data'!$B:$B,{"licence","community"}))</f>
        <v>0</v>
      </c>
      <c r="K85" s="107" cm="1">
        <f t="array" ref="K85">SUM(SUMIFS('caseload data'!L:L,'caseload data'!$D:$D,"PSO",'caseload data'!$A:$A,"East of England",'caseload data'!$B:$B,{"licence","community"}))</f>
        <v>0</v>
      </c>
      <c r="L85" s="107" cm="1">
        <f t="array" ref="L85">SUM(SUMIFS('caseload data'!M:M,'caseload data'!$D:$D,"PSO",'caseload data'!$A:$A,"East of England",'caseload data'!$B:$B,{"licence","community"}))</f>
        <v>0</v>
      </c>
      <c r="M85" s="107" cm="1">
        <f t="array" ref="M85">SUM(SUMIFS('caseload data'!N:N,'caseload data'!$D:$D,"PSO",'caseload data'!$A:$A,"East of England",'caseload data'!$B:$B,{"licence","community"}))</f>
        <v>0</v>
      </c>
      <c r="N85" s="107" cm="1">
        <f t="array" ref="N85">SUM(SUMIFS('caseload data'!O:O,'caseload data'!$D:$D,"PSO",'caseload data'!$A:$A,"East of England",'caseload data'!$B:$B,{"licence","community"}))</f>
        <v>0</v>
      </c>
      <c r="O85" s="107" cm="1">
        <f t="array" ref="O85">SUM(SUMIFS('caseload data'!P:P,'caseload data'!$D:$D,"PSO",'caseload data'!$A:$A,"East of England",'caseload data'!$B:$B,{"licence","community"}))</f>
        <v>0</v>
      </c>
      <c r="P85" s="107" cm="1">
        <f t="array" ref="P85">SUM(SUMIFS('caseload data'!Q:Q,'caseload data'!$D:$D,"PSO",'caseload data'!$A:$A,"East of England",'caseload data'!$B:$B,{"licence","community"}))</f>
        <v>0</v>
      </c>
      <c r="Q85" s="107" cm="1">
        <f t="array" ref="Q85">SUM(SUMIFS('caseload data'!R:R,'caseload data'!$D:$D,"PSO",'caseload data'!$A:$A,"East of England",'caseload data'!$B:$B,{"licence","community"}))</f>
        <v>0</v>
      </c>
      <c r="R85" s="107" cm="1">
        <f t="array" ref="R85">SUM(SUMIFS('caseload data'!S:S,'caseload data'!$D:$D,"PSO",'caseload data'!$A:$A,"East of England",'caseload data'!$B:$B,{"licence","community"}))</f>
        <v>0</v>
      </c>
      <c r="S85" s="107" cm="1">
        <f t="array" ref="S85">SUM(SUMIFS('caseload data'!T:T,'caseload data'!$D:$D,"PSO",'caseload data'!$A:$A,"East of England",'caseload data'!$B:$B,{"licence","community"}))</f>
        <v>0</v>
      </c>
      <c r="T85" s="107" cm="1">
        <f t="array" ref="T85">SUM(SUMIFS('caseload data'!V:V,'caseload data'!D:D,"PSO",'caseload data'!A:A,"East of England",'caseload data'!B:B,{"licence","community"}))</f>
        <v>0</v>
      </c>
      <c r="U85" s="76"/>
      <c r="V85" s="76"/>
      <c r="W85" s="307"/>
      <c r="X85" s="142" t="s">
        <v>1038</v>
      </c>
      <c r="Y85" s="187" t="e">
        <f t="shared" si="19"/>
        <v>#DIV/0!</v>
      </c>
      <c r="Z85" s="187" t="e">
        <f t="shared" si="20"/>
        <v>#DIV/0!</v>
      </c>
      <c r="AA85" s="187" t="e">
        <f t="shared" si="20"/>
        <v>#DIV/0!</v>
      </c>
      <c r="AB85" s="187" t="e">
        <f t="shared" si="20"/>
        <v>#DIV/0!</v>
      </c>
      <c r="AC85" s="187" t="e">
        <f t="shared" si="20"/>
        <v>#DIV/0!</v>
      </c>
      <c r="AD85" s="187" t="e">
        <f t="shared" si="20"/>
        <v>#DIV/0!</v>
      </c>
      <c r="AE85" s="187" t="e">
        <f t="shared" si="20"/>
        <v>#DIV/0!</v>
      </c>
      <c r="AF85" s="187" t="e">
        <f t="shared" si="20"/>
        <v>#DIV/0!</v>
      </c>
      <c r="AG85" s="187" t="e">
        <f t="shared" si="20"/>
        <v>#DIV/0!</v>
      </c>
      <c r="AH85" s="187" t="e">
        <f t="shared" si="20"/>
        <v>#DIV/0!</v>
      </c>
      <c r="AI85" s="187" t="e">
        <f t="shared" si="20"/>
        <v>#DIV/0!</v>
      </c>
      <c r="AJ85" s="187" t="e">
        <f t="shared" si="20"/>
        <v>#DIV/0!</v>
      </c>
      <c r="AK85" s="187" t="e">
        <f t="shared" si="20"/>
        <v>#DIV/0!</v>
      </c>
      <c r="AL85" s="187" t="e">
        <f t="shared" si="20"/>
        <v>#DIV/0!</v>
      </c>
      <c r="AM85" s="187" t="e">
        <f t="shared" si="20"/>
        <v>#DIV/0!</v>
      </c>
      <c r="AN85" s="187" t="e">
        <f t="shared" si="20"/>
        <v>#DIV/0!</v>
      </c>
    </row>
    <row r="86" spans="2:40" x14ac:dyDescent="0.15">
      <c r="B86" s="307"/>
      <c r="C86" s="142" t="s">
        <v>1039</v>
      </c>
      <c r="D86" s="107" cm="1">
        <f t="array" ref="D86">SUM(SUMIFS('caseload data'!E:E,'caseload data'!$D:$D,"TPO",'caseload data'!$A:$A,"East of England",'caseload data'!$B:$B,{"licence","community"}))</f>
        <v>0</v>
      </c>
      <c r="E86" s="107" cm="1">
        <f t="array" ref="E86">SUM(SUMIFS('caseload data'!F:F,'caseload data'!$D:$D,"TPO",'caseload data'!$A:$A,"East of England",'caseload data'!$B:$B,{"licence","community"}))</f>
        <v>0</v>
      </c>
      <c r="F86" s="107" cm="1">
        <f t="array" ref="F86">SUM(SUMIFS('caseload data'!G:G,'caseload data'!$D:$D,"TPO",'caseload data'!$A:$A,"East of England",'caseload data'!$B:$B,{"licence","community"}))</f>
        <v>0</v>
      </c>
      <c r="G86" s="107" cm="1">
        <f t="array" ref="G86">SUM(SUMIFS('caseload data'!H:H,'caseload data'!$D:$D,"TPO",'caseload data'!$A:$A,"East of England",'caseload data'!$B:$B,{"licence","community"}))</f>
        <v>0</v>
      </c>
      <c r="H86" s="107" cm="1">
        <f t="array" ref="H86">SUM(SUMIFS('caseload data'!I:I,'caseload data'!$D:$D,"TPO",'caseload data'!$A:$A,"East of England",'caseload data'!$B:$B,{"licence","community"}))</f>
        <v>0</v>
      </c>
      <c r="I86" s="107" cm="1">
        <f t="array" ref="I86">SUM(SUMIFS('caseload data'!J:J,'caseload data'!$D:$D,"TPO",'caseload data'!$A:$A,"East of England",'caseload data'!$B:$B,{"licence","community"}))</f>
        <v>0</v>
      </c>
      <c r="J86" s="107" cm="1">
        <f t="array" ref="J86">SUM(SUMIFS('caseload data'!K:K,'caseload data'!$D:$D,"TPO",'caseload data'!$A:$A,"East of England",'caseload data'!$B:$B,{"licence","community"}))</f>
        <v>0</v>
      </c>
      <c r="K86" s="107" cm="1">
        <f t="array" ref="K86">SUM(SUMIFS('caseload data'!L:L,'caseload data'!$D:$D,"TPO",'caseload data'!$A:$A,"East of England",'caseload data'!$B:$B,{"licence","community"}))</f>
        <v>0</v>
      </c>
      <c r="L86" s="107" cm="1">
        <f t="array" ref="L86">SUM(SUMIFS('caseload data'!M:M,'caseload data'!$D:$D,"TPO",'caseload data'!$A:$A,"East of England",'caseload data'!$B:$B,{"licence","community"}))</f>
        <v>0</v>
      </c>
      <c r="M86" s="107" cm="1">
        <f t="array" ref="M86">SUM(SUMIFS('caseload data'!N:N,'caseload data'!$D:$D,"TPO",'caseload data'!$A:$A,"East of England",'caseload data'!$B:$B,{"licence","community"}))</f>
        <v>0</v>
      </c>
      <c r="N86" s="107" cm="1">
        <f t="array" ref="N86">SUM(SUMIFS('caseload data'!O:O,'caseload data'!$D:$D,"TPO",'caseload data'!$A:$A,"East of England",'caseload data'!$B:$B,{"licence","community"}))</f>
        <v>0</v>
      </c>
      <c r="O86" s="107" cm="1">
        <f t="array" ref="O86">SUM(SUMIFS('caseload data'!P:P,'caseload data'!$D:$D,"TPO",'caseload data'!$A:$A,"East of England",'caseload data'!$B:$B,{"licence","community"}))</f>
        <v>0</v>
      </c>
      <c r="P86" s="107" cm="1">
        <f t="array" ref="P86">SUM(SUMIFS('caseload data'!Q:Q,'caseload data'!$D:$D,"TPO",'caseload data'!$A:$A,"East of England",'caseload data'!$B:$B,{"licence","community"}))</f>
        <v>0</v>
      </c>
      <c r="Q86" s="107" cm="1">
        <f t="array" ref="Q86">SUM(SUMIFS('caseload data'!R:R,'caseload data'!$D:$D,"TPO",'caseload data'!$A:$A,"East of England",'caseload data'!$B:$B,{"licence","community"}))</f>
        <v>0</v>
      </c>
      <c r="R86" s="107" cm="1">
        <f t="array" ref="R86">SUM(SUMIFS('caseload data'!S:S,'caseload data'!$D:$D,"TPO",'caseload data'!$A:$A,"East of England",'caseload data'!$B:$B,{"licence","community"}))</f>
        <v>0</v>
      </c>
      <c r="S86" s="107" cm="1">
        <f t="array" ref="S86">SUM(SUMIFS('caseload data'!T:T,'caseload data'!$D:$D,"TPO",'caseload data'!$A:$A,"East of England",'caseload data'!$B:$B,{"licence","community"}))</f>
        <v>0</v>
      </c>
      <c r="T86" s="107" cm="1">
        <f t="array" ref="T86">SUM(SUMIFS('caseload data'!V:V,'caseload data'!D:D,"TPO",'caseload data'!A:A,"East of England",'caseload data'!B:B,{"licence","community"}))</f>
        <v>0</v>
      </c>
      <c r="U86" s="76"/>
      <c r="V86" s="76"/>
      <c r="W86" s="307"/>
      <c r="X86" s="142" t="s">
        <v>1039</v>
      </c>
      <c r="Y86" s="187" t="e">
        <f t="shared" si="19"/>
        <v>#DIV/0!</v>
      </c>
      <c r="Z86" s="187" t="e">
        <f t="shared" si="20"/>
        <v>#DIV/0!</v>
      </c>
      <c r="AA86" s="187" t="e">
        <f t="shared" si="20"/>
        <v>#DIV/0!</v>
      </c>
      <c r="AB86" s="187" t="e">
        <f t="shared" si="20"/>
        <v>#DIV/0!</v>
      </c>
      <c r="AC86" s="187" t="e">
        <f t="shared" si="20"/>
        <v>#DIV/0!</v>
      </c>
      <c r="AD86" s="187" t="e">
        <f t="shared" si="20"/>
        <v>#DIV/0!</v>
      </c>
      <c r="AE86" s="187" t="e">
        <f t="shared" si="20"/>
        <v>#DIV/0!</v>
      </c>
      <c r="AF86" s="187" t="e">
        <f t="shared" si="20"/>
        <v>#DIV/0!</v>
      </c>
      <c r="AG86" s="187" t="e">
        <f t="shared" si="20"/>
        <v>#DIV/0!</v>
      </c>
      <c r="AH86" s="187" t="e">
        <f t="shared" si="20"/>
        <v>#DIV/0!</v>
      </c>
      <c r="AI86" s="187" t="e">
        <f t="shared" si="20"/>
        <v>#DIV/0!</v>
      </c>
      <c r="AJ86" s="187" t="e">
        <f t="shared" si="20"/>
        <v>#DIV/0!</v>
      </c>
      <c r="AK86" s="187" t="e">
        <f t="shared" si="20"/>
        <v>#DIV/0!</v>
      </c>
      <c r="AL86" s="187" t="e">
        <f t="shared" si="20"/>
        <v>#DIV/0!</v>
      </c>
      <c r="AM86" s="187" t="e">
        <f t="shared" si="20"/>
        <v>#DIV/0!</v>
      </c>
      <c r="AN86" s="187" t="e">
        <f t="shared" si="20"/>
        <v>#DIV/0!</v>
      </c>
    </row>
    <row r="87" spans="2:40" x14ac:dyDescent="0.15">
      <c r="B87" s="308"/>
      <c r="C87" s="143" t="s">
        <v>1040</v>
      </c>
      <c r="D87" s="107" cm="1">
        <f t="array" ref="D87">SUM(SUMIFS('caseload data'!E:E,'caseload data'!$D:$D,"SPO",'caseload data'!$A:$A,"East of England",'caseload data'!$B:$B,{"licence","community"}))</f>
        <v>0</v>
      </c>
      <c r="E87" s="107" cm="1">
        <f t="array" ref="E87">SUM(SUMIFS('caseload data'!F:F,'caseload data'!$D:$D,"SPO",'caseload data'!$A:$A,"East of England",'caseload data'!$B:$B,{"licence","community"}))</f>
        <v>0</v>
      </c>
      <c r="F87" s="107" cm="1">
        <f t="array" ref="F87">SUM(SUMIFS('caseload data'!G:G,'caseload data'!$D:$D,"SPO",'caseload data'!$A:$A,"East of England",'caseload data'!$B:$B,{"licence","community"}))</f>
        <v>0</v>
      </c>
      <c r="G87" s="107" cm="1">
        <f t="array" ref="G87">SUM(SUMIFS('caseload data'!H:H,'caseload data'!$D:$D,"SPO",'caseload data'!$A:$A,"East of England",'caseload data'!$B:$B,{"licence","community"}))</f>
        <v>0</v>
      </c>
      <c r="H87" s="107" cm="1">
        <f t="array" ref="H87">SUM(SUMIFS('caseload data'!I:I,'caseload data'!$D:$D,"SPO",'caseload data'!$A:$A,"East of England",'caseload data'!$B:$B,{"licence","community"}))</f>
        <v>0</v>
      </c>
      <c r="I87" s="107" cm="1">
        <f t="array" ref="I87">SUM(SUMIFS('caseload data'!J:J,'caseload data'!$D:$D,"SPO",'caseload data'!$A:$A,"East of England",'caseload data'!$B:$B,{"licence","community"}))</f>
        <v>0</v>
      </c>
      <c r="J87" s="107" cm="1">
        <f t="array" ref="J87">SUM(SUMIFS('caseload data'!K:K,'caseload data'!$D:$D,"SPO",'caseload data'!$A:$A,"East of England",'caseload data'!$B:$B,{"licence","community"}))</f>
        <v>0</v>
      </c>
      <c r="K87" s="107" cm="1">
        <f t="array" ref="K87">SUM(SUMIFS('caseload data'!L:L,'caseload data'!$D:$D,"SPO",'caseload data'!$A:$A,"East of England",'caseload data'!$B:$B,{"licence","community"}))</f>
        <v>0</v>
      </c>
      <c r="L87" s="107" cm="1">
        <f t="array" ref="L87">SUM(SUMIFS('caseload data'!M:M,'caseload data'!$D:$D,"SPO",'caseload data'!$A:$A,"East of England",'caseload data'!$B:$B,{"licence","community"}))</f>
        <v>0</v>
      </c>
      <c r="M87" s="107" cm="1">
        <f t="array" ref="M87">SUM(SUMIFS('caseload data'!N:N,'caseload data'!$D:$D,"SPO",'caseload data'!$A:$A,"East of England",'caseload data'!$B:$B,{"licence","community"}))</f>
        <v>0</v>
      </c>
      <c r="N87" s="107" cm="1">
        <f t="array" ref="N87">SUM(SUMIFS('caseload data'!O:O,'caseload data'!$D:$D,"SPO",'caseload data'!$A:$A,"East of England",'caseload data'!$B:$B,{"licence","community"}))</f>
        <v>0</v>
      </c>
      <c r="O87" s="107" cm="1">
        <f t="array" ref="O87">SUM(SUMIFS('caseload data'!P:P,'caseload data'!$D:$D,"SPO",'caseload data'!$A:$A,"East of England",'caseload data'!$B:$B,{"licence","community"}))</f>
        <v>0</v>
      </c>
      <c r="P87" s="107" cm="1">
        <f t="array" ref="P87">SUM(SUMIFS('caseload data'!Q:Q,'caseload data'!$D:$D,"SPO",'caseload data'!$A:$A,"East of England",'caseload data'!$B:$B,{"licence","community"}))</f>
        <v>0</v>
      </c>
      <c r="Q87" s="107" cm="1">
        <f t="array" ref="Q87">SUM(SUMIFS('caseload data'!R:R,'caseload data'!$D:$D,"SPO",'caseload data'!$A:$A,"East of England",'caseload data'!$B:$B,{"licence","community"}))</f>
        <v>0</v>
      </c>
      <c r="R87" s="107" cm="1">
        <f t="array" ref="R87">SUM(SUMIFS('caseload data'!S:S,'caseload data'!$D:$D,"SPO",'caseload data'!$A:$A,"East of England",'caseload data'!$B:$B,{"licence","community"}))</f>
        <v>0</v>
      </c>
      <c r="S87" s="107" cm="1">
        <f t="array" ref="S87">SUM(SUMIFS('caseload data'!T:T,'caseload data'!$D:$D,"SPO",'caseload data'!$A:$A,"East of England",'caseload data'!$B:$B,{"licence","community"}))</f>
        <v>0</v>
      </c>
      <c r="T87" s="107" cm="1">
        <f t="array" ref="T87">SUM(SUMIFS('caseload data'!V:V,'caseload data'!$D:$D,"SPO",'caseload data'!$A:$A,"East of England",'caseload data'!$B:$B,{"licence","community"}))</f>
        <v>0</v>
      </c>
      <c r="U87" s="76"/>
      <c r="V87" s="76"/>
      <c r="W87" s="308"/>
      <c r="X87" s="143" t="s">
        <v>1040</v>
      </c>
      <c r="Y87" s="187" t="e">
        <f t="shared" si="19"/>
        <v>#DIV/0!</v>
      </c>
      <c r="Z87" s="187" t="e">
        <f t="shared" si="20"/>
        <v>#DIV/0!</v>
      </c>
      <c r="AA87" s="187" t="e">
        <f t="shared" si="20"/>
        <v>#DIV/0!</v>
      </c>
      <c r="AB87" s="187" t="e">
        <f t="shared" si="20"/>
        <v>#DIV/0!</v>
      </c>
      <c r="AC87" s="187" t="e">
        <f t="shared" si="20"/>
        <v>#DIV/0!</v>
      </c>
      <c r="AD87" s="187" t="e">
        <f t="shared" si="20"/>
        <v>#DIV/0!</v>
      </c>
      <c r="AE87" s="187" t="e">
        <f t="shared" si="20"/>
        <v>#DIV/0!</v>
      </c>
      <c r="AF87" s="187" t="e">
        <f t="shared" si="20"/>
        <v>#DIV/0!</v>
      </c>
      <c r="AG87" s="187" t="e">
        <f t="shared" si="20"/>
        <v>#DIV/0!</v>
      </c>
      <c r="AH87" s="187" t="e">
        <f t="shared" si="20"/>
        <v>#DIV/0!</v>
      </c>
      <c r="AI87" s="187" t="e">
        <f t="shared" si="20"/>
        <v>#DIV/0!</v>
      </c>
      <c r="AJ87" s="187" t="e">
        <f t="shared" si="20"/>
        <v>#DIV/0!</v>
      </c>
      <c r="AK87" s="187" t="e">
        <f t="shared" si="20"/>
        <v>#DIV/0!</v>
      </c>
      <c r="AL87" s="187" t="e">
        <f t="shared" si="20"/>
        <v>#DIV/0!</v>
      </c>
      <c r="AM87" s="187" t="e">
        <f t="shared" si="20"/>
        <v>#DIV/0!</v>
      </c>
      <c r="AN87" s="187" t="e">
        <f t="shared" si="20"/>
        <v>#DIV/0!</v>
      </c>
    </row>
    <row r="88" spans="2:40" x14ac:dyDescent="0.15">
      <c r="B88" s="306" t="s">
        <v>21</v>
      </c>
      <c r="C88" s="141" t="s">
        <v>1037</v>
      </c>
      <c r="D88" s="107" cm="1">
        <f t="array" ref="D88">SUM(SUMIFS('caseload data'!E:E,'caseload data'!$D:$D,"PO",'caseload data'!$A:$A,_xlfn.SINGLE('national caseload'!$B$88:$B$90),'caseload data'!$B:$B,{"licence","community"}))</f>
        <v>0</v>
      </c>
      <c r="E88" s="107" cm="1">
        <f t="array" ref="E88">SUM(SUMIFS('caseload data'!F:F,'caseload data'!$D:$D,"PO",'caseload data'!$A:$A,_xlfn.SINGLE('national caseload'!$B$88:$B$90),'caseload data'!$B:$B,{"licence","community"}))</f>
        <v>0</v>
      </c>
      <c r="F88" s="107" cm="1">
        <f t="array" ref="F88">SUM(SUMIFS('caseload data'!G:G,'caseload data'!$D:$D,"PO",'caseload data'!$A:$A,_xlfn.SINGLE('national caseload'!$B$88:$B$90),'caseload data'!$B:$B,{"licence","community"}))</f>
        <v>0</v>
      </c>
      <c r="G88" s="107" cm="1">
        <f t="array" ref="G88">SUM(SUMIFS('caseload data'!H:H,'caseload data'!$D:$D,"PO",'caseload data'!$A:$A,_xlfn.SINGLE('national caseload'!$B$88:$B$90),'caseload data'!$B:$B,{"licence","community"}))</f>
        <v>0</v>
      </c>
      <c r="H88" s="107" cm="1">
        <f t="array" ref="H88">SUM(SUMIFS('caseload data'!I:I,'caseload data'!$D:$D,"PO",'caseload data'!$A:$A,_xlfn.SINGLE('national caseload'!$B$88:$B$90),'caseload data'!$B:$B,{"licence","community"}))</f>
        <v>0</v>
      </c>
      <c r="I88" s="107" cm="1">
        <f t="array" ref="I88">SUM(SUMIFS('caseload data'!J:J,'caseload data'!$D:$D,"PO",'caseload data'!$A:$A,_xlfn.SINGLE('national caseload'!$B$88:$B$90),'caseload data'!$B:$B,{"licence","community"}))</f>
        <v>0</v>
      </c>
      <c r="J88" s="107" cm="1">
        <f t="array" ref="J88">SUM(SUMIFS('caseload data'!K:K,'caseload data'!$D:$D,"PO",'caseload data'!$A:$A,_xlfn.SINGLE('national caseload'!$B$88:$B$90),'caseload data'!$B:$B,{"licence","community"}))</f>
        <v>0</v>
      </c>
      <c r="K88" s="107" cm="1">
        <f t="array" ref="K88">SUM(SUMIFS('caseload data'!L:L,'caseload data'!$D:$D,"PO",'caseload data'!$A:$A,_xlfn.SINGLE('national caseload'!$B$88:$B$90),'caseload data'!$B:$B,{"licence","community"}))</f>
        <v>0</v>
      </c>
      <c r="L88" s="107" cm="1">
        <f t="array" ref="L88">SUM(SUMIFS('caseload data'!M:M,'caseload data'!$D:$D,"PO",'caseload data'!$A:$A,_xlfn.SINGLE('national caseload'!$B$88:$B$90),'caseload data'!$B:$B,{"licence","community"}))</f>
        <v>0</v>
      </c>
      <c r="M88" s="107" cm="1">
        <f t="array" ref="M88">SUM(SUMIFS('caseload data'!N:N,'caseload data'!$D:$D,"PO",'caseload data'!$A:$A,_xlfn.SINGLE('national caseload'!$B$88:$B$90),'caseload data'!$B:$B,{"licence","community"}))</f>
        <v>0</v>
      </c>
      <c r="N88" s="107" cm="1">
        <f t="array" ref="N88">SUM(SUMIFS('caseload data'!O:O,'caseload data'!$D:$D,"PO",'caseload data'!$A:$A,_xlfn.SINGLE('national caseload'!$B$88:$B$90),'caseload data'!$B:$B,{"licence","community"}))</f>
        <v>0</v>
      </c>
      <c r="O88" s="107" cm="1">
        <f t="array" ref="O88">SUM(SUMIFS('caseload data'!P:P,'caseload data'!$D:$D,"PO",'caseload data'!$A:$A,_xlfn.SINGLE('national caseload'!$B$88:$B$90),'caseload data'!$B:$B,{"licence","community"}))</f>
        <v>0</v>
      </c>
      <c r="P88" s="107" cm="1">
        <f t="array" ref="P88">SUM(SUMIFS('caseload data'!Q:Q,'caseload data'!$D:$D,"PO",'caseload data'!$A:$A,_xlfn.SINGLE('national caseload'!$B$88:$B$90),'caseload data'!$B:$B,{"licence","community"}))</f>
        <v>0</v>
      </c>
      <c r="Q88" s="107" cm="1">
        <f t="array" ref="Q88">SUM(SUMIFS('caseload data'!R:R,'caseload data'!$D:$D,"PO",'caseload data'!$A:$A,_xlfn.SINGLE('national caseload'!$B$88:$B$90),'caseload data'!$B:$B,{"licence","community"}))</f>
        <v>0</v>
      </c>
      <c r="R88" s="107" cm="1">
        <f t="array" ref="R88">SUM(SUMIFS('caseload data'!S:S,'caseload data'!$D:$D,"PO",'caseload data'!$A:$A,_xlfn.SINGLE('national caseload'!$B$88:$B$90),'caseload data'!$B:$B,{"licence","community"}))</f>
        <v>0</v>
      </c>
      <c r="S88" s="107" cm="1">
        <f t="array" ref="S88">SUM(SUMIFS('caseload data'!T:T,'caseload data'!$D:$D,"PO",'caseload data'!$A:$A,_xlfn.SINGLE('national caseload'!$B$88:$B$90),'caseload data'!$B:$B,{"licence","community"}))</f>
        <v>0</v>
      </c>
      <c r="T88" s="107">
        <f>SUM(SUMIFS('caseload data'!V:V,'caseload data'!D:D,"PO",'caseload data'!A:A,'national caseload'!B88:B90,'caseload data'!B:B,{"licence","community"}))</f>
        <v>0</v>
      </c>
      <c r="U88" s="76"/>
      <c r="V88" s="76"/>
      <c r="W88" s="306" t="s">
        <v>21</v>
      </c>
      <c r="X88" s="141" t="s">
        <v>1037</v>
      </c>
      <c r="Y88" s="187" t="e">
        <f t="shared" si="19"/>
        <v>#DIV/0!</v>
      </c>
      <c r="Z88" s="187" t="e">
        <f t="shared" si="20"/>
        <v>#DIV/0!</v>
      </c>
      <c r="AA88" s="187" t="e">
        <f t="shared" si="20"/>
        <v>#DIV/0!</v>
      </c>
      <c r="AB88" s="187" t="e">
        <f t="shared" si="20"/>
        <v>#DIV/0!</v>
      </c>
      <c r="AC88" s="187" t="e">
        <f t="shared" si="20"/>
        <v>#DIV/0!</v>
      </c>
      <c r="AD88" s="187" t="e">
        <f t="shared" si="20"/>
        <v>#DIV/0!</v>
      </c>
      <c r="AE88" s="187" t="e">
        <f t="shared" si="20"/>
        <v>#DIV/0!</v>
      </c>
      <c r="AF88" s="187" t="e">
        <f t="shared" si="20"/>
        <v>#DIV/0!</v>
      </c>
      <c r="AG88" s="187" t="e">
        <f t="shared" si="20"/>
        <v>#DIV/0!</v>
      </c>
      <c r="AH88" s="187" t="e">
        <f t="shared" si="20"/>
        <v>#DIV/0!</v>
      </c>
      <c r="AI88" s="187" t="e">
        <f t="shared" si="20"/>
        <v>#DIV/0!</v>
      </c>
      <c r="AJ88" s="187" t="e">
        <f t="shared" si="20"/>
        <v>#DIV/0!</v>
      </c>
      <c r="AK88" s="187" t="e">
        <f t="shared" si="20"/>
        <v>#DIV/0!</v>
      </c>
      <c r="AL88" s="187" t="e">
        <f t="shared" si="20"/>
        <v>#DIV/0!</v>
      </c>
      <c r="AM88" s="187" t="e">
        <f t="shared" si="20"/>
        <v>#DIV/0!</v>
      </c>
      <c r="AN88" s="187" t="e">
        <f t="shared" si="20"/>
        <v>#DIV/0!</v>
      </c>
    </row>
    <row r="89" spans="2:40" x14ac:dyDescent="0.15">
      <c r="B89" s="307"/>
      <c r="C89" s="142" t="s">
        <v>1038</v>
      </c>
      <c r="D89" s="107" cm="1">
        <f t="array" ref="D89">SUM(SUMIFS('caseload data'!E:E,'caseload data'!$D:$D,"PSO",'caseload data'!$A:$A,"NPS Greater Manchester",'caseload data'!$B:$B,{"licence","community"}))</f>
        <v>0</v>
      </c>
      <c r="E89" s="107" cm="1">
        <f t="array" ref="E89">SUM(SUMIFS('caseload data'!F:F,'caseload data'!$D:$D,"PSO",'caseload data'!$A:$A,"NPS Greater Manchester",'caseload data'!$B:$B,{"licence","community"}))</f>
        <v>0</v>
      </c>
      <c r="F89" s="107" cm="1">
        <f t="array" ref="F89">SUM(SUMIFS('caseload data'!G:G,'caseload data'!$D:$D,"PSO",'caseload data'!$A:$A,"NPS Greater Manchester",'caseload data'!$B:$B,{"licence","community"}))</f>
        <v>0</v>
      </c>
      <c r="G89" s="107" cm="1">
        <f t="array" ref="G89">SUM(SUMIFS('caseload data'!H:H,'caseload data'!$D:$D,"PSO",'caseload data'!$A:$A,"NPS Greater Manchester",'caseload data'!$B:$B,{"licence","community"}))</f>
        <v>0</v>
      </c>
      <c r="H89" s="107" cm="1">
        <f t="array" ref="H89">SUM(SUMIFS('caseload data'!I:I,'caseload data'!$D:$D,"PSO",'caseload data'!$A:$A,"NPS Greater Manchester",'caseload data'!$B:$B,{"licence","community"}))</f>
        <v>0</v>
      </c>
      <c r="I89" s="107" cm="1">
        <f t="array" ref="I89">SUM(SUMIFS('caseload data'!J:J,'caseload data'!$D:$D,"PSO",'caseload data'!$A:$A,"NPS Greater Manchester",'caseload data'!$B:$B,{"licence","community"}))</f>
        <v>0</v>
      </c>
      <c r="J89" s="107" cm="1">
        <f t="array" ref="J89">SUM(SUMIFS('caseload data'!K:K,'caseload data'!$D:$D,"PSO",'caseload data'!$A:$A,"NPS Greater Manchester",'caseload data'!$B:$B,{"licence","community"}))</f>
        <v>0</v>
      </c>
      <c r="K89" s="107" cm="1">
        <f t="array" ref="K89">SUM(SUMIFS('caseload data'!L:L,'caseload data'!$D:$D,"PSO",'caseload data'!$A:$A,"NPS Greater Manchester",'caseload data'!$B:$B,{"licence","community"}))</f>
        <v>0</v>
      </c>
      <c r="L89" s="107" cm="1">
        <f t="array" ref="L89">SUM(SUMIFS('caseload data'!M:M,'caseload data'!$D:$D,"PSO",'caseload data'!$A:$A,"NPS Greater Manchester",'caseload data'!$B:$B,{"licence","community"}))</f>
        <v>0</v>
      </c>
      <c r="M89" s="107" cm="1">
        <f t="array" ref="M89">SUM(SUMIFS('caseload data'!N:N,'caseload data'!$D:$D,"PSO",'caseload data'!$A:$A,"NPS Greater Manchester",'caseload data'!$B:$B,{"licence","community"}))</f>
        <v>0</v>
      </c>
      <c r="N89" s="107" cm="1">
        <f t="array" ref="N89">SUM(SUMIFS('caseload data'!O:O,'caseload data'!$D:$D,"PSO",'caseload data'!$A:$A,"NPS Greater Manchester",'caseload data'!$B:$B,{"licence","community"}))</f>
        <v>0</v>
      </c>
      <c r="O89" s="107" cm="1">
        <f t="array" ref="O89">SUM(SUMIFS('caseload data'!P:P,'caseload data'!$D:$D,"PSO",'caseload data'!$A:$A,"NPS Greater Manchester",'caseload data'!$B:$B,{"licence","community"}))</f>
        <v>0</v>
      </c>
      <c r="P89" s="107" cm="1">
        <f t="array" ref="P89">SUM(SUMIFS('caseload data'!Q:Q,'caseload data'!$D:$D,"PSO",'caseload data'!$A:$A,"NPS Greater Manchester",'caseload data'!$B:$B,{"licence","community"}))</f>
        <v>0</v>
      </c>
      <c r="Q89" s="107" cm="1">
        <f t="array" ref="Q89">SUM(SUMIFS('caseload data'!R:R,'caseload data'!$D:$D,"PSO",'caseload data'!$A:$A,"NPS Greater Manchester",'caseload data'!$B:$B,{"licence","community"}))</f>
        <v>0</v>
      </c>
      <c r="R89" s="107" cm="1">
        <f t="array" ref="R89">SUM(SUMIFS('caseload data'!S:S,'caseload data'!$D:$D,"PSO",'caseload data'!$A:$A,"NPS Greater Manchester",'caseload data'!$B:$B,{"licence","community"}))</f>
        <v>0</v>
      </c>
      <c r="S89" s="107" cm="1">
        <f t="array" ref="S89">SUM(SUMIFS('caseload data'!T:T,'caseload data'!$D:$D,"PSO",'caseload data'!$A:$A,"NPS Greater Manchester",'caseload data'!$B:$B,{"licence","community"}))</f>
        <v>0</v>
      </c>
      <c r="T89" s="107">
        <f>SUM(SUMIFS('caseload data'!V:V,'caseload data'!D:D,"PSO",'caseload data'!A:A,"NPS Greater Manchester",'caseload data'!B:B,{"licence","community"}))</f>
        <v>0</v>
      </c>
      <c r="U89" s="76"/>
      <c r="V89" s="76"/>
      <c r="W89" s="307"/>
      <c r="X89" s="142" t="s">
        <v>1038</v>
      </c>
      <c r="Y89" s="187" t="e">
        <f t="shared" si="19"/>
        <v>#DIV/0!</v>
      </c>
      <c r="Z89" s="187" t="e">
        <f t="shared" si="20"/>
        <v>#DIV/0!</v>
      </c>
      <c r="AA89" s="187" t="e">
        <f t="shared" si="20"/>
        <v>#DIV/0!</v>
      </c>
      <c r="AB89" s="187" t="e">
        <f t="shared" si="20"/>
        <v>#DIV/0!</v>
      </c>
      <c r="AC89" s="187" t="e">
        <f t="shared" si="20"/>
        <v>#DIV/0!</v>
      </c>
      <c r="AD89" s="187" t="e">
        <f t="shared" si="20"/>
        <v>#DIV/0!</v>
      </c>
      <c r="AE89" s="187" t="e">
        <f t="shared" si="20"/>
        <v>#DIV/0!</v>
      </c>
      <c r="AF89" s="187" t="e">
        <f t="shared" si="20"/>
        <v>#DIV/0!</v>
      </c>
      <c r="AG89" s="187" t="e">
        <f t="shared" si="20"/>
        <v>#DIV/0!</v>
      </c>
      <c r="AH89" s="187" t="e">
        <f t="shared" si="20"/>
        <v>#DIV/0!</v>
      </c>
      <c r="AI89" s="187" t="e">
        <f t="shared" si="20"/>
        <v>#DIV/0!</v>
      </c>
      <c r="AJ89" s="187" t="e">
        <f t="shared" si="20"/>
        <v>#DIV/0!</v>
      </c>
      <c r="AK89" s="187" t="e">
        <f t="shared" si="20"/>
        <v>#DIV/0!</v>
      </c>
      <c r="AL89" s="187" t="e">
        <f t="shared" si="20"/>
        <v>#DIV/0!</v>
      </c>
      <c r="AM89" s="187" t="e">
        <f t="shared" si="20"/>
        <v>#DIV/0!</v>
      </c>
      <c r="AN89" s="187" t="e">
        <f t="shared" si="20"/>
        <v>#DIV/0!</v>
      </c>
    </row>
    <row r="90" spans="2:40" x14ac:dyDescent="0.15">
      <c r="B90" s="307"/>
      <c r="C90" s="142" t="s">
        <v>1039</v>
      </c>
      <c r="D90" s="107" cm="1">
        <f t="array" ref="D90">SUM(SUMIFS('caseload data'!E:E,'caseload data'!$D:$D,"TPO",'caseload data'!$A:$A,"NPS Greater Manchester",'caseload data'!$B:$B,{"licence","community"}))</f>
        <v>0</v>
      </c>
      <c r="E90" s="107" cm="1">
        <f t="array" ref="E90">SUM(SUMIFS('caseload data'!F:F,'caseload data'!$D:$D,"TPO",'caseload data'!$A:$A,"NPS Greater Manchester",'caseload data'!$B:$B,{"licence","community"}))</f>
        <v>0</v>
      </c>
      <c r="F90" s="107" cm="1">
        <f t="array" ref="F90">SUM(SUMIFS('caseload data'!G:G,'caseload data'!$D:$D,"TPO",'caseload data'!$A:$A,"NPS Greater Manchester",'caseload data'!$B:$B,{"licence","community"}))</f>
        <v>0</v>
      </c>
      <c r="G90" s="107" cm="1">
        <f t="array" ref="G90">SUM(SUMIFS('caseload data'!H:H,'caseload data'!$D:$D,"TPO",'caseload data'!$A:$A,"NPS Greater Manchester",'caseload data'!$B:$B,{"licence","community"}))</f>
        <v>0</v>
      </c>
      <c r="H90" s="107" cm="1">
        <f t="array" ref="H90">SUM(SUMIFS('caseload data'!I:I,'caseload data'!$D:$D,"TPO",'caseload data'!$A:$A,"NPS Greater Manchester",'caseload data'!$B:$B,{"licence","community"}))</f>
        <v>0</v>
      </c>
      <c r="I90" s="107" cm="1">
        <f t="array" ref="I90">SUM(SUMIFS('caseload data'!J:J,'caseload data'!$D:$D,"TPO",'caseload data'!$A:$A,"NPS Greater Manchester",'caseload data'!$B:$B,{"licence","community"}))</f>
        <v>0</v>
      </c>
      <c r="J90" s="107" cm="1">
        <f t="array" ref="J90">SUM(SUMIFS('caseload data'!K:K,'caseload data'!$D:$D,"TPO",'caseload data'!$A:$A,"NPS Greater Manchester",'caseload data'!$B:$B,{"licence","community"}))</f>
        <v>0</v>
      </c>
      <c r="K90" s="107" cm="1">
        <f t="array" ref="K90">SUM(SUMIFS('caseload data'!L:L,'caseload data'!$D:$D,"TPO",'caseload data'!$A:$A,"NPS Greater Manchester",'caseload data'!$B:$B,{"licence","community"}))</f>
        <v>0</v>
      </c>
      <c r="L90" s="107" cm="1">
        <f t="array" ref="L90">SUM(SUMIFS('caseload data'!M:M,'caseload data'!$D:$D,"TPO",'caseload data'!$A:$A,"NPS Greater Manchester",'caseload data'!$B:$B,{"licence","community"}))</f>
        <v>0</v>
      </c>
      <c r="M90" s="107" cm="1">
        <f t="array" ref="M90">SUM(SUMIFS('caseload data'!N:N,'caseload data'!$D:$D,"TPO",'caseload data'!$A:$A,"NPS Greater Manchester",'caseload data'!$B:$B,{"licence","community"}))</f>
        <v>0</v>
      </c>
      <c r="N90" s="107" cm="1">
        <f t="array" ref="N90">SUM(SUMIFS('caseload data'!O:O,'caseload data'!$D:$D,"TPO",'caseload data'!$A:$A,"NPS Greater Manchester",'caseload data'!$B:$B,{"licence","community"}))</f>
        <v>0</v>
      </c>
      <c r="O90" s="107" cm="1">
        <f t="array" ref="O90">SUM(SUMIFS('caseload data'!P:P,'caseload data'!$D:$D,"TPO",'caseload data'!$A:$A,"NPS Greater Manchester",'caseload data'!$B:$B,{"licence","community"}))</f>
        <v>0</v>
      </c>
      <c r="P90" s="107" cm="1">
        <f t="array" ref="P90">SUM(SUMIFS('caseload data'!Q:Q,'caseload data'!$D:$D,"TPO",'caseload data'!$A:$A,"NPS Greater Manchester",'caseload data'!$B:$B,{"licence","community"}))</f>
        <v>0</v>
      </c>
      <c r="Q90" s="107" cm="1">
        <f t="array" ref="Q90">SUM(SUMIFS('caseload data'!R:R,'caseload data'!$D:$D,"TPO",'caseload data'!$A:$A,"NPS Greater Manchester",'caseload data'!$B:$B,{"licence","community"}))</f>
        <v>0</v>
      </c>
      <c r="R90" s="107" cm="1">
        <f t="array" ref="R90">SUM(SUMIFS('caseload data'!S:S,'caseload data'!$D:$D,"TPO",'caseload data'!$A:$A,"NPS Greater Manchester",'caseload data'!$B:$B,{"licence","community"}))</f>
        <v>0</v>
      </c>
      <c r="S90" s="107" cm="1">
        <f t="array" ref="S90">SUM(SUMIFS('caseload data'!T:T,'caseload data'!$D:$D,"TPO",'caseload data'!$A:$A,"NPS Greater Manchester",'caseload data'!$B:$B,{"licence","community"}))</f>
        <v>0</v>
      </c>
      <c r="T90" s="107">
        <f>SUM(SUMIFS('caseload data'!V:V,'caseload data'!D:D,"TPO",'caseload data'!A:A,"NPS Greater Manchester",'caseload data'!B:B,{"licence","community"}))</f>
        <v>0</v>
      </c>
      <c r="U90" s="76"/>
      <c r="V90" s="76"/>
      <c r="W90" s="307"/>
      <c r="X90" s="142" t="s">
        <v>1039</v>
      </c>
      <c r="Y90" s="187" t="e">
        <f t="shared" si="19"/>
        <v>#DIV/0!</v>
      </c>
      <c r="Z90" s="187" t="e">
        <f t="shared" si="20"/>
        <v>#DIV/0!</v>
      </c>
      <c r="AA90" s="187" t="e">
        <f t="shared" si="20"/>
        <v>#DIV/0!</v>
      </c>
      <c r="AB90" s="187" t="e">
        <f t="shared" si="20"/>
        <v>#DIV/0!</v>
      </c>
      <c r="AC90" s="187" t="e">
        <f t="shared" si="20"/>
        <v>#DIV/0!</v>
      </c>
      <c r="AD90" s="187" t="e">
        <f t="shared" si="20"/>
        <v>#DIV/0!</v>
      </c>
      <c r="AE90" s="187" t="e">
        <f t="shared" si="20"/>
        <v>#DIV/0!</v>
      </c>
      <c r="AF90" s="187" t="e">
        <f t="shared" si="20"/>
        <v>#DIV/0!</v>
      </c>
      <c r="AG90" s="187" t="e">
        <f t="shared" si="20"/>
        <v>#DIV/0!</v>
      </c>
      <c r="AH90" s="187" t="e">
        <f t="shared" si="20"/>
        <v>#DIV/0!</v>
      </c>
      <c r="AI90" s="187" t="e">
        <f t="shared" si="20"/>
        <v>#DIV/0!</v>
      </c>
      <c r="AJ90" s="187" t="e">
        <f t="shared" si="20"/>
        <v>#DIV/0!</v>
      </c>
      <c r="AK90" s="187" t="e">
        <f t="shared" si="20"/>
        <v>#DIV/0!</v>
      </c>
      <c r="AL90" s="187" t="e">
        <f t="shared" si="20"/>
        <v>#DIV/0!</v>
      </c>
      <c r="AM90" s="187" t="e">
        <f t="shared" si="20"/>
        <v>#DIV/0!</v>
      </c>
      <c r="AN90" s="187" t="e">
        <f t="shared" si="20"/>
        <v>#DIV/0!</v>
      </c>
    </row>
    <row r="91" spans="2:40" x14ac:dyDescent="0.15">
      <c r="B91" s="308"/>
      <c r="C91" s="143" t="s">
        <v>1040</v>
      </c>
      <c r="D91" s="107">
        <f>SUM(SUMIFS('caseload data'!E:E,'caseload data'!$D:$D,"SPO",'caseload data'!$A:$A,"NPS Greater Manchester",'caseload data'!$B:$B,{"licence","community"}))</f>
        <v>0</v>
      </c>
      <c r="E91" s="107">
        <f>SUM(SUMIFS('caseload data'!F:F,'caseload data'!$D:$D,"SPO",'caseload data'!$A:$A,"NPS Greater Manchester",'caseload data'!$B:$B,{"licence","community"}))</f>
        <v>0</v>
      </c>
      <c r="F91" s="107">
        <f>SUM(SUMIFS('caseload data'!G:G,'caseload data'!$D:$D,"SPO",'caseload data'!$A:$A,"NPS Greater Manchester",'caseload data'!$B:$B,{"licence","community"}))</f>
        <v>0</v>
      </c>
      <c r="G91" s="107">
        <f>SUM(SUMIFS('caseload data'!H:H,'caseload data'!$D:$D,"SPO",'caseload data'!$A:$A,"NPS Greater Manchester",'caseload data'!$B:$B,{"licence","community"}))</f>
        <v>0</v>
      </c>
      <c r="H91" s="107">
        <f>SUM(SUMIFS('caseload data'!I:I,'caseload data'!$D:$D,"SPO",'caseload data'!$A:$A,"NPS Greater Manchester",'caseload data'!$B:$B,{"licence","community"}))</f>
        <v>0</v>
      </c>
      <c r="I91" s="107">
        <f>SUM(SUMIFS('caseload data'!J:J,'caseload data'!$D:$D,"SPO",'caseload data'!$A:$A,"NPS Greater Manchester",'caseload data'!$B:$B,{"licence","community"}))</f>
        <v>0</v>
      </c>
      <c r="J91" s="107">
        <f>SUM(SUMIFS('caseload data'!K:K,'caseload data'!$D:$D,"SPO",'caseload data'!$A:$A,"NPS Greater Manchester",'caseload data'!$B:$B,{"licence","community"}))</f>
        <v>0</v>
      </c>
      <c r="K91" s="107">
        <f>SUM(SUMIFS('caseload data'!L:L,'caseload data'!$D:$D,"SPO",'caseload data'!$A:$A,"NPS Greater Manchester",'caseload data'!$B:$B,{"licence","community"}))</f>
        <v>0</v>
      </c>
      <c r="L91" s="107">
        <f>SUM(SUMIFS('caseload data'!M:M,'caseload data'!$D:$D,"SPO",'caseload data'!$A:$A,"NPS Greater Manchester",'caseload data'!$B:$B,{"licence","community"}))</f>
        <v>0</v>
      </c>
      <c r="M91" s="107">
        <f>SUM(SUMIFS('caseload data'!N:N,'caseload data'!$D:$D,"SPO",'caseload data'!$A:$A,"NPS Greater Manchester",'caseload data'!$B:$B,{"licence","community"}))</f>
        <v>0</v>
      </c>
      <c r="N91" s="107">
        <f>SUM(SUMIFS('caseload data'!O:O,'caseload data'!$D:$D,"SPO",'caseload data'!$A:$A,"NPS Greater Manchester",'caseload data'!$B:$B,{"licence","community"}))</f>
        <v>0</v>
      </c>
      <c r="O91" s="107">
        <f>SUM(SUMIFS('caseload data'!P:P,'caseload data'!$D:$D,"SPO",'caseload data'!$A:$A,"NPS Greater Manchester",'caseload data'!$B:$B,{"licence","community"}))</f>
        <v>0</v>
      </c>
      <c r="P91" s="107">
        <f>SUM(SUMIFS('caseload data'!Q:Q,'caseload data'!$D:$D,"SPO",'caseload data'!$A:$A,"NPS Greater Manchester",'caseload data'!$B:$B,{"licence","community"}))</f>
        <v>0</v>
      </c>
      <c r="Q91" s="107">
        <f>SUM(SUMIFS('caseload data'!R:R,'caseload data'!$D:$D,"SPO",'caseload data'!$A:$A,"NPS Greater Manchester",'caseload data'!$B:$B,{"licence","community"}))</f>
        <v>0</v>
      </c>
      <c r="R91" s="107">
        <f>SUM(SUMIFS('caseload data'!S:S,'caseload data'!$D:$D,"SPO",'caseload data'!$A:$A,"NPS Greater Manchester",'caseload data'!$B:$B,{"licence","community"}))</f>
        <v>0</v>
      </c>
      <c r="S91" s="107">
        <f>SUM(SUMIFS('caseload data'!T:T,'caseload data'!$D:$D,"SPO",'caseload data'!$A:$A,"NPS Greater Manchester",'caseload data'!$B:$B,{"licence","community"}))</f>
        <v>0</v>
      </c>
      <c r="T91" s="107">
        <f>SUM(SUMIFS('caseload data'!V:V,'caseload data'!$D:$D,"SPO",'caseload data'!$A:$A,"NPS Greater Manchester",'caseload data'!$B:$B,{"licence","community"}))</f>
        <v>0</v>
      </c>
      <c r="U91" s="76"/>
      <c r="V91" s="76"/>
      <c r="W91" s="308"/>
      <c r="X91" s="143" t="s">
        <v>1040</v>
      </c>
      <c r="Y91" s="187" t="e">
        <f t="shared" si="19"/>
        <v>#DIV/0!</v>
      </c>
      <c r="Z91" s="187" t="e">
        <f t="shared" si="20"/>
        <v>#DIV/0!</v>
      </c>
      <c r="AA91" s="187" t="e">
        <f t="shared" si="20"/>
        <v>#DIV/0!</v>
      </c>
      <c r="AB91" s="187" t="e">
        <f t="shared" si="20"/>
        <v>#DIV/0!</v>
      </c>
      <c r="AC91" s="187" t="e">
        <f t="shared" si="20"/>
        <v>#DIV/0!</v>
      </c>
      <c r="AD91" s="187" t="e">
        <f t="shared" si="20"/>
        <v>#DIV/0!</v>
      </c>
      <c r="AE91" s="187" t="e">
        <f t="shared" si="20"/>
        <v>#DIV/0!</v>
      </c>
      <c r="AF91" s="187" t="e">
        <f t="shared" si="20"/>
        <v>#DIV/0!</v>
      </c>
      <c r="AG91" s="187" t="e">
        <f t="shared" si="20"/>
        <v>#DIV/0!</v>
      </c>
      <c r="AH91" s="187" t="e">
        <f t="shared" si="20"/>
        <v>#DIV/0!</v>
      </c>
      <c r="AI91" s="187" t="e">
        <f t="shared" si="20"/>
        <v>#DIV/0!</v>
      </c>
      <c r="AJ91" s="187" t="e">
        <f t="shared" si="20"/>
        <v>#DIV/0!</v>
      </c>
      <c r="AK91" s="187" t="e">
        <f t="shared" si="20"/>
        <v>#DIV/0!</v>
      </c>
      <c r="AL91" s="187" t="e">
        <f t="shared" si="20"/>
        <v>#DIV/0!</v>
      </c>
      <c r="AM91" s="187" t="e">
        <f t="shared" si="20"/>
        <v>#DIV/0!</v>
      </c>
      <c r="AN91" s="187" t="e">
        <f t="shared" si="20"/>
        <v>#DIV/0!</v>
      </c>
    </row>
    <row r="92" spans="2:40" x14ac:dyDescent="0.15">
      <c r="B92" s="306" t="s">
        <v>1357</v>
      </c>
      <c r="C92" s="141" t="s">
        <v>1037</v>
      </c>
      <c r="D92" s="107" cm="1">
        <f t="array" ref="D92">SUM(SUMIFS('caseload data'!E:E,'caseload data'!$D:$D,"PO",'caseload data'!$A:$A,_xlfn.SINGLE('national caseload'!$B$92:$B$94),'caseload data'!$B:$B,{"licence","community"}))</f>
        <v>0</v>
      </c>
      <c r="E92" s="107" cm="1">
        <f t="array" ref="E92">SUM(SUMIFS('caseload data'!F:F,'caseload data'!$D:$D,"PO",'caseload data'!$A:$A,_xlfn.SINGLE('national caseload'!$B$92:$B$94),'caseload data'!$B:$B,{"licence","community"}))</f>
        <v>0</v>
      </c>
      <c r="F92" s="107" cm="1">
        <f t="array" ref="F92">SUM(SUMIFS('caseload data'!G:G,'caseload data'!$D:$D,"PO",'caseload data'!$A:$A,_xlfn.SINGLE('national caseload'!$B$92:$B$94),'caseload data'!$B:$B,{"licence","community"}))</f>
        <v>0</v>
      </c>
      <c r="G92" s="107" cm="1">
        <f t="array" ref="G92">SUM(SUMIFS('caseload data'!H:H,'caseload data'!$D:$D,"PO",'caseload data'!$A:$A,_xlfn.SINGLE('national caseload'!$B$92:$B$94),'caseload data'!$B:$B,{"licence","community"}))</f>
        <v>0</v>
      </c>
      <c r="H92" s="107" cm="1">
        <f t="array" ref="H92">SUM(SUMIFS('caseload data'!I:I,'caseload data'!$D:$D,"PO",'caseload data'!$A:$A,_xlfn.SINGLE('national caseload'!$B$92:$B$94),'caseload data'!$B:$B,{"licence","community"}))</f>
        <v>0</v>
      </c>
      <c r="I92" s="107" cm="1">
        <f t="array" ref="I92">SUM(SUMIFS('caseload data'!J:J,'caseload data'!$D:$D,"PO",'caseload data'!$A:$A,_xlfn.SINGLE('national caseload'!$B$92:$B$94),'caseload data'!$B:$B,{"licence","community"}))</f>
        <v>0</v>
      </c>
      <c r="J92" s="107" cm="1">
        <f t="array" ref="J92">SUM(SUMIFS('caseload data'!K:K,'caseload data'!$D:$D,"PO",'caseload data'!$A:$A,_xlfn.SINGLE('national caseload'!$B$92:$B$94),'caseload data'!$B:$B,{"licence","community"}))</f>
        <v>0</v>
      </c>
      <c r="K92" s="107" cm="1">
        <f t="array" ref="K92">SUM(SUMIFS('caseload data'!L:L,'caseload data'!$D:$D,"PO",'caseload data'!$A:$A,_xlfn.SINGLE('national caseload'!$B$92:$B$94),'caseload data'!$B:$B,{"licence","community"}))</f>
        <v>0</v>
      </c>
      <c r="L92" s="107" cm="1">
        <f t="array" ref="L92">SUM(SUMIFS('caseload data'!M:M,'caseload data'!$D:$D,"PO",'caseload data'!$A:$A,_xlfn.SINGLE('national caseload'!$B$92:$B$94),'caseload data'!$B:$B,{"licence","community"}))</f>
        <v>0</v>
      </c>
      <c r="M92" s="107" cm="1">
        <f t="array" ref="M92">SUM(SUMIFS('caseload data'!N:N,'caseload data'!$D:$D,"PO",'caseload data'!$A:$A,_xlfn.SINGLE('national caseload'!$B$92:$B$94),'caseload data'!$B:$B,{"licence","community"}))</f>
        <v>0</v>
      </c>
      <c r="N92" s="107" cm="1">
        <f t="array" ref="N92">SUM(SUMIFS('caseload data'!O:O,'caseload data'!$D:$D,"PO",'caseload data'!$A:$A,_xlfn.SINGLE('national caseload'!$B$92:$B$94),'caseload data'!$B:$B,{"licence","community"}))</f>
        <v>0</v>
      </c>
      <c r="O92" s="107" cm="1">
        <f t="array" ref="O92">SUM(SUMIFS('caseload data'!P:P,'caseload data'!$D:$D,"PO",'caseload data'!$A:$A,_xlfn.SINGLE('national caseload'!$B$92:$B$94),'caseload data'!$B:$B,{"licence","community"}))</f>
        <v>0</v>
      </c>
      <c r="P92" s="107" cm="1">
        <f t="array" ref="P92">SUM(SUMIFS('caseload data'!Q:Q,'caseload data'!$D:$D,"PO",'caseload data'!$A:$A,_xlfn.SINGLE('national caseload'!$B$92:$B$94),'caseload data'!$B:$B,{"licence","community"}))</f>
        <v>0</v>
      </c>
      <c r="Q92" s="107" cm="1">
        <f t="array" ref="Q92">SUM(SUMIFS('caseload data'!R:R,'caseload data'!$D:$D,"PO",'caseload data'!$A:$A,_xlfn.SINGLE('national caseload'!$B$92:$B$94),'caseload data'!$B:$B,{"licence","community"}))</f>
        <v>0</v>
      </c>
      <c r="R92" s="107" cm="1">
        <f t="array" ref="R92">SUM(SUMIFS('caseload data'!S:S,'caseload data'!$D:$D,"PO",'caseload data'!$A:$A,_xlfn.SINGLE('national caseload'!$B$92:$B$94),'caseload data'!$B:$B,{"licence","community"}))</f>
        <v>0</v>
      </c>
      <c r="S92" s="107" cm="1">
        <f t="array" ref="S92">SUM(SUMIFS('caseload data'!T:T,'caseload data'!$D:$D,"PO",'caseload data'!$A:$A,_xlfn.SINGLE('national caseload'!$B$92:$B$94),'caseload data'!$B:$B,{"licence","community"}))</f>
        <v>0</v>
      </c>
      <c r="T92" s="107">
        <f>SUM(SUMIFS('caseload data'!V:V,'caseload data'!D:D,"PO",'caseload data'!A:A,'national caseload'!B92:B94,'caseload data'!B:B,{"licence","community"}))</f>
        <v>0</v>
      </c>
      <c r="U92" s="76"/>
      <c r="V92" s="76"/>
      <c r="W92" s="306" t="s">
        <v>1357</v>
      </c>
      <c r="X92" s="141" t="s">
        <v>1037</v>
      </c>
      <c r="Y92" s="187" t="e">
        <f t="shared" si="19"/>
        <v>#DIV/0!</v>
      </c>
      <c r="Z92" s="187" t="e">
        <f t="shared" si="20"/>
        <v>#DIV/0!</v>
      </c>
      <c r="AA92" s="187" t="e">
        <f t="shared" si="20"/>
        <v>#DIV/0!</v>
      </c>
      <c r="AB92" s="187" t="e">
        <f t="shared" si="20"/>
        <v>#DIV/0!</v>
      </c>
      <c r="AC92" s="187" t="e">
        <f t="shared" si="20"/>
        <v>#DIV/0!</v>
      </c>
      <c r="AD92" s="187" t="e">
        <f t="shared" si="20"/>
        <v>#DIV/0!</v>
      </c>
      <c r="AE92" s="187" t="e">
        <f t="shared" si="20"/>
        <v>#DIV/0!</v>
      </c>
      <c r="AF92" s="187" t="e">
        <f t="shared" si="20"/>
        <v>#DIV/0!</v>
      </c>
      <c r="AG92" s="187" t="e">
        <f t="shared" si="20"/>
        <v>#DIV/0!</v>
      </c>
      <c r="AH92" s="187" t="e">
        <f t="shared" si="20"/>
        <v>#DIV/0!</v>
      </c>
      <c r="AI92" s="187" t="e">
        <f t="shared" si="20"/>
        <v>#DIV/0!</v>
      </c>
      <c r="AJ92" s="187" t="e">
        <f t="shared" si="20"/>
        <v>#DIV/0!</v>
      </c>
      <c r="AK92" s="187" t="e">
        <f t="shared" si="20"/>
        <v>#DIV/0!</v>
      </c>
      <c r="AL92" s="187" t="e">
        <f t="shared" si="20"/>
        <v>#DIV/0!</v>
      </c>
      <c r="AM92" s="187" t="e">
        <f t="shared" si="20"/>
        <v>#DIV/0!</v>
      </c>
      <c r="AN92" s="187" t="e">
        <f t="shared" si="20"/>
        <v>#DIV/0!</v>
      </c>
    </row>
    <row r="93" spans="2:40" x14ac:dyDescent="0.15">
      <c r="B93" s="307"/>
      <c r="C93" s="142" t="s">
        <v>1038</v>
      </c>
      <c r="D93" s="107" cm="1">
        <f t="array" ref="D93">SUM(SUMIFS('caseload data'!E:E,'caseload data'!$D:$D,"PSO",'caseload data'!$A:$A,"Kent Surrey Sussex Region",'caseload data'!$B:$B,{"licence","community"}))</f>
        <v>0</v>
      </c>
      <c r="E93" s="107" cm="1">
        <f t="array" ref="E93">SUM(SUMIFS('caseload data'!F:F,'caseload data'!$D:$D,"PSO",'caseload data'!$A:$A,"Kent Surrey Sussex Region",'caseload data'!$B:$B,{"licence","community"}))</f>
        <v>0</v>
      </c>
      <c r="F93" s="107" cm="1">
        <f t="array" ref="F93">SUM(SUMIFS('caseload data'!G:G,'caseload data'!$D:$D,"PSO",'caseload data'!$A:$A,"Kent Surrey Sussex Region",'caseload data'!$B:$B,{"licence","community"}))</f>
        <v>0</v>
      </c>
      <c r="G93" s="107" cm="1">
        <f t="array" ref="G93">SUM(SUMIFS('caseload data'!H:H,'caseload data'!$D:$D,"PSO",'caseload data'!$A:$A,"Kent Surrey Sussex Region",'caseload data'!$B:$B,{"licence","community"}))</f>
        <v>0</v>
      </c>
      <c r="H93" s="107" cm="1">
        <f t="array" ref="H93">SUM(SUMIFS('caseload data'!I:I,'caseload data'!$D:$D,"PSO",'caseload data'!$A:$A,"Kent Surrey Sussex Region",'caseload data'!$B:$B,{"licence","community"}))</f>
        <v>0</v>
      </c>
      <c r="I93" s="107" cm="1">
        <f t="array" ref="I93">SUM(SUMIFS('caseload data'!J:J,'caseload data'!$D:$D,"PSO",'caseload data'!$A:$A,"Kent Surrey Sussex Region",'caseload data'!$B:$B,{"licence","community"}))</f>
        <v>0</v>
      </c>
      <c r="J93" s="107" cm="1">
        <f t="array" ref="J93">SUM(SUMIFS('caseload data'!K:K,'caseload data'!$D:$D,"PSO",'caseload data'!$A:$A,"Kent Surrey Sussex Region",'caseload data'!$B:$B,{"licence","community"}))</f>
        <v>0</v>
      </c>
      <c r="K93" s="107" cm="1">
        <f t="array" ref="K93">SUM(SUMIFS('caseload data'!L:L,'caseload data'!$D:$D,"PSO",'caseload data'!$A:$A,"Kent Surrey Sussex Region",'caseload data'!$B:$B,{"licence","community"}))</f>
        <v>0</v>
      </c>
      <c r="L93" s="107" cm="1">
        <f t="array" ref="L93">SUM(SUMIFS('caseload data'!M:M,'caseload data'!$D:$D,"PSO",'caseload data'!$A:$A,"Kent Surrey Sussex Region",'caseload data'!$B:$B,{"licence","community"}))</f>
        <v>0</v>
      </c>
      <c r="M93" s="107" cm="1">
        <f t="array" ref="M93">SUM(SUMIFS('caseload data'!N:N,'caseload data'!$D:$D,"PSO",'caseload data'!$A:$A,"Kent Surrey Sussex Region",'caseload data'!$B:$B,{"licence","community"}))</f>
        <v>0</v>
      </c>
      <c r="N93" s="107" cm="1">
        <f t="array" ref="N93">SUM(SUMIFS('caseload data'!O:O,'caseload data'!$D:$D,"PSO",'caseload data'!$A:$A,"Kent Surrey Sussex Region",'caseload data'!$B:$B,{"licence","community"}))</f>
        <v>0</v>
      </c>
      <c r="O93" s="107" cm="1">
        <f t="array" ref="O93">SUM(SUMIFS('caseload data'!P:P,'caseload data'!$D:$D,"PSO",'caseload data'!$A:$A,"Kent Surrey Sussex Region",'caseload data'!$B:$B,{"licence","community"}))</f>
        <v>0</v>
      </c>
      <c r="P93" s="107" cm="1">
        <f t="array" ref="P93">SUM(SUMIFS('caseload data'!Q:Q,'caseload data'!$D:$D,"PSO",'caseload data'!$A:$A,"Kent Surrey Sussex Region",'caseload data'!$B:$B,{"licence","community"}))</f>
        <v>0</v>
      </c>
      <c r="Q93" s="107" cm="1">
        <f t="array" ref="Q93">SUM(SUMIFS('caseload data'!R:R,'caseload data'!$D:$D,"PSO",'caseload data'!$A:$A,"Kent Surrey Sussex Region",'caseload data'!$B:$B,{"licence","community"}))</f>
        <v>0</v>
      </c>
      <c r="R93" s="107" cm="1">
        <f t="array" ref="R93">SUM(SUMIFS('caseload data'!S:S,'caseload data'!$D:$D,"PSO",'caseload data'!$A:$A,"Kent Surrey Sussex Region",'caseload data'!$B:$B,{"licence","community"}))</f>
        <v>0</v>
      </c>
      <c r="S93" s="107" cm="1">
        <f t="array" ref="S93">SUM(SUMIFS('caseload data'!T:T,'caseload data'!$D:$D,"PSO",'caseload data'!$A:$A,"Kent Surrey Sussex Region",'caseload data'!$B:$B,{"licence","community"}))</f>
        <v>0</v>
      </c>
      <c r="T93" s="107" cm="1">
        <f t="array" ref="T93">SUM(SUMIFS('caseload data'!V:V,'caseload data'!D:D,"PSO",'caseload data'!A:A,"Kent Surrey Sussex Region",'caseload data'!B:B,{"licence","community"}))</f>
        <v>0</v>
      </c>
      <c r="U93" s="76"/>
      <c r="V93" s="76"/>
      <c r="W93" s="307"/>
      <c r="X93" s="142" t="s">
        <v>1038</v>
      </c>
      <c r="Y93" s="187" t="e">
        <f t="shared" si="19"/>
        <v>#DIV/0!</v>
      </c>
      <c r="Z93" s="187" t="e">
        <f t="shared" si="20"/>
        <v>#DIV/0!</v>
      </c>
      <c r="AA93" s="187" t="e">
        <f t="shared" si="20"/>
        <v>#DIV/0!</v>
      </c>
      <c r="AB93" s="187" t="e">
        <f t="shared" si="20"/>
        <v>#DIV/0!</v>
      </c>
      <c r="AC93" s="187" t="e">
        <f t="shared" si="20"/>
        <v>#DIV/0!</v>
      </c>
      <c r="AD93" s="187" t="e">
        <f t="shared" si="20"/>
        <v>#DIV/0!</v>
      </c>
      <c r="AE93" s="187" t="e">
        <f t="shared" si="20"/>
        <v>#DIV/0!</v>
      </c>
      <c r="AF93" s="187" t="e">
        <f t="shared" si="20"/>
        <v>#DIV/0!</v>
      </c>
      <c r="AG93" s="187" t="e">
        <f t="shared" si="20"/>
        <v>#DIV/0!</v>
      </c>
      <c r="AH93" s="187" t="e">
        <f t="shared" si="20"/>
        <v>#DIV/0!</v>
      </c>
      <c r="AI93" s="187" t="e">
        <f t="shared" si="20"/>
        <v>#DIV/0!</v>
      </c>
      <c r="AJ93" s="187" t="e">
        <f t="shared" si="20"/>
        <v>#DIV/0!</v>
      </c>
      <c r="AK93" s="187" t="e">
        <f t="shared" si="20"/>
        <v>#DIV/0!</v>
      </c>
      <c r="AL93" s="187" t="e">
        <f t="shared" si="20"/>
        <v>#DIV/0!</v>
      </c>
      <c r="AM93" s="187" t="e">
        <f t="shared" si="20"/>
        <v>#DIV/0!</v>
      </c>
      <c r="AN93" s="187" t="e">
        <f t="shared" si="20"/>
        <v>#DIV/0!</v>
      </c>
    </row>
    <row r="94" spans="2:40" x14ac:dyDescent="0.15">
      <c r="B94" s="307"/>
      <c r="C94" s="142" t="s">
        <v>1039</v>
      </c>
      <c r="D94" s="107" cm="1">
        <f t="array" ref="D94">SUM(SUMIFS('caseload data'!E:E,'caseload data'!$D:$D,"TPO",'caseload data'!$A:$A,"Kent Surrey Sussex Region",'caseload data'!$B:$B,{"licence","community"}))</f>
        <v>0</v>
      </c>
      <c r="E94" s="107" cm="1">
        <f t="array" ref="E94">SUM(SUMIFS('caseload data'!F:F,'caseload data'!$D:$D,"TPO",'caseload data'!$A:$A,"Kent Surrey Sussex Region",'caseload data'!$B:$B,{"licence","community"}))</f>
        <v>0</v>
      </c>
      <c r="F94" s="107" cm="1">
        <f t="array" ref="F94">SUM(SUMIFS('caseload data'!G:G,'caseload data'!$D:$D,"TPO",'caseload data'!$A:$A,"Kent Surrey Sussex Region",'caseload data'!$B:$B,{"licence","community"}))</f>
        <v>0</v>
      </c>
      <c r="G94" s="107" cm="1">
        <f t="array" ref="G94">SUM(SUMIFS('caseload data'!H:H,'caseload data'!$D:$D,"TPO",'caseload data'!$A:$A,"Kent Surrey Sussex Region",'caseload data'!$B:$B,{"licence","community"}))</f>
        <v>0</v>
      </c>
      <c r="H94" s="107" cm="1">
        <f t="array" ref="H94">SUM(SUMIFS('caseload data'!I:I,'caseload data'!$D:$D,"TPO",'caseload data'!$A:$A,"Kent Surrey Sussex Region",'caseload data'!$B:$B,{"licence","community"}))</f>
        <v>0</v>
      </c>
      <c r="I94" s="107" cm="1">
        <f t="array" ref="I94">SUM(SUMIFS('caseload data'!J:J,'caseload data'!$D:$D,"TPO",'caseload data'!$A:$A,"Kent Surrey Sussex Region",'caseload data'!$B:$B,{"licence","community"}))</f>
        <v>0</v>
      </c>
      <c r="J94" s="107" cm="1">
        <f t="array" ref="J94">SUM(SUMIFS('caseload data'!K:K,'caseload data'!$D:$D,"TPO",'caseload data'!$A:$A,"Kent Surrey Sussex Region",'caseload data'!$B:$B,{"licence","community"}))</f>
        <v>0</v>
      </c>
      <c r="K94" s="107" cm="1">
        <f t="array" ref="K94">SUM(SUMIFS('caseload data'!L:L,'caseload data'!$D:$D,"TPO",'caseload data'!$A:$A,"Kent Surrey Sussex Region",'caseload data'!$B:$B,{"licence","community"}))</f>
        <v>0</v>
      </c>
      <c r="L94" s="107" cm="1">
        <f t="array" ref="L94">SUM(SUMIFS('caseload data'!M:M,'caseload data'!$D:$D,"TPO",'caseload data'!$A:$A,"Kent Surrey Sussex Region",'caseload data'!$B:$B,{"licence","community"}))</f>
        <v>0</v>
      </c>
      <c r="M94" s="107" cm="1">
        <f t="array" ref="M94">SUM(SUMIFS('caseload data'!N:N,'caseload data'!$D:$D,"TPO",'caseload data'!$A:$A,"Kent Surrey Sussex Region",'caseload data'!$B:$B,{"licence","community"}))</f>
        <v>0</v>
      </c>
      <c r="N94" s="107" cm="1">
        <f t="array" ref="N94">SUM(SUMIFS('caseload data'!O:O,'caseload data'!$D:$D,"TPO",'caseload data'!$A:$A,"Kent Surrey Sussex Region",'caseload data'!$B:$B,{"licence","community"}))</f>
        <v>0</v>
      </c>
      <c r="O94" s="107" cm="1">
        <f t="array" ref="O94">SUM(SUMIFS('caseload data'!P:P,'caseload data'!$D:$D,"TPO",'caseload data'!$A:$A,"Kent Surrey Sussex Region",'caseload data'!$B:$B,{"licence","community"}))</f>
        <v>0</v>
      </c>
      <c r="P94" s="107" cm="1">
        <f t="array" ref="P94">SUM(SUMIFS('caseload data'!Q:Q,'caseload data'!$D:$D,"TPO",'caseload data'!$A:$A,"Kent Surrey Sussex Region",'caseload data'!$B:$B,{"licence","community"}))</f>
        <v>0</v>
      </c>
      <c r="Q94" s="107" cm="1">
        <f t="array" ref="Q94">SUM(SUMIFS('caseload data'!R:R,'caseload data'!$D:$D,"TPO",'caseload data'!$A:$A,"Kent Surrey Sussex Region",'caseload data'!$B:$B,{"licence","community"}))</f>
        <v>0</v>
      </c>
      <c r="R94" s="107" cm="1">
        <f t="array" ref="R94">SUM(SUMIFS('caseload data'!S:S,'caseload data'!$D:$D,"TPO",'caseload data'!$A:$A,"Kent Surrey Sussex Region",'caseload data'!$B:$B,{"licence","community"}))</f>
        <v>0</v>
      </c>
      <c r="S94" s="107" cm="1">
        <f t="array" ref="S94">SUM(SUMIFS('caseload data'!T:T,'caseload data'!$D:$D,"TPO",'caseload data'!$A:$A,"Kent Surrey Sussex Region",'caseload data'!$B:$B,{"licence","community"}))</f>
        <v>0</v>
      </c>
      <c r="T94" s="107" cm="1">
        <f t="array" ref="T94">SUM(SUMIFS('caseload data'!V:V,'caseload data'!D:D,"TPO",'caseload data'!A:A,"Kent Surrey Sussex Region",'caseload data'!B:B,{"licence","community"}))</f>
        <v>0</v>
      </c>
      <c r="U94" s="76"/>
      <c r="V94" s="76"/>
      <c r="W94" s="307"/>
      <c r="X94" s="142" t="s">
        <v>1039</v>
      </c>
      <c r="Y94" s="187" t="e">
        <f t="shared" si="19"/>
        <v>#DIV/0!</v>
      </c>
      <c r="Z94" s="187" t="e">
        <f t="shared" si="20"/>
        <v>#DIV/0!</v>
      </c>
      <c r="AA94" s="187" t="e">
        <f t="shared" si="20"/>
        <v>#DIV/0!</v>
      </c>
      <c r="AB94" s="187" t="e">
        <f t="shared" si="20"/>
        <v>#DIV/0!</v>
      </c>
      <c r="AC94" s="187" t="e">
        <f t="shared" ref="AC94:AN99" si="21">SUM(H94)/SUM(H$80:H$83)</f>
        <v>#DIV/0!</v>
      </c>
      <c r="AD94" s="187" t="e">
        <f t="shared" si="21"/>
        <v>#DIV/0!</v>
      </c>
      <c r="AE94" s="187" t="e">
        <f t="shared" si="21"/>
        <v>#DIV/0!</v>
      </c>
      <c r="AF94" s="187" t="e">
        <f t="shared" si="21"/>
        <v>#DIV/0!</v>
      </c>
      <c r="AG94" s="187" t="e">
        <f t="shared" si="21"/>
        <v>#DIV/0!</v>
      </c>
      <c r="AH94" s="187" t="e">
        <f t="shared" si="21"/>
        <v>#DIV/0!</v>
      </c>
      <c r="AI94" s="187" t="e">
        <f t="shared" si="21"/>
        <v>#DIV/0!</v>
      </c>
      <c r="AJ94" s="187" t="e">
        <f t="shared" si="21"/>
        <v>#DIV/0!</v>
      </c>
      <c r="AK94" s="187" t="e">
        <f t="shared" si="21"/>
        <v>#DIV/0!</v>
      </c>
      <c r="AL94" s="187" t="e">
        <f t="shared" si="21"/>
        <v>#DIV/0!</v>
      </c>
      <c r="AM94" s="187" t="e">
        <f t="shared" si="21"/>
        <v>#DIV/0!</v>
      </c>
      <c r="AN94" s="187" t="e">
        <f t="shared" si="21"/>
        <v>#DIV/0!</v>
      </c>
    </row>
    <row r="95" spans="2:40" x14ac:dyDescent="0.15">
      <c r="B95" s="308"/>
      <c r="C95" s="143" t="s">
        <v>1040</v>
      </c>
      <c r="D95" s="107" cm="1">
        <f t="array" ref="D95">SUM(SUMIFS('caseload data'!E:E,'caseload data'!$D:$D,"SPO",'caseload data'!$A:$A,"Kent Surrey Sussex Region",'caseload data'!$B:$B,{"licence","community"}))</f>
        <v>0</v>
      </c>
      <c r="E95" s="107" cm="1">
        <f t="array" ref="E95">SUM(SUMIFS('caseload data'!F:F,'caseload data'!$D:$D,"SPO",'caseload data'!$A:$A,"Kent Surrey Sussex Region",'caseload data'!$B:$B,{"licence","community"}))</f>
        <v>0</v>
      </c>
      <c r="F95" s="107" cm="1">
        <f t="array" ref="F95">SUM(SUMIFS('caseload data'!G:G,'caseload data'!$D:$D,"SPO",'caseload data'!$A:$A,"Kent Surrey Sussex Region",'caseload data'!$B:$B,{"licence","community"}))</f>
        <v>0</v>
      </c>
      <c r="G95" s="107" cm="1">
        <f t="array" ref="G95">SUM(SUMIFS('caseload data'!H:H,'caseload data'!$D:$D,"SPO",'caseload data'!$A:$A,"Kent Surrey Sussex Region",'caseload data'!$B:$B,{"licence","community"}))</f>
        <v>0</v>
      </c>
      <c r="H95" s="107" cm="1">
        <f t="array" ref="H95">SUM(SUMIFS('caseload data'!I:I,'caseload data'!$D:$D,"SPO",'caseload data'!$A:$A,"Kent Surrey Sussex Region",'caseload data'!$B:$B,{"licence","community"}))</f>
        <v>0</v>
      </c>
      <c r="I95" s="107" cm="1">
        <f t="array" ref="I95">SUM(SUMIFS('caseload data'!J:J,'caseload data'!$D:$D,"SPO",'caseload data'!$A:$A,"Kent Surrey Sussex Region",'caseload data'!$B:$B,{"licence","community"}))</f>
        <v>0</v>
      </c>
      <c r="J95" s="107" cm="1">
        <f t="array" ref="J95">SUM(SUMIFS('caseload data'!K:K,'caseload data'!$D:$D,"SPO",'caseload data'!$A:$A,"Kent Surrey Sussex Region",'caseload data'!$B:$B,{"licence","community"}))</f>
        <v>0</v>
      </c>
      <c r="K95" s="107" cm="1">
        <f t="array" ref="K95">SUM(SUMIFS('caseload data'!L:L,'caseload data'!$D:$D,"SPO",'caseload data'!$A:$A,"Kent Surrey Sussex Region",'caseload data'!$B:$B,{"licence","community"}))</f>
        <v>0</v>
      </c>
      <c r="L95" s="107" cm="1">
        <f t="array" ref="L95">SUM(SUMIFS('caseload data'!M:M,'caseload data'!$D:$D,"SPO",'caseload data'!$A:$A,"Kent Surrey Sussex Region",'caseload data'!$B:$B,{"licence","community"}))</f>
        <v>0</v>
      </c>
      <c r="M95" s="107" cm="1">
        <f t="array" ref="M95">SUM(SUMIFS('caseload data'!N:N,'caseload data'!$D:$D,"SPO",'caseload data'!$A:$A,"Kent Surrey Sussex Region",'caseload data'!$B:$B,{"licence","community"}))</f>
        <v>0</v>
      </c>
      <c r="N95" s="107" cm="1">
        <f t="array" ref="N95">SUM(SUMIFS('caseload data'!O:O,'caseload data'!$D:$D,"SPO",'caseload data'!$A:$A,"Kent Surrey Sussex Region",'caseload data'!$B:$B,{"licence","community"}))</f>
        <v>0</v>
      </c>
      <c r="O95" s="107" cm="1">
        <f t="array" ref="O95">SUM(SUMIFS('caseload data'!P:P,'caseload data'!$D:$D,"SPO",'caseload data'!$A:$A,"Kent Surrey Sussex Region",'caseload data'!$B:$B,{"licence","community"}))</f>
        <v>0</v>
      </c>
      <c r="P95" s="107" cm="1">
        <f t="array" ref="P95">SUM(SUMIFS('caseload data'!Q:Q,'caseload data'!$D:$D,"SPO",'caseload data'!$A:$A,"Kent Surrey Sussex Region",'caseload data'!$B:$B,{"licence","community"}))</f>
        <v>0</v>
      </c>
      <c r="Q95" s="107" cm="1">
        <f t="array" ref="Q95">SUM(SUMIFS('caseload data'!R:R,'caseload data'!$D:$D,"SPO",'caseload data'!$A:$A,"Kent Surrey Sussex Region",'caseload data'!$B:$B,{"licence","community"}))</f>
        <v>0</v>
      </c>
      <c r="R95" s="107" cm="1">
        <f t="array" ref="R95">SUM(SUMIFS('caseload data'!S:S,'caseload data'!$D:$D,"SPO",'caseload data'!$A:$A,"Kent Surrey Sussex Region",'caseload data'!$B:$B,{"licence","community"}))</f>
        <v>0</v>
      </c>
      <c r="S95" s="107" cm="1">
        <f t="array" ref="S95">SUM(SUMIFS('caseload data'!T:T,'caseload data'!$D:$D,"SPO",'caseload data'!$A:$A,"Kent Surrey Sussex Region",'caseload data'!$B:$B,{"licence","community"}))</f>
        <v>0</v>
      </c>
      <c r="T95" s="107" cm="1">
        <f t="array" ref="T95">SUM(SUMIFS('caseload data'!V:V,'caseload data'!$D:$D,"SPO",'caseload data'!$A:$A,"Kent Surrey Sussex Region",'caseload data'!$B:$B,{"licence","community"}))</f>
        <v>0</v>
      </c>
      <c r="U95" s="76"/>
      <c r="V95" s="76"/>
      <c r="W95" s="308"/>
      <c r="X95" s="143" t="s">
        <v>1040</v>
      </c>
      <c r="Y95" s="187" t="e">
        <f t="shared" si="19"/>
        <v>#DIV/0!</v>
      </c>
      <c r="Z95" s="187" t="e">
        <f t="shared" ref="Z95:AB99" si="22">SUM(E95)/SUM(E$80:E$83)</f>
        <v>#DIV/0!</v>
      </c>
      <c r="AA95" s="187" t="e">
        <f t="shared" si="22"/>
        <v>#DIV/0!</v>
      </c>
      <c r="AB95" s="187" t="e">
        <f t="shared" si="22"/>
        <v>#DIV/0!</v>
      </c>
      <c r="AC95" s="187" t="e">
        <f t="shared" si="21"/>
        <v>#DIV/0!</v>
      </c>
      <c r="AD95" s="187" t="e">
        <f t="shared" si="21"/>
        <v>#DIV/0!</v>
      </c>
      <c r="AE95" s="187" t="e">
        <f t="shared" si="21"/>
        <v>#DIV/0!</v>
      </c>
      <c r="AF95" s="187" t="e">
        <f t="shared" si="21"/>
        <v>#DIV/0!</v>
      </c>
      <c r="AG95" s="187" t="e">
        <f t="shared" si="21"/>
        <v>#DIV/0!</v>
      </c>
      <c r="AH95" s="187" t="e">
        <f t="shared" si="21"/>
        <v>#DIV/0!</v>
      </c>
      <c r="AI95" s="187" t="e">
        <f t="shared" si="21"/>
        <v>#DIV/0!</v>
      </c>
      <c r="AJ95" s="187" t="e">
        <f t="shared" si="21"/>
        <v>#DIV/0!</v>
      </c>
      <c r="AK95" s="187" t="e">
        <f t="shared" si="21"/>
        <v>#DIV/0!</v>
      </c>
      <c r="AL95" s="187" t="e">
        <f t="shared" si="21"/>
        <v>#DIV/0!</v>
      </c>
      <c r="AM95" s="187" t="e">
        <f t="shared" si="21"/>
        <v>#DIV/0!</v>
      </c>
      <c r="AN95" s="187" t="e">
        <f t="shared" si="21"/>
        <v>#DIV/0!</v>
      </c>
    </row>
    <row r="96" spans="2:40" x14ac:dyDescent="0.15">
      <c r="B96" s="306" t="s">
        <v>22</v>
      </c>
      <c r="C96" s="141" t="s">
        <v>1037</v>
      </c>
      <c r="D96" s="107" cm="1">
        <f t="array" ref="D96">SUM(SUMIFS('caseload data'!E:E,'caseload data'!$D:$D,"PO",'caseload data'!$A:$A,_xlfn.SINGLE('national caseload'!$B$96:$B$98),'caseload data'!$B:$B,{"licence","community"}))</f>
        <v>0</v>
      </c>
      <c r="E96" s="107" cm="1">
        <f t="array" ref="E96">SUM(SUMIFS('caseload data'!F:F,'caseload data'!$D:$D,"PO",'caseload data'!$A:$A,_xlfn.SINGLE('national caseload'!$B$96:$B$98),'caseload data'!$B:$B,{"licence","community"}))</f>
        <v>0</v>
      </c>
      <c r="F96" s="107" cm="1">
        <f t="array" ref="F96">SUM(SUMIFS('caseload data'!G:G,'caseload data'!$D:$D,"PO",'caseload data'!$A:$A,_xlfn.SINGLE('national caseload'!$B$96:$B$98),'caseload data'!$B:$B,{"licence","community"}))</f>
        <v>0</v>
      </c>
      <c r="G96" s="107" cm="1">
        <f t="array" ref="G96">SUM(SUMIFS('caseload data'!H:H,'caseload data'!$D:$D,"PO",'caseload data'!$A:$A,_xlfn.SINGLE('national caseload'!$B$96:$B$98),'caseload data'!$B:$B,{"licence","community"}))</f>
        <v>0</v>
      </c>
      <c r="H96" s="107" cm="1">
        <f t="array" ref="H96">SUM(SUMIFS('caseload data'!I:I,'caseload data'!$D:$D,"PO",'caseload data'!$A:$A,_xlfn.SINGLE('national caseload'!$B$96:$B$98),'caseload data'!$B:$B,{"licence","community"}))</f>
        <v>0</v>
      </c>
      <c r="I96" s="107" cm="1">
        <f t="array" ref="I96">SUM(SUMIFS('caseload data'!J:J,'caseload data'!$D:$D,"PO",'caseload data'!$A:$A,_xlfn.SINGLE('national caseload'!$B$96:$B$98),'caseload data'!$B:$B,{"licence","community"}))</f>
        <v>0</v>
      </c>
      <c r="J96" s="107" cm="1">
        <f t="array" ref="J96">SUM(SUMIFS('caseload data'!K:K,'caseload data'!$D:$D,"PO",'caseload data'!$A:$A,_xlfn.SINGLE('national caseload'!$B$96:$B$98),'caseload data'!$B:$B,{"licence","community"}))</f>
        <v>0</v>
      </c>
      <c r="K96" s="107" cm="1">
        <f t="array" ref="K96">SUM(SUMIFS('caseload data'!L:L,'caseload data'!$D:$D,"PO",'caseload data'!$A:$A,_xlfn.SINGLE('national caseload'!$B$96:$B$98),'caseload data'!$B:$B,{"licence","community"}))</f>
        <v>0</v>
      </c>
      <c r="L96" s="107" cm="1">
        <f t="array" ref="L96">SUM(SUMIFS('caseload data'!M:M,'caseload data'!$D:$D,"PO",'caseload data'!$A:$A,_xlfn.SINGLE('national caseload'!$B$96:$B$98),'caseload data'!$B:$B,{"licence","community"}))</f>
        <v>0</v>
      </c>
      <c r="M96" s="107" cm="1">
        <f t="array" ref="M96">SUM(SUMIFS('caseload data'!N:N,'caseload data'!$D:$D,"PO",'caseload data'!$A:$A,_xlfn.SINGLE('national caseload'!$B$96:$B$98),'caseload data'!$B:$B,{"licence","community"}))</f>
        <v>0</v>
      </c>
      <c r="N96" s="107" cm="1">
        <f t="array" ref="N96">SUM(SUMIFS('caseload data'!O:O,'caseload data'!$D:$D,"PO",'caseload data'!$A:$A,_xlfn.SINGLE('national caseload'!$B$96:$B$98),'caseload data'!$B:$B,{"licence","community"}))</f>
        <v>0</v>
      </c>
      <c r="O96" s="107" cm="1">
        <f t="array" ref="O96">SUM(SUMIFS('caseload data'!P:P,'caseload data'!$D:$D,"PO",'caseload data'!$A:$A,_xlfn.SINGLE('national caseload'!$B$96:$B$98),'caseload data'!$B:$B,{"licence","community"}))</f>
        <v>0</v>
      </c>
      <c r="P96" s="107" cm="1">
        <f t="array" ref="P96">SUM(SUMIFS('caseload data'!Q:Q,'caseload data'!$D:$D,"PO",'caseload data'!$A:$A,_xlfn.SINGLE('national caseload'!$B$96:$B$98),'caseload data'!$B:$B,{"licence","community"}))</f>
        <v>0</v>
      </c>
      <c r="Q96" s="107" cm="1">
        <f t="array" ref="Q96">SUM(SUMIFS('caseload data'!R:R,'caseload data'!$D:$D,"PO",'caseload data'!$A:$A,_xlfn.SINGLE('national caseload'!$B$96:$B$98),'caseload data'!$B:$B,{"licence","community"}))</f>
        <v>0</v>
      </c>
      <c r="R96" s="107" cm="1">
        <f t="array" ref="R96">SUM(SUMIFS('caseload data'!S:S,'caseload data'!$D:$D,"PO",'caseload data'!$A:$A,_xlfn.SINGLE('national caseload'!$B$96:$B$98),'caseload data'!$B:$B,{"licence","community"}))</f>
        <v>0</v>
      </c>
      <c r="S96" s="107" cm="1">
        <f t="array" ref="S96">SUM(SUMIFS('caseload data'!T:T,'caseload data'!$D:$D,"PO",'caseload data'!$A:$A,_xlfn.SINGLE('national caseload'!$B$96:$B$98),'caseload data'!$B:$B,{"licence","community"}))</f>
        <v>0</v>
      </c>
      <c r="T96" s="107">
        <f>SUM(SUMIFS('caseload data'!V:V,'caseload data'!D:D,"PO",'caseload data'!A:A,'national caseload'!B96:B98,'caseload data'!B:B,{"licence","community"}))</f>
        <v>0</v>
      </c>
      <c r="U96" s="76"/>
      <c r="V96" s="76"/>
      <c r="W96" s="306" t="s">
        <v>22</v>
      </c>
      <c r="X96" s="141" t="s">
        <v>1037</v>
      </c>
      <c r="Y96" s="187" t="e">
        <f t="shared" si="19"/>
        <v>#DIV/0!</v>
      </c>
      <c r="Z96" s="187" t="e">
        <f t="shared" si="22"/>
        <v>#DIV/0!</v>
      </c>
      <c r="AA96" s="187" t="e">
        <f t="shared" si="22"/>
        <v>#DIV/0!</v>
      </c>
      <c r="AB96" s="187" t="e">
        <f t="shared" si="22"/>
        <v>#DIV/0!</v>
      </c>
      <c r="AC96" s="187" t="e">
        <f t="shared" si="21"/>
        <v>#DIV/0!</v>
      </c>
      <c r="AD96" s="187" t="e">
        <f t="shared" si="21"/>
        <v>#DIV/0!</v>
      </c>
      <c r="AE96" s="187" t="e">
        <f t="shared" si="21"/>
        <v>#DIV/0!</v>
      </c>
      <c r="AF96" s="187" t="e">
        <f t="shared" si="21"/>
        <v>#DIV/0!</v>
      </c>
      <c r="AG96" s="187" t="e">
        <f t="shared" si="21"/>
        <v>#DIV/0!</v>
      </c>
      <c r="AH96" s="187" t="e">
        <f t="shared" si="21"/>
        <v>#DIV/0!</v>
      </c>
      <c r="AI96" s="187" t="e">
        <f t="shared" si="21"/>
        <v>#DIV/0!</v>
      </c>
      <c r="AJ96" s="187" t="e">
        <f t="shared" si="21"/>
        <v>#DIV/0!</v>
      </c>
      <c r="AK96" s="187" t="e">
        <f t="shared" si="21"/>
        <v>#DIV/0!</v>
      </c>
      <c r="AL96" s="187" t="e">
        <f t="shared" si="21"/>
        <v>#DIV/0!</v>
      </c>
      <c r="AM96" s="187" t="e">
        <f t="shared" si="21"/>
        <v>#DIV/0!</v>
      </c>
      <c r="AN96" s="187" t="e">
        <f t="shared" si="21"/>
        <v>#DIV/0!</v>
      </c>
    </row>
    <row r="97" spans="2:40" x14ac:dyDescent="0.15">
      <c r="B97" s="307"/>
      <c r="C97" s="142" t="s">
        <v>1038</v>
      </c>
      <c r="D97" s="107" cm="1">
        <f t="array" ref="D97">SUM(SUMIFS('caseload data'!E:E,'caseload data'!$D:$D,"PSO",'caseload data'!$A:$A,"London",'caseload data'!$B:$B,{"licence","community"}))</f>
        <v>0</v>
      </c>
      <c r="E97" s="107" cm="1">
        <f t="array" ref="E97">SUM(SUMIFS('caseload data'!F:F,'caseload data'!$D:$D,"PSO",'caseload data'!$A:$A,"London",'caseload data'!$B:$B,{"licence","community"}))</f>
        <v>0</v>
      </c>
      <c r="F97" s="107" cm="1">
        <f t="array" ref="F97">SUM(SUMIFS('caseload data'!G:G,'caseload data'!$D:$D,"PSO",'caseload data'!$A:$A,"London",'caseload data'!$B:$B,{"licence","community"}))</f>
        <v>0</v>
      </c>
      <c r="G97" s="107" cm="1">
        <f t="array" ref="G97">SUM(SUMIFS('caseload data'!H:H,'caseload data'!$D:$D,"PSO",'caseload data'!$A:$A,"London",'caseload data'!$B:$B,{"licence","community"}))</f>
        <v>0</v>
      </c>
      <c r="H97" s="107" cm="1">
        <f t="array" ref="H97">SUM(SUMIFS('caseload data'!I:I,'caseload data'!$D:$D,"PSO",'caseload data'!$A:$A,"London",'caseload data'!$B:$B,{"licence","community"}))</f>
        <v>0</v>
      </c>
      <c r="I97" s="107" cm="1">
        <f t="array" ref="I97">SUM(SUMIFS('caseload data'!J:J,'caseload data'!$D:$D,"PSO",'caseload data'!$A:$A,"London",'caseload data'!$B:$B,{"licence","community"}))</f>
        <v>0</v>
      </c>
      <c r="J97" s="107" cm="1">
        <f t="array" ref="J97">SUM(SUMIFS('caseload data'!K:K,'caseload data'!$D:$D,"PSO",'caseload data'!$A:$A,"London",'caseload data'!$B:$B,{"licence","community"}))</f>
        <v>0</v>
      </c>
      <c r="K97" s="107" cm="1">
        <f t="array" ref="K97">SUM(SUMIFS('caseload data'!L:L,'caseload data'!$D:$D,"PSO",'caseload data'!$A:$A,"London",'caseload data'!$B:$B,{"licence","community"}))</f>
        <v>0</v>
      </c>
      <c r="L97" s="107" cm="1">
        <f t="array" ref="L97">SUM(SUMIFS('caseload data'!M:M,'caseload data'!$D:$D,"PSO",'caseload data'!$A:$A,"London",'caseload data'!$B:$B,{"licence","community"}))</f>
        <v>0</v>
      </c>
      <c r="M97" s="107" cm="1">
        <f t="array" ref="M97">SUM(SUMIFS('caseload data'!N:N,'caseload data'!$D:$D,"PSO",'caseload data'!$A:$A,"London",'caseload data'!$B:$B,{"licence","community"}))</f>
        <v>0</v>
      </c>
      <c r="N97" s="107" cm="1">
        <f t="array" ref="N97">SUM(SUMIFS('caseload data'!O:O,'caseload data'!$D:$D,"PSO",'caseload data'!$A:$A,"London",'caseload data'!$B:$B,{"licence","community"}))</f>
        <v>0</v>
      </c>
      <c r="O97" s="107" cm="1">
        <f t="array" ref="O97">SUM(SUMIFS('caseload data'!P:P,'caseload data'!$D:$D,"PSO",'caseload data'!$A:$A,"London",'caseload data'!$B:$B,{"licence","community"}))</f>
        <v>0</v>
      </c>
      <c r="P97" s="107" cm="1">
        <f t="array" ref="P97">SUM(SUMIFS('caseload data'!Q:Q,'caseload data'!$D:$D,"PSO",'caseload data'!$A:$A,"London",'caseload data'!$B:$B,{"licence","community"}))</f>
        <v>0</v>
      </c>
      <c r="Q97" s="107" cm="1">
        <f t="array" ref="Q97">SUM(SUMIFS('caseload data'!R:R,'caseload data'!$D:$D,"PSO",'caseload data'!$A:$A,"London",'caseload data'!$B:$B,{"licence","community"}))</f>
        <v>0</v>
      </c>
      <c r="R97" s="107" cm="1">
        <f t="array" ref="R97">SUM(SUMIFS('caseload data'!S:S,'caseload data'!$D:$D,"PSO",'caseload data'!$A:$A,"London",'caseload data'!$B:$B,{"licence","community"}))</f>
        <v>0</v>
      </c>
      <c r="S97" s="107" cm="1">
        <f t="array" ref="S97">SUM(SUMIFS('caseload data'!T:T,'caseload data'!$D:$D,"PSO",'caseload data'!$A:$A,"London",'caseload data'!$B:$B,{"licence","community"}))</f>
        <v>0</v>
      </c>
      <c r="T97" s="107" cm="1">
        <f t="array" ref="T97">SUM(SUMIFS('caseload data'!V:V,'caseload data'!D:D,"PSO",'caseload data'!A:A,"London",'caseload data'!B:B,{"licence","community"}))</f>
        <v>0</v>
      </c>
      <c r="U97" s="76"/>
      <c r="V97" s="76"/>
      <c r="W97" s="307"/>
      <c r="X97" s="142" t="s">
        <v>1038</v>
      </c>
      <c r="Y97" s="187" t="e">
        <f t="shared" si="19"/>
        <v>#DIV/0!</v>
      </c>
      <c r="Z97" s="187" t="e">
        <f t="shared" si="22"/>
        <v>#DIV/0!</v>
      </c>
      <c r="AA97" s="187" t="e">
        <f t="shared" si="22"/>
        <v>#DIV/0!</v>
      </c>
      <c r="AB97" s="187" t="e">
        <f t="shared" si="22"/>
        <v>#DIV/0!</v>
      </c>
      <c r="AC97" s="187" t="e">
        <f t="shared" si="21"/>
        <v>#DIV/0!</v>
      </c>
      <c r="AD97" s="187" t="e">
        <f t="shared" si="21"/>
        <v>#DIV/0!</v>
      </c>
      <c r="AE97" s="187" t="e">
        <f t="shared" si="21"/>
        <v>#DIV/0!</v>
      </c>
      <c r="AF97" s="187" t="e">
        <f t="shared" si="21"/>
        <v>#DIV/0!</v>
      </c>
      <c r="AG97" s="187" t="e">
        <f t="shared" si="21"/>
        <v>#DIV/0!</v>
      </c>
      <c r="AH97" s="187" t="e">
        <f t="shared" si="21"/>
        <v>#DIV/0!</v>
      </c>
      <c r="AI97" s="187" t="e">
        <f t="shared" si="21"/>
        <v>#DIV/0!</v>
      </c>
      <c r="AJ97" s="187" t="e">
        <f t="shared" si="21"/>
        <v>#DIV/0!</v>
      </c>
      <c r="AK97" s="187" t="e">
        <f t="shared" si="21"/>
        <v>#DIV/0!</v>
      </c>
      <c r="AL97" s="187" t="e">
        <f t="shared" si="21"/>
        <v>#DIV/0!</v>
      </c>
      <c r="AM97" s="187" t="e">
        <f t="shared" si="21"/>
        <v>#DIV/0!</v>
      </c>
      <c r="AN97" s="187" t="e">
        <f t="shared" si="21"/>
        <v>#DIV/0!</v>
      </c>
    </row>
    <row r="98" spans="2:40" x14ac:dyDescent="0.15">
      <c r="B98" s="307"/>
      <c r="C98" s="142" t="s">
        <v>1039</v>
      </c>
      <c r="D98" s="107" cm="1">
        <f t="array" ref="D98">SUM(SUMIFS('caseload data'!E:E,'caseload data'!$D:$D,"TPO",'caseload data'!$A:$A,"London",'caseload data'!$B:$B,{"licence","community"}))</f>
        <v>0</v>
      </c>
      <c r="E98" s="107" cm="1">
        <f t="array" ref="E98">SUM(SUMIFS('caseload data'!F:F,'caseload data'!$D:$D,"TPO",'caseload data'!$A:$A,"London",'caseload data'!$B:$B,{"licence","community"}))</f>
        <v>0</v>
      </c>
      <c r="F98" s="107" cm="1">
        <f t="array" ref="F98">SUM(SUMIFS('caseload data'!G:G,'caseload data'!$D:$D,"TPO",'caseload data'!$A:$A,"London",'caseload data'!$B:$B,{"licence","community"}))</f>
        <v>0</v>
      </c>
      <c r="G98" s="107" cm="1">
        <f t="array" ref="G98">SUM(SUMIFS('caseload data'!H:H,'caseload data'!$D:$D,"TPO",'caseload data'!$A:$A,"London",'caseload data'!$B:$B,{"licence","community"}))</f>
        <v>0</v>
      </c>
      <c r="H98" s="107" cm="1">
        <f t="array" ref="H98">SUM(SUMIFS('caseload data'!I:I,'caseload data'!$D:$D,"TPO",'caseload data'!$A:$A,"London",'caseload data'!$B:$B,{"licence","community"}))</f>
        <v>0</v>
      </c>
      <c r="I98" s="107" cm="1">
        <f t="array" ref="I98">SUM(SUMIFS('caseload data'!J:J,'caseload data'!$D:$D,"TPO",'caseload data'!$A:$A,"London",'caseload data'!$B:$B,{"licence","community"}))</f>
        <v>0</v>
      </c>
      <c r="J98" s="107" cm="1">
        <f t="array" ref="J98">SUM(SUMIFS('caseload data'!K:K,'caseload data'!$D:$D,"TPO",'caseload data'!$A:$A,"London",'caseload data'!$B:$B,{"licence","community"}))</f>
        <v>0</v>
      </c>
      <c r="K98" s="107" cm="1">
        <f t="array" ref="K98">SUM(SUMIFS('caseload data'!L:L,'caseload data'!$D:$D,"TPO",'caseload data'!$A:$A,"London",'caseload data'!$B:$B,{"licence","community"}))</f>
        <v>0</v>
      </c>
      <c r="L98" s="107" cm="1">
        <f t="array" ref="L98">SUM(SUMIFS('caseload data'!M:M,'caseload data'!$D:$D,"TPO",'caseload data'!$A:$A,"London",'caseload data'!$B:$B,{"licence","community"}))</f>
        <v>0</v>
      </c>
      <c r="M98" s="107" cm="1">
        <f t="array" ref="M98">SUM(SUMIFS('caseload data'!N:N,'caseload data'!$D:$D,"TPO",'caseload data'!$A:$A,"London",'caseload data'!$B:$B,{"licence","community"}))</f>
        <v>0</v>
      </c>
      <c r="N98" s="107" cm="1">
        <f t="array" ref="N98">SUM(SUMIFS('caseload data'!O:O,'caseload data'!$D:$D,"TPO",'caseload data'!$A:$A,"London",'caseload data'!$B:$B,{"licence","community"}))</f>
        <v>0</v>
      </c>
      <c r="O98" s="107" cm="1">
        <f t="array" ref="O98">SUM(SUMIFS('caseload data'!P:P,'caseload data'!$D:$D,"TPO",'caseload data'!$A:$A,"London",'caseload data'!$B:$B,{"licence","community"}))</f>
        <v>0</v>
      </c>
      <c r="P98" s="107" cm="1">
        <f t="array" ref="P98">SUM(SUMIFS('caseload data'!Q:Q,'caseload data'!$D:$D,"TPO",'caseload data'!$A:$A,"London",'caseload data'!$B:$B,{"licence","community"}))</f>
        <v>0</v>
      </c>
      <c r="Q98" s="107" cm="1">
        <f t="array" ref="Q98">SUM(SUMIFS('caseload data'!R:R,'caseload data'!$D:$D,"TPO",'caseload data'!$A:$A,"London",'caseload data'!$B:$B,{"licence","community"}))</f>
        <v>0</v>
      </c>
      <c r="R98" s="107" cm="1">
        <f t="array" ref="R98">SUM(SUMIFS('caseload data'!S:S,'caseload data'!$D:$D,"TPO",'caseload data'!$A:$A,"London",'caseload data'!$B:$B,{"licence","community"}))</f>
        <v>0</v>
      </c>
      <c r="S98" s="107" cm="1">
        <f t="array" ref="S98">SUM(SUMIFS('caseload data'!T:T,'caseload data'!$D:$D,"TPO",'caseload data'!$A:$A,"London",'caseload data'!$B:$B,{"licence","community"}))</f>
        <v>0</v>
      </c>
      <c r="T98" s="107" cm="1">
        <f t="array" ref="T98">SUM(SUMIFS('caseload data'!V:V,'caseload data'!D:D,"TPO",'caseload data'!A:A,"London",'caseload data'!B:B,{"licence","community"}))</f>
        <v>0</v>
      </c>
      <c r="U98" s="76"/>
      <c r="V98" s="76"/>
      <c r="W98" s="307"/>
      <c r="X98" s="142" t="s">
        <v>1039</v>
      </c>
      <c r="Y98" s="187" t="e">
        <f t="shared" si="19"/>
        <v>#DIV/0!</v>
      </c>
      <c r="Z98" s="187" t="e">
        <f t="shared" si="22"/>
        <v>#DIV/0!</v>
      </c>
      <c r="AA98" s="187" t="e">
        <f t="shared" si="22"/>
        <v>#DIV/0!</v>
      </c>
      <c r="AB98" s="187" t="e">
        <f t="shared" si="22"/>
        <v>#DIV/0!</v>
      </c>
      <c r="AC98" s="187" t="e">
        <f t="shared" si="21"/>
        <v>#DIV/0!</v>
      </c>
      <c r="AD98" s="187" t="e">
        <f t="shared" si="21"/>
        <v>#DIV/0!</v>
      </c>
      <c r="AE98" s="187" t="e">
        <f t="shared" si="21"/>
        <v>#DIV/0!</v>
      </c>
      <c r="AF98" s="187" t="e">
        <f t="shared" si="21"/>
        <v>#DIV/0!</v>
      </c>
      <c r="AG98" s="187" t="e">
        <f t="shared" si="21"/>
        <v>#DIV/0!</v>
      </c>
      <c r="AH98" s="187" t="e">
        <f t="shared" si="21"/>
        <v>#DIV/0!</v>
      </c>
      <c r="AI98" s="187" t="e">
        <f t="shared" si="21"/>
        <v>#DIV/0!</v>
      </c>
      <c r="AJ98" s="187" t="e">
        <f t="shared" si="21"/>
        <v>#DIV/0!</v>
      </c>
      <c r="AK98" s="187" t="e">
        <f t="shared" si="21"/>
        <v>#DIV/0!</v>
      </c>
      <c r="AL98" s="187" t="e">
        <f t="shared" si="21"/>
        <v>#DIV/0!</v>
      </c>
      <c r="AM98" s="187" t="e">
        <f t="shared" si="21"/>
        <v>#DIV/0!</v>
      </c>
      <c r="AN98" s="187" t="e">
        <f t="shared" si="21"/>
        <v>#DIV/0!</v>
      </c>
    </row>
    <row r="99" spans="2:40" x14ac:dyDescent="0.15">
      <c r="B99" s="308"/>
      <c r="C99" s="143" t="s">
        <v>1040</v>
      </c>
      <c r="D99" s="107" cm="1">
        <f t="array" ref="D99">SUM(SUMIFS('caseload data'!E:E,'caseload data'!$D:$D,"SPO",'caseload data'!$A:$A,"London",'caseload data'!$B:$B,{"licence","community"}))</f>
        <v>0</v>
      </c>
      <c r="E99" s="107" cm="1">
        <f t="array" ref="E99">SUM(SUMIFS('caseload data'!F:F,'caseload data'!$D:$D,"SPO",'caseload data'!$A:$A,"London",'caseload data'!$B:$B,{"licence","community"}))</f>
        <v>0</v>
      </c>
      <c r="F99" s="107" cm="1">
        <f t="array" ref="F99">SUM(SUMIFS('caseload data'!G:G,'caseload data'!$D:$D,"SPO",'caseload data'!$A:$A,"London",'caseload data'!$B:$B,{"licence","community"}))</f>
        <v>0</v>
      </c>
      <c r="G99" s="107" cm="1">
        <f t="array" ref="G99">SUM(SUMIFS('caseload data'!H:H,'caseload data'!$D:$D,"SPO",'caseload data'!$A:$A,"London",'caseload data'!$B:$B,{"licence","community"}))</f>
        <v>0</v>
      </c>
      <c r="H99" s="107" cm="1">
        <f t="array" ref="H99">SUM(SUMIFS('caseload data'!I:I,'caseload data'!$D:$D,"SPO",'caseload data'!$A:$A,"London",'caseload data'!$B:$B,{"licence","community"}))</f>
        <v>0</v>
      </c>
      <c r="I99" s="107" cm="1">
        <f t="array" ref="I99">SUM(SUMIFS('caseload data'!J:J,'caseload data'!$D:$D,"SPO",'caseload data'!$A:$A,"London",'caseload data'!$B:$B,{"licence","community"}))</f>
        <v>0</v>
      </c>
      <c r="J99" s="107" cm="1">
        <f t="array" ref="J99">SUM(SUMIFS('caseload data'!K:K,'caseload data'!$D:$D,"SPO",'caseload data'!$A:$A,"London",'caseload data'!$B:$B,{"licence","community"}))</f>
        <v>0</v>
      </c>
      <c r="K99" s="107" cm="1">
        <f t="array" ref="K99">SUM(SUMIFS('caseload data'!L:L,'caseload data'!$D:$D,"SPO",'caseload data'!$A:$A,"London",'caseload data'!$B:$B,{"licence","community"}))</f>
        <v>0</v>
      </c>
      <c r="L99" s="107" cm="1">
        <f t="array" ref="L99">SUM(SUMIFS('caseload data'!M:M,'caseload data'!$D:$D,"SPO",'caseload data'!$A:$A,"London",'caseload data'!$B:$B,{"licence","community"}))</f>
        <v>0</v>
      </c>
      <c r="M99" s="107" cm="1">
        <f t="array" ref="M99">SUM(SUMIFS('caseload data'!N:N,'caseload data'!$D:$D,"SPO",'caseload data'!$A:$A,"London",'caseload data'!$B:$B,{"licence","community"}))</f>
        <v>0</v>
      </c>
      <c r="N99" s="107" cm="1">
        <f t="array" ref="N99">SUM(SUMIFS('caseload data'!O:O,'caseload data'!$D:$D,"SPO",'caseload data'!$A:$A,"London",'caseload data'!$B:$B,{"licence","community"}))</f>
        <v>0</v>
      </c>
      <c r="O99" s="107" cm="1">
        <f t="array" ref="O99">SUM(SUMIFS('caseload data'!P:P,'caseload data'!$D:$D,"SPO",'caseload data'!$A:$A,"London",'caseload data'!$B:$B,{"licence","community"}))</f>
        <v>0</v>
      </c>
      <c r="P99" s="107" cm="1">
        <f t="array" ref="P99">SUM(SUMIFS('caseload data'!Q:Q,'caseload data'!$D:$D,"SPO",'caseload data'!$A:$A,"London",'caseload data'!$B:$B,{"licence","community"}))</f>
        <v>0</v>
      </c>
      <c r="Q99" s="107" cm="1">
        <f t="array" ref="Q99">SUM(SUMIFS('caseload data'!R:R,'caseload data'!$D:$D,"SPO",'caseload data'!$A:$A,"London",'caseload data'!$B:$B,{"licence","community"}))</f>
        <v>0</v>
      </c>
      <c r="R99" s="107" cm="1">
        <f t="array" ref="R99">SUM(SUMIFS('caseload data'!S:S,'caseload data'!$D:$D,"SPO",'caseload data'!$A:$A,"London",'caseload data'!$B:$B,{"licence","community"}))</f>
        <v>0</v>
      </c>
      <c r="S99" s="107" cm="1">
        <f t="array" ref="S99">SUM(SUMIFS('caseload data'!T:T,'caseload data'!$D:$D,"SPO",'caseload data'!$A:$A,"London",'caseload data'!$B:$B,{"licence","community"}))</f>
        <v>0</v>
      </c>
      <c r="T99" s="107" cm="1">
        <f t="array" ref="T99">SUM(SUMIFS('caseload data'!V:V,'caseload data'!$D:$D,"SPO",'caseload data'!$A:$A,"London",'caseload data'!$B:$B,{"licence","community"}))</f>
        <v>0</v>
      </c>
      <c r="U99" s="76"/>
      <c r="V99" s="76"/>
      <c r="W99" s="308"/>
      <c r="X99" s="143" t="s">
        <v>1040</v>
      </c>
      <c r="Y99" s="187" t="e">
        <f t="shared" si="19"/>
        <v>#DIV/0!</v>
      </c>
      <c r="Z99" s="187" t="e">
        <f t="shared" si="22"/>
        <v>#DIV/0!</v>
      </c>
      <c r="AA99" s="187" t="e">
        <f t="shared" si="22"/>
        <v>#DIV/0!</v>
      </c>
      <c r="AB99" s="187" t="e">
        <f t="shared" si="22"/>
        <v>#DIV/0!</v>
      </c>
      <c r="AC99" s="187" t="e">
        <f t="shared" si="21"/>
        <v>#DIV/0!</v>
      </c>
      <c r="AD99" s="187" t="e">
        <f t="shared" si="21"/>
        <v>#DIV/0!</v>
      </c>
      <c r="AE99" s="187" t="e">
        <f t="shared" si="21"/>
        <v>#DIV/0!</v>
      </c>
      <c r="AF99" s="187" t="e">
        <f t="shared" si="21"/>
        <v>#DIV/0!</v>
      </c>
      <c r="AG99" s="187" t="e">
        <f t="shared" si="21"/>
        <v>#DIV/0!</v>
      </c>
      <c r="AH99" s="187" t="e">
        <f t="shared" si="21"/>
        <v>#DIV/0!</v>
      </c>
      <c r="AI99" s="187" t="e">
        <f t="shared" si="21"/>
        <v>#DIV/0!</v>
      </c>
      <c r="AJ99" s="187" t="e">
        <f t="shared" si="21"/>
        <v>#DIV/0!</v>
      </c>
      <c r="AK99" s="187" t="e">
        <f t="shared" si="21"/>
        <v>#DIV/0!</v>
      </c>
      <c r="AL99" s="187" t="e">
        <f t="shared" si="21"/>
        <v>#DIV/0!</v>
      </c>
      <c r="AM99" s="187" t="e">
        <f t="shared" si="21"/>
        <v>#DIV/0!</v>
      </c>
      <c r="AN99" s="187" t="e">
        <f t="shared" si="21"/>
        <v>#DIV/0!</v>
      </c>
    </row>
    <row r="100" spans="2:40" x14ac:dyDescent="0.15">
      <c r="B100" s="303" t="s">
        <v>23</v>
      </c>
      <c r="C100" s="141" t="s">
        <v>1037</v>
      </c>
      <c r="D100" s="107" cm="1">
        <f t="array" ref="D100">SUM(SUMIFS('caseload data'!E:E,'caseload data'!$D:$D,"PO",'caseload data'!$A:$A,$B$100,'caseload data'!$B:$B,{"licence","community"}))</f>
        <v>0</v>
      </c>
      <c r="E100" s="107" cm="1">
        <f t="array" ref="E100">SUM(SUMIFS('caseload data'!F:F,'caseload data'!$D:$D,"PO",'caseload data'!$A:$A,$B$100,'caseload data'!$B:$B,{"licence","community"}))</f>
        <v>0</v>
      </c>
      <c r="F100" s="107" cm="1">
        <f t="array" ref="F100">SUM(SUMIFS('caseload data'!G:G,'caseload data'!$D:$D,"PO",'caseload data'!$A:$A,$B$100,'caseload data'!$B:$B,{"licence","community"}))</f>
        <v>0</v>
      </c>
      <c r="G100" s="107" cm="1">
        <f t="array" ref="G100">SUM(SUMIFS('caseload data'!H:H,'caseload data'!$D:$D,"PO",'caseload data'!$A:$A,$B$100,'caseload data'!$B:$B,{"licence","community"}))</f>
        <v>0</v>
      </c>
      <c r="H100" s="107" cm="1">
        <f t="array" ref="H100">SUM(SUMIFS('caseload data'!I:I,'caseload data'!$D:$D,"PO",'caseload data'!$A:$A,$B$100,'caseload data'!$B:$B,{"licence","community"}))</f>
        <v>0</v>
      </c>
      <c r="I100" s="107" cm="1">
        <f t="array" ref="I100">SUM(SUMIFS('caseload data'!J:J,'caseload data'!$D:$D,"PO",'caseload data'!$A:$A,$B$100,'caseload data'!$B:$B,{"licence","community"}))</f>
        <v>0</v>
      </c>
      <c r="J100" s="107" cm="1">
        <f t="array" ref="J100">SUM(SUMIFS('caseload data'!K:K,'caseload data'!$D:$D,"PO",'caseload data'!$A:$A,$B$100,'caseload data'!$B:$B,{"licence","community"}))</f>
        <v>0</v>
      </c>
      <c r="K100" s="107" cm="1">
        <f t="array" ref="K100">SUM(SUMIFS('caseload data'!L:L,'caseload data'!$D:$D,"PO",'caseload data'!$A:$A,$B$100,'caseload data'!$B:$B,{"licence","community"}))</f>
        <v>0</v>
      </c>
      <c r="L100" s="107" cm="1">
        <f t="array" ref="L100">SUM(SUMIFS('caseload data'!M:M,'caseload data'!$D:$D,"PO",'caseload data'!$A:$A,$B$100,'caseload data'!$B:$B,{"licence","community"}))</f>
        <v>0</v>
      </c>
      <c r="M100" s="107" cm="1">
        <f t="array" ref="M100">SUM(SUMIFS('caseload data'!N:N,'caseload data'!$D:$D,"PO",'caseload data'!$A:$A,$B$100,'caseload data'!$B:$B,{"licence","community"}))</f>
        <v>0</v>
      </c>
      <c r="N100" s="107" cm="1">
        <f t="array" ref="N100">SUM(SUMIFS('caseload data'!O:O,'caseload data'!$D:$D,"PO",'caseload data'!$A:$A,$B$100,'caseload data'!$B:$B,{"licence","community"}))</f>
        <v>0</v>
      </c>
      <c r="O100" s="107" cm="1">
        <f t="array" ref="O100">SUM(SUMIFS('caseload data'!P:P,'caseload data'!$D:$D,"PO",'caseload data'!$A:$A,$B$100,'caseload data'!$B:$B,{"licence","community"}))</f>
        <v>0</v>
      </c>
      <c r="P100" s="107" cm="1">
        <f t="array" ref="P100">SUM(SUMIFS('caseload data'!Q:Q,'caseload data'!$D:$D,"PO",'caseload data'!$A:$A,$B$100,'caseload data'!$B:$B,{"licence","community"}))</f>
        <v>0</v>
      </c>
      <c r="Q100" s="107" cm="1">
        <f t="array" ref="Q100">SUM(SUMIFS('caseload data'!R:R,'caseload data'!$D:$D,"PO",'caseload data'!$A:$A,$B$100,'caseload data'!$B:$B,{"licence","community"}))</f>
        <v>0</v>
      </c>
      <c r="R100" s="107" cm="1">
        <f t="array" ref="R100">SUM(SUMIFS('caseload data'!S:S,'caseload data'!$D:$D,"PO",'caseload data'!$A:$A,$B$100,'caseload data'!$B:$B,{"licence","community"}))</f>
        <v>0</v>
      </c>
      <c r="S100" s="107" cm="1">
        <f t="array" ref="S100">SUM(SUMIFS('caseload data'!T:T,'caseload data'!$D:$D,"PO",'caseload data'!$A:$A,$B$100,'caseload data'!$B:$B,{"licence","community"}))</f>
        <v>0</v>
      </c>
      <c r="T100" s="107">
        <f>SUM(SUMIFS('caseload data'!V:V,'caseload data'!D:D,"PO",'caseload data'!A:A,B100,'caseload data'!B:B,{"licence","community"}))</f>
        <v>0</v>
      </c>
      <c r="U100" s="76"/>
      <c r="V100" s="76"/>
      <c r="W100" s="303" t="s">
        <v>23</v>
      </c>
      <c r="X100" s="141" t="s">
        <v>1037</v>
      </c>
      <c r="Y100" s="187" t="e">
        <f>SUM(D100)/SUM(D$100:D$103)</f>
        <v>#DIV/0!</v>
      </c>
      <c r="Z100" s="187" t="e">
        <f t="shared" ref="Z100:AN103" si="23">SUM(E100)/SUM(E$100:E$103)</f>
        <v>#DIV/0!</v>
      </c>
      <c r="AA100" s="187" t="e">
        <f t="shared" si="23"/>
        <v>#DIV/0!</v>
      </c>
      <c r="AB100" s="187" t="e">
        <f t="shared" si="23"/>
        <v>#DIV/0!</v>
      </c>
      <c r="AC100" s="187" t="e">
        <f t="shared" si="23"/>
        <v>#DIV/0!</v>
      </c>
      <c r="AD100" s="187" t="e">
        <f t="shared" si="23"/>
        <v>#DIV/0!</v>
      </c>
      <c r="AE100" s="187" t="e">
        <f t="shared" si="23"/>
        <v>#DIV/0!</v>
      </c>
      <c r="AF100" s="187" t="e">
        <f t="shared" si="23"/>
        <v>#DIV/0!</v>
      </c>
      <c r="AG100" s="187" t="e">
        <f t="shared" si="23"/>
        <v>#DIV/0!</v>
      </c>
      <c r="AH100" s="187" t="e">
        <f t="shared" si="23"/>
        <v>#DIV/0!</v>
      </c>
      <c r="AI100" s="187" t="e">
        <f t="shared" si="23"/>
        <v>#DIV/0!</v>
      </c>
      <c r="AJ100" s="187" t="e">
        <f t="shared" si="23"/>
        <v>#DIV/0!</v>
      </c>
      <c r="AK100" s="187" t="e">
        <f t="shared" si="23"/>
        <v>#DIV/0!</v>
      </c>
      <c r="AL100" s="187" t="e">
        <f t="shared" si="23"/>
        <v>#DIV/0!</v>
      </c>
      <c r="AM100" s="187" t="e">
        <f t="shared" si="23"/>
        <v>#DIV/0!</v>
      </c>
      <c r="AN100" s="187" t="e">
        <f t="shared" si="23"/>
        <v>#DIV/0!</v>
      </c>
    </row>
    <row r="101" spans="2:40" x14ac:dyDescent="0.15">
      <c r="B101" s="304"/>
      <c r="C101" s="142" t="s">
        <v>1038</v>
      </c>
      <c r="D101" s="107" cm="1">
        <f t="array" ref="D101">SUM(SUMIFS('caseload data'!E:E,'caseload data'!$D:$D,"PSO",'caseload data'!$A:$A,"North East Region",'caseload data'!$B:$B,{"licence","community"}))</f>
        <v>0</v>
      </c>
      <c r="E101" s="107" cm="1">
        <f t="array" ref="E101">SUM(SUMIFS('caseload data'!F:F,'caseload data'!$D:$D,"PSO",'caseload data'!$A:$A,"North East Region",'caseload data'!$B:$B,{"licence","community"}))</f>
        <v>0</v>
      </c>
      <c r="F101" s="107" cm="1">
        <f t="array" ref="F101">SUM(SUMIFS('caseload data'!G:G,'caseload data'!$D:$D,"PSO",'caseload data'!$A:$A,"North East Region",'caseload data'!$B:$B,{"licence","community"}))</f>
        <v>0</v>
      </c>
      <c r="G101" s="107" cm="1">
        <f t="array" ref="G101">SUM(SUMIFS('caseload data'!H:H,'caseload data'!$D:$D,"PSO",'caseload data'!$A:$A,"North East Region",'caseload data'!$B:$B,{"licence","community"}))</f>
        <v>0</v>
      </c>
      <c r="H101" s="107" cm="1">
        <f t="array" ref="H101">SUM(SUMIFS('caseload data'!I:I,'caseload data'!$D:$D,"PSO",'caseload data'!$A:$A,"North East Region",'caseload data'!$B:$B,{"licence","community"}))</f>
        <v>0</v>
      </c>
      <c r="I101" s="107" cm="1">
        <f t="array" ref="I101">SUM(SUMIFS('caseload data'!J:J,'caseload data'!$D:$D,"PSO",'caseload data'!$A:$A,"North East Region",'caseload data'!$B:$B,{"licence","community"}))</f>
        <v>0</v>
      </c>
      <c r="J101" s="107" cm="1">
        <f t="array" ref="J101">SUM(SUMIFS('caseload data'!K:K,'caseload data'!$D:$D,"PSO",'caseload data'!$A:$A,"North East Region",'caseload data'!$B:$B,{"licence","community"}))</f>
        <v>0</v>
      </c>
      <c r="K101" s="107" cm="1">
        <f t="array" ref="K101">SUM(SUMIFS('caseload data'!L:L,'caseload data'!$D:$D,"PSO",'caseload data'!$A:$A,"North East Region",'caseload data'!$B:$B,{"licence","community"}))</f>
        <v>0</v>
      </c>
      <c r="L101" s="107" cm="1">
        <f t="array" ref="L101">SUM(SUMIFS('caseload data'!M:M,'caseload data'!$D:$D,"PSO",'caseload data'!$A:$A,"North East Region",'caseload data'!$B:$B,{"licence","community"}))</f>
        <v>0</v>
      </c>
      <c r="M101" s="107" cm="1">
        <f t="array" ref="M101">SUM(SUMIFS('caseload data'!N:N,'caseload data'!$D:$D,"PSO",'caseload data'!$A:$A,"North East Region",'caseload data'!$B:$B,{"licence","community"}))</f>
        <v>0</v>
      </c>
      <c r="N101" s="107" cm="1">
        <f t="array" ref="N101">SUM(SUMIFS('caseload data'!O:O,'caseload data'!$D:$D,"PSO",'caseload data'!$A:$A,"North East Region",'caseload data'!$B:$B,{"licence","community"}))</f>
        <v>0</v>
      </c>
      <c r="O101" s="107" cm="1">
        <f t="array" ref="O101">SUM(SUMIFS('caseload data'!P:P,'caseload data'!$D:$D,"PSO",'caseload data'!$A:$A,"North East Region",'caseload data'!$B:$B,{"licence","community"}))</f>
        <v>0</v>
      </c>
      <c r="P101" s="107" cm="1">
        <f t="array" ref="P101">SUM(SUMIFS('caseload data'!Q:Q,'caseload data'!$D:$D,"PSO",'caseload data'!$A:$A,"North East Region",'caseload data'!$B:$B,{"licence","community"}))</f>
        <v>0</v>
      </c>
      <c r="Q101" s="107" cm="1">
        <f t="array" ref="Q101">SUM(SUMIFS('caseload data'!R:R,'caseload data'!$D:$D,"PSO",'caseload data'!$A:$A,"North East Region",'caseload data'!$B:$B,{"licence","community"}))</f>
        <v>0</v>
      </c>
      <c r="R101" s="107" cm="1">
        <f t="array" ref="R101">SUM(SUMIFS('caseload data'!S:S,'caseload data'!$D:$D,"PSO",'caseload data'!$A:$A,"North East Region",'caseload data'!$B:$B,{"licence","community"}))</f>
        <v>0</v>
      </c>
      <c r="S101" s="107" cm="1">
        <f t="array" ref="S101">SUM(SUMIFS('caseload data'!T:T,'caseload data'!$D:$D,"PSO",'caseload data'!$A:$A,"North East Region",'caseload data'!$B:$B,{"licence","community"}))</f>
        <v>0</v>
      </c>
      <c r="T101" s="107" cm="1">
        <f t="array" ref="T101">SUM(SUMIFS('caseload data'!V:V,'caseload data'!D:D,"PSO",'caseload data'!A:A,"North East Region",'caseload data'!B:B,{"licence","community"}))</f>
        <v>0</v>
      </c>
      <c r="U101" s="76"/>
      <c r="V101" s="76"/>
      <c r="W101" s="304"/>
      <c r="X101" s="142" t="s">
        <v>1038</v>
      </c>
      <c r="Y101" s="187" t="e">
        <f>SUM(D101)/SUM(D$100:D$103)</f>
        <v>#DIV/0!</v>
      </c>
      <c r="Z101" s="187" t="e">
        <f t="shared" si="23"/>
        <v>#DIV/0!</v>
      </c>
      <c r="AA101" s="187" t="e">
        <f t="shared" si="23"/>
        <v>#DIV/0!</v>
      </c>
      <c r="AB101" s="187" t="e">
        <f t="shared" si="23"/>
        <v>#DIV/0!</v>
      </c>
      <c r="AC101" s="187" t="e">
        <f t="shared" si="23"/>
        <v>#DIV/0!</v>
      </c>
      <c r="AD101" s="187" t="e">
        <f t="shared" si="23"/>
        <v>#DIV/0!</v>
      </c>
      <c r="AE101" s="187" t="e">
        <f t="shared" si="23"/>
        <v>#DIV/0!</v>
      </c>
      <c r="AF101" s="187" t="e">
        <f t="shared" si="23"/>
        <v>#DIV/0!</v>
      </c>
      <c r="AG101" s="187" t="e">
        <f t="shared" si="23"/>
        <v>#DIV/0!</v>
      </c>
      <c r="AH101" s="187" t="e">
        <f t="shared" si="23"/>
        <v>#DIV/0!</v>
      </c>
      <c r="AI101" s="187" t="e">
        <f t="shared" si="23"/>
        <v>#DIV/0!</v>
      </c>
      <c r="AJ101" s="187" t="e">
        <f t="shared" si="23"/>
        <v>#DIV/0!</v>
      </c>
      <c r="AK101" s="187" t="e">
        <f t="shared" si="23"/>
        <v>#DIV/0!</v>
      </c>
      <c r="AL101" s="187" t="e">
        <f t="shared" si="23"/>
        <v>#DIV/0!</v>
      </c>
      <c r="AM101" s="187" t="e">
        <f t="shared" si="23"/>
        <v>#DIV/0!</v>
      </c>
      <c r="AN101" s="187" t="e">
        <f t="shared" si="23"/>
        <v>#DIV/0!</v>
      </c>
    </row>
    <row r="102" spans="2:40" x14ac:dyDescent="0.15">
      <c r="B102" s="304"/>
      <c r="C102" s="142" t="s">
        <v>1039</v>
      </c>
      <c r="D102" s="107" cm="1">
        <f t="array" ref="D102">SUM(SUMIFS('caseload data'!E:E,'caseload data'!$D:$D,"TPO",'caseload data'!$A:$A,"North East Region",'caseload data'!$B:$B,{"licence","community"}))</f>
        <v>0</v>
      </c>
      <c r="E102" s="107" cm="1">
        <f t="array" ref="E102">SUM(SUMIFS('caseload data'!F:F,'caseload data'!$D:$D,"TPO",'caseload data'!$A:$A,"North East Region",'caseload data'!$B:$B,{"licence","community"}))</f>
        <v>0</v>
      </c>
      <c r="F102" s="107" cm="1">
        <f t="array" ref="F102">SUM(SUMIFS('caseload data'!G:G,'caseload data'!$D:$D,"TPO",'caseload data'!$A:$A,"North East Region",'caseload data'!$B:$B,{"licence","community"}))</f>
        <v>0</v>
      </c>
      <c r="G102" s="107" cm="1">
        <f t="array" ref="G102">SUM(SUMIFS('caseload data'!H:H,'caseload data'!$D:$D,"TPO",'caseload data'!$A:$A,"North East Region",'caseload data'!$B:$B,{"licence","community"}))</f>
        <v>0</v>
      </c>
      <c r="H102" s="107" cm="1">
        <f t="array" ref="H102">SUM(SUMIFS('caseload data'!I:I,'caseload data'!$D:$D,"TPO",'caseload data'!$A:$A,"North East Region",'caseload data'!$B:$B,{"licence","community"}))</f>
        <v>0</v>
      </c>
      <c r="I102" s="107" cm="1">
        <f t="array" ref="I102">SUM(SUMIFS('caseload data'!J:J,'caseload data'!$D:$D,"TPO",'caseload data'!$A:$A,"North East Region",'caseload data'!$B:$B,{"licence","community"}))</f>
        <v>0</v>
      </c>
      <c r="J102" s="107" cm="1">
        <f t="array" ref="J102">SUM(SUMIFS('caseload data'!K:K,'caseload data'!$D:$D,"TPO",'caseload data'!$A:$A,"North East Region",'caseload data'!$B:$B,{"licence","community"}))</f>
        <v>0</v>
      </c>
      <c r="K102" s="107" cm="1">
        <f t="array" ref="K102">SUM(SUMIFS('caseload data'!L:L,'caseload data'!$D:$D,"TPO",'caseload data'!$A:$A,"North East Region",'caseload data'!$B:$B,{"licence","community"}))</f>
        <v>0</v>
      </c>
      <c r="L102" s="107" cm="1">
        <f t="array" ref="L102">SUM(SUMIFS('caseload data'!M:M,'caseload data'!$D:$D,"TPO",'caseload data'!$A:$A,"North East Region",'caseload data'!$B:$B,{"licence","community"}))</f>
        <v>0</v>
      </c>
      <c r="M102" s="107" cm="1">
        <f t="array" ref="M102">SUM(SUMIFS('caseload data'!N:N,'caseload data'!$D:$D,"TPO",'caseload data'!$A:$A,"North East Region",'caseload data'!$B:$B,{"licence","community"}))</f>
        <v>0</v>
      </c>
      <c r="N102" s="107" cm="1">
        <f t="array" ref="N102">SUM(SUMIFS('caseload data'!O:O,'caseload data'!$D:$D,"TPO",'caseload data'!$A:$A,"North East Region",'caseload data'!$B:$B,{"licence","community"}))</f>
        <v>0</v>
      </c>
      <c r="O102" s="107" cm="1">
        <f t="array" ref="O102">SUM(SUMIFS('caseload data'!P:P,'caseload data'!$D:$D,"TPO",'caseload data'!$A:$A,"North East Region",'caseload data'!$B:$B,{"licence","community"}))</f>
        <v>0</v>
      </c>
      <c r="P102" s="107" cm="1">
        <f t="array" ref="P102">SUM(SUMIFS('caseload data'!Q:Q,'caseload data'!$D:$D,"TPO",'caseload data'!$A:$A,"North East Region",'caseload data'!$B:$B,{"licence","community"}))</f>
        <v>0</v>
      </c>
      <c r="Q102" s="107" cm="1">
        <f t="array" ref="Q102">SUM(SUMIFS('caseload data'!R:R,'caseload data'!$D:$D,"TPO",'caseload data'!$A:$A,"North East Region",'caseload data'!$B:$B,{"licence","community"}))</f>
        <v>0</v>
      </c>
      <c r="R102" s="107" cm="1">
        <f t="array" ref="R102">SUM(SUMIFS('caseload data'!S:S,'caseload data'!$D:$D,"TPO",'caseload data'!$A:$A,"North East Region",'caseload data'!$B:$B,{"licence","community"}))</f>
        <v>0</v>
      </c>
      <c r="S102" s="107" cm="1">
        <f t="array" ref="S102">SUM(SUMIFS('caseload data'!T:T,'caseload data'!$D:$D,"TPO",'caseload data'!$A:$A,"North East Region",'caseload data'!$B:$B,{"licence","community"}))</f>
        <v>0</v>
      </c>
      <c r="T102" s="107" cm="1">
        <f t="array" ref="T102">SUM(SUMIFS('caseload data'!V:V,'caseload data'!D:D,"TPO",'caseload data'!A:A,"North East Region",'caseload data'!B:B,{"licence","community"}))</f>
        <v>0</v>
      </c>
      <c r="U102" s="76"/>
      <c r="V102" s="76"/>
      <c r="W102" s="304"/>
      <c r="X102" s="142" t="s">
        <v>1039</v>
      </c>
      <c r="Y102" s="187" t="e">
        <f>SUM(D102)/SUM(D$100:D$103)</f>
        <v>#DIV/0!</v>
      </c>
      <c r="Z102" s="187" t="e">
        <f t="shared" si="23"/>
        <v>#DIV/0!</v>
      </c>
      <c r="AA102" s="187" t="e">
        <f t="shared" si="23"/>
        <v>#DIV/0!</v>
      </c>
      <c r="AB102" s="187" t="e">
        <f t="shared" si="23"/>
        <v>#DIV/0!</v>
      </c>
      <c r="AC102" s="187" t="e">
        <f t="shared" si="23"/>
        <v>#DIV/0!</v>
      </c>
      <c r="AD102" s="187" t="e">
        <f t="shared" si="23"/>
        <v>#DIV/0!</v>
      </c>
      <c r="AE102" s="187" t="e">
        <f t="shared" si="23"/>
        <v>#DIV/0!</v>
      </c>
      <c r="AF102" s="187" t="e">
        <f t="shared" si="23"/>
        <v>#DIV/0!</v>
      </c>
      <c r="AG102" s="187" t="e">
        <f t="shared" si="23"/>
        <v>#DIV/0!</v>
      </c>
      <c r="AH102" s="187" t="e">
        <f t="shared" si="23"/>
        <v>#DIV/0!</v>
      </c>
      <c r="AI102" s="187" t="e">
        <f t="shared" si="23"/>
        <v>#DIV/0!</v>
      </c>
      <c r="AJ102" s="187" t="e">
        <f t="shared" si="23"/>
        <v>#DIV/0!</v>
      </c>
      <c r="AK102" s="187" t="e">
        <f t="shared" si="23"/>
        <v>#DIV/0!</v>
      </c>
      <c r="AL102" s="187" t="e">
        <f t="shared" si="23"/>
        <v>#DIV/0!</v>
      </c>
      <c r="AM102" s="187" t="e">
        <f t="shared" si="23"/>
        <v>#DIV/0!</v>
      </c>
      <c r="AN102" s="187" t="e">
        <f t="shared" si="23"/>
        <v>#DIV/0!</v>
      </c>
    </row>
    <row r="103" spans="2:40" x14ac:dyDescent="0.15">
      <c r="B103" s="309"/>
      <c r="C103" s="143" t="s">
        <v>1040</v>
      </c>
      <c r="D103" s="107" cm="1">
        <f t="array" ref="D103">SUM(SUMIFS('caseload data'!E:E,'caseload data'!$D:$D,"SPO",'caseload data'!$A:$A,"North East Region",'caseload data'!$B:$B,{"licence","community"}))</f>
        <v>0</v>
      </c>
      <c r="E103" s="107" cm="1">
        <f t="array" ref="E103">SUM(SUMIFS('caseload data'!F:F,'caseload data'!$D:$D,"SPO",'caseload data'!$A:$A,"North East Region",'caseload data'!$B:$B,{"licence","community"}))</f>
        <v>0</v>
      </c>
      <c r="F103" s="107" cm="1">
        <f t="array" ref="F103">SUM(SUMIFS('caseload data'!G:G,'caseload data'!$D:$D,"SPO",'caseload data'!$A:$A,"North East Region",'caseload data'!$B:$B,{"licence","community"}))</f>
        <v>0</v>
      </c>
      <c r="G103" s="107" cm="1">
        <f t="array" ref="G103">SUM(SUMIFS('caseload data'!H:H,'caseload data'!$D:$D,"SPO",'caseload data'!$A:$A,"North East Region",'caseload data'!$B:$B,{"licence","community"}))</f>
        <v>0</v>
      </c>
      <c r="H103" s="107" cm="1">
        <f t="array" ref="H103">SUM(SUMIFS('caseload data'!I:I,'caseload data'!$D:$D,"SPO",'caseload data'!$A:$A,"North East Region",'caseload data'!$B:$B,{"licence","community"}))</f>
        <v>0</v>
      </c>
      <c r="I103" s="107" cm="1">
        <f t="array" ref="I103">SUM(SUMIFS('caseload data'!J:J,'caseload data'!$D:$D,"SPO",'caseload data'!$A:$A,"North East Region",'caseload data'!$B:$B,{"licence","community"}))</f>
        <v>0</v>
      </c>
      <c r="J103" s="107" cm="1">
        <f t="array" ref="J103">SUM(SUMIFS('caseload data'!K:K,'caseload data'!$D:$D,"SPO",'caseload data'!$A:$A,"North East Region",'caseload data'!$B:$B,{"licence","community"}))</f>
        <v>0</v>
      </c>
      <c r="K103" s="107" cm="1">
        <f t="array" ref="K103">SUM(SUMIFS('caseload data'!L:L,'caseload data'!$D:$D,"SPO",'caseload data'!$A:$A,"North East Region",'caseload data'!$B:$B,{"licence","community"}))</f>
        <v>0</v>
      </c>
      <c r="L103" s="107" cm="1">
        <f t="array" ref="L103">SUM(SUMIFS('caseload data'!M:M,'caseload data'!$D:$D,"SPO",'caseload data'!$A:$A,"North East Region",'caseload data'!$B:$B,{"licence","community"}))</f>
        <v>0</v>
      </c>
      <c r="M103" s="107" cm="1">
        <f t="array" ref="M103">SUM(SUMIFS('caseload data'!N:N,'caseload data'!$D:$D,"SPO",'caseload data'!$A:$A,"North East Region",'caseload data'!$B:$B,{"licence","community"}))</f>
        <v>0</v>
      </c>
      <c r="N103" s="107" cm="1">
        <f t="array" ref="N103">SUM(SUMIFS('caseload data'!O:O,'caseload data'!$D:$D,"SPO",'caseload data'!$A:$A,"North East Region",'caseload data'!$B:$B,{"licence","community"}))</f>
        <v>0</v>
      </c>
      <c r="O103" s="107" cm="1">
        <f t="array" ref="O103">SUM(SUMIFS('caseload data'!P:P,'caseload data'!$D:$D,"SPO",'caseload data'!$A:$A,"North East Region",'caseload data'!$B:$B,{"licence","community"}))</f>
        <v>0</v>
      </c>
      <c r="P103" s="107" cm="1">
        <f t="array" ref="P103">SUM(SUMIFS('caseload data'!Q:Q,'caseload data'!$D:$D,"SPO",'caseload data'!$A:$A,"North East Region",'caseload data'!$B:$B,{"licence","community"}))</f>
        <v>0</v>
      </c>
      <c r="Q103" s="107" cm="1">
        <f t="array" ref="Q103">SUM(SUMIFS('caseload data'!R:R,'caseload data'!$D:$D,"SPO",'caseload data'!$A:$A,"North East Region",'caseload data'!$B:$B,{"licence","community"}))</f>
        <v>0</v>
      </c>
      <c r="R103" s="107" cm="1">
        <f t="array" ref="R103">SUM(SUMIFS('caseload data'!S:S,'caseload data'!$D:$D,"SPO",'caseload data'!$A:$A,"North East Region",'caseload data'!$B:$B,{"licence","community"}))</f>
        <v>0</v>
      </c>
      <c r="S103" s="107" cm="1">
        <f t="array" ref="S103">SUM(SUMIFS('caseload data'!T:T,'caseload data'!$D:$D,"SPO",'caseload data'!$A:$A,"North East Region",'caseload data'!$B:$B,{"licence","community"}))</f>
        <v>0</v>
      </c>
      <c r="T103" s="107" cm="1">
        <f t="array" ref="T103">SUM(SUMIFS('caseload data'!V:V,'caseload data'!$D:$D,"SPO",'caseload data'!$A:$A,"North East Region",'caseload data'!$B:$B,{"licence","community"}))</f>
        <v>0</v>
      </c>
      <c r="U103" s="76"/>
      <c r="V103" s="76"/>
      <c r="W103" s="309"/>
      <c r="X103" s="143" t="s">
        <v>1040</v>
      </c>
      <c r="Y103" s="187" t="e">
        <f>SUM(D103)/SUM(D$100:D$103)</f>
        <v>#DIV/0!</v>
      </c>
      <c r="Z103" s="187" t="e">
        <f t="shared" si="23"/>
        <v>#DIV/0!</v>
      </c>
      <c r="AA103" s="187" t="e">
        <f t="shared" si="23"/>
        <v>#DIV/0!</v>
      </c>
      <c r="AB103" s="187" t="e">
        <f t="shared" si="23"/>
        <v>#DIV/0!</v>
      </c>
      <c r="AC103" s="187" t="e">
        <f t="shared" si="23"/>
        <v>#DIV/0!</v>
      </c>
      <c r="AD103" s="187" t="e">
        <f t="shared" si="23"/>
        <v>#DIV/0!</v>
      </c>
      <c r="AE103" s="187" t="e">
        <f t="shared" si="23"/>
        <v>#DIV/0!</v>
      </c>
      <c r="AF103" s="187" t="e">
        <f t="shared" si="23"/>
        <v>#DIV/0!</v>
      </c>
      <c r="AG103" s="187" t="e">
        <f t="shared" si="23"/>
        <v>#DIV/0!</v>
      </c>
      <c r="AH103" s="187" t="e">
        <f t="shared" si="23"/>
        <v>#DIV/0!</v>
      </c>
      <c r="AI103" s="187" t="e">
        <f t="shared" si="23"/>
        <v>#DIV/0!</v>
      </c>
      <c r="AJ103" s="187" t="e">
        <f t="shared" si="23"/>
        <v>#DIV/0!</v>
      </c>
      <c r="AK103" s="187" t="e">
        <f t="shared" si="23"/>
        <v>#DIV/0!</v>
      </c>
      <c r="AL103" s="187" t="e">
        <f t="shared" si="23"/>
        <v>#DIV/0!</v>
      </c>
      <c r="AM103" s="187" t="e">
        <f t="shared" si="23"/>
        <v>#DIV/0!</v>
      </c>
      <c r="AN103" s="187" t="e">
        <f t="shared" si="23"/>
        <v>#DIV/0!</v>
      </c>
    </row>
    <row r="104" spans="2:40" x14ac:dyDescent="0.15">
      <c r="B104" s="303" t="s">
        <v>24</v>
      </c>
      <c r="C104" s="141" t="s">
        <v>1037</v>
      </c>
      <c r="D104" s="107" cm="1">
        <f t="array" ref="D104">SUM(SUMIFS('caseload data'!E:E,'caseload data'!$D:$D,"PO",'caseload data'!$A:$A,$B$104,'caseload data'!$B:$B,{"licence","community"}))</f>
        <v>0</v>
      </c>
      <c r="E104" s="107" cm="1">
        <f t="array" ref="E104">SUM(SUMIFS('caseload data'!F:F,'caseload data'!$D:$D,"PO",'caseload data'!$A:$A,$B$104,'caseload data'!$B:$B,{"licence","community"}))</f>
        <v>0</v>
      </c>
      <c r="F104" s="107" cm="1">
        <f t="array" ref="F104">SUM(SUMIFS('caseload data'!G:G,'caseload data'!$D:$D,"PO",'caseload data'!$A:$A,$B$104,'caseload data'!$B:$B,{"licence","community"}))</f>
        <v>0</v>
      </c>
      <c r="G104" s="107" cm="1">
        <f t="array" ref="G104">SUM(SUMIFS('caseload data'!H:H,'caseload data'!$D:$D,"PO",'caseload data'!$A:$A,$B$104,'caseload data'!$B:$B,{"licence","community"}))</f>
        <v>0</v>
      </c>
      <c r="H104" s="107" cm="1">
        <f t="array" ref="H104">SUM(SUMIFS('caseload data'!I:I,'caseload data'!$D:$D,"PO",'caseload data'!$A:$A,$B$104,'caseload data'!$B:$B,{"licence","community"}))</f>
        <v>0</v>
      </c>
      <c r="I104" s="107" cm="1">
        <f t="array" ref="I104">SUM(SUMIFS('caseload data'!J:J,'caseload data'!$D:$D,"PO",'caseload data'!$A:$A,$B$104,'caseload data'!$B:$B,{"licence","community"}))</f>
        <v>0</v>
      </c>
      <c r="J104" s="107" cm="1">
        <f t="array" ref="J104">SUM(SUMIFS('caseload data'!K:K,'caseload data'!$D:$D,"PO",'caseload data'!$A:$A,$B$104,'caseload data'!$B:$B,{"licence","community"}))</f>
        <v>0</v>
      </c>
      <c r="K104" s="107" cm="1">
        <f t="array" ref="K104">SUM(SUMIFS('caseload data'!L:L,'caseload data'!$D:$D,"PO",'caseload data'!$A:$A,$B$104,'caseload data'!$B:$B,{"licence","community"}))</f>
        <v>0</v>
      </c>
      <c r="L104" s="107" cm="1">
        <f t="array" ref="L104">SUM(SUMIFS('caseload data'!M:M,'caseload data'!$D:$D,"PO",'caseload data'!$A:$A,$B$104,'caseload data'!$B:$B,{"licence","community"}))</f>
        <v>0</v>
      </c>
      <c r="M104" s="107" cm="1">
        <f t="array" ref="M104">SUM(SUMIFS('caseload data'!N:N,'caseload data'!$D:$D,"PO",'caseload data'!$A:$A,$B$104,'caseload data'!$B:$B,{"licence","community"}))</f>
        <v>0</v>
      </c>
      <c r="N104" s="107" cm="1">
        <f t="array" ref="N104">SUM(SUMIFS('caseload data'!O:O,'caseload data'!$D:$D,"PO",'caseload data'!$A:$A,$B$104,'caseload data'!$B:$B,{"licence","community"}))</f>
        <v>0</v>
      </c>
      <c r="O104" s="107" cm="1">
        <f t="array" ref="O104">SUM(SUMIFS('caseload data'!P:P,'caseload data'!$D:$D,"PO",'caseload data'!$A:$A,$B$104,'caseload data'!$B:$B,{"licence","community"}))</f>
        <v>0</v>
      </c>
      <c r="P104" s="107" cm="1">
        <f t="array" ref="P104">SUM(SUMIFS('caseload data'!Q:Q,'caseload data'!$D:$D,"PO",'caseload data'!$A:$A,$B$104,'caseload data'!$B:$B,{"licence","community"}))</f>
        <v>0</v>
      </c>
      <c r="Q104" s="107" cm="1">
        <f t="array" ref="Q104">SUM(SUMIFS('caseload data'!R:R,'caseload data'!$D:$D,"PO",'caseload data'!$A:$A,$B$104,'caseload data'!$B:$B,{"licence","community"}))</f>
        <v>0</v>
      </c>
      <c r="R104" s="107" cm="1">
        <f t="array" ref="R104">SUM(SUMIFS('caseload data'!S:S,'caseload data'!$D:$D,"PO",'caseload data'!$A:$A,$B$104,'caseload data'!$B:$B,{"licence","community"}))</f>
        <v>0</v>
      </c>
      <c r="S104" s="107" cm="1">
        <f t="array" ref="S104">SUM(SUMIFS('caseload data'!T:T,'caseload data'!$D:$D,"PO",'caseload data'!$A:$A,$B$104,'caseload data'!$B:$B,{"licence","community"}))</f>
        <v>0</v>
      </c>
      <c r="T104" s="107">
        <f>SUM(SUMIFS('caseload data'!V:V,'caseload data'!D:D,"PO",'caseload data'!A:A,B104,'caseload data'!B:B,{"licence","community"}))</f>
        <v>0</v>
      </c>
      <c r="U104" s="76"/>
      <c r="V104" s="76"/>
      <c r="W104" s="303" t="s">
        <v>24</v>
      </c>
      <c r="X104" s="141" t="s">
        <v>1037</v>
      </c>
      <c r="Y104" s="187" t="e">
        <f>SUM(D104)/SUM(D$104:D$107)</f>
        <v>#DIV/0!</v>
      </c>
      <c r="Z104" s="187" t="e">
        <f t="shared" ref="Z104:AN107" si="24">SUM(E104)/SUM(E$104:E$107)</f>
        <v>#DIV/0!</v>
      </c>
      <c r="AA104" s="187" t="e">
        <f t="shared" si="24"/>
        <v>#DIV/0!</v>
      </c>
      <c r="AB104" s="187" t="e">
        <f t="shared" si="24"/>
        <v>#DIV/0!</v>
      </c>
      <c r="AC104" s="187" t="e">
        <f t="shared" si="24"/>
        <v>#DIV/0!</v>
      </c>
      <c r="AD104" s="187" t="e">
        <f t="shared" si="24"/>
        <v>#DIV/0!</v>
      </c>
      <c r="AE104" s="187" t="e">
        <f t="shared" si="24"/>
        <v>#DIV/0!</v>
      </c>
      <c r="AF104" s="187" t="e">
        <f t="shared" si="24"/>
        <v>#DIV/0!</v>
      </c>
      <c r="AG104" s="187" t="e">
        <f t="shared" si="24"/>
        <v>#DIV/0!</v>
      </c>
      <c r="AH104" s="187" t="e">
        <f t="shared" si="24"/>
        <v>#DIV/0!</v>
      </c>
      <c r="AI104" s="187" t="e">
        <f t="shared" si="24"/>
        <v>#DIV/0!</v>
      </c>
      <c r="AJ104" s="187" t="e">
        <f t="shared" si="24"/>
        <v>#DIV/0!</v>
      </c>
      <c r="AK104" s="187" t="e">
        <f t="shared" si="24"/>
        <v>#DIV/0!</v>
      </c>
      <c r="AL104" s="187" t="e">
        <f t="shared" si="24"/>
        <v>#DIV/0!</v>
      </c>
      <c r="AM104" s="187" t="e">
        <f t="shared" si="24"/>
        <v>#DIV/0!</v>
      </c>
      <c r="AN104" s="187" t="e">
        <f t="shared" si="24"/>
        <v>#DIV/0!</v>
      </c>
    </row>
    <row r="105" spans="2:40" x14ac:dyDescent="0.15">
      <c r="B105" s="304"/>
      <c r="C105" s="142" t="s">
        <v>1038</v>
      </c>
      <c r="D105" s="107" cm="1">
        <f t="array" ref="D105">SUM(SUMIFS('caseload data'!E:E,'caseload data'!$D:$D,"PSO",'caseload data'!$A:$A,"NPS North West Region",'caseload data'!$B:$B,{"licence","community"}))</f>
        <v>0</v>
      </c>
      <c r="E105" s="107" cm="1">
        <f t="array" ref="E105">SUM(SUMIFS('caseload data'!F:F,'caseload data'!$D:$D,"PSO",'caseload data'!$A:$A,"NPS North West Region",'caseload data'!$B:$B,{"licence","community"}))</f>
        <v>0</v>
      </c>
      <c r="F105" s="107" cm="1">
        <f t="array" ref="F105">SUM(SUMIFS('caseload data'!G:G,'caseload data'!$D:$D,"PSO",'caseload data'!$A:$A,"NPS North West Region",'caseload data'!$B:$B,{"licence","community"}))</f>
        <v>0</v>
      </c>
      <c r="G105" s="107" cm="1">
        <f t="array" ref="G105">SUM(SUMIFS('caseload data'!H:H,'caseload data'!$D:$D,"PSO",'caseload data'!$A:$A,"NPS North West Region",'caseload data'!$B:$B,{"licence","community"}))</f>
        <v>0</v>
      </c>
      <c r="H105" s="107" cm="1">
        <f t="array" ref="H105">SUM(SUMIFS('caseload data'!I:I,'caseload data'!$D:$D,"PSO",'caseload data'!$A:$A,"NPS North West Region",'caseload data'!$B:$B,{"licence","community"}))</f>
        <v>0</v>
      </c>
      <c r="I105" s="107" cm="1">
        <f t="array" ref="I105">SUM(SUMIFS('caseload data'!J:J,'caseload data'!$D:$D,"PSO",'caseload data'!$A:$A,"NPS North West Region",'caseload data'!$B:$B,{"licence","community"}))</f>
        <v>0</v>
      </c>
      <c r="J105" s="107" cm="1">
        <f t="array" ref="J105">SUM(SUMIFS('caseload data'!K:K,'caseload data'!$D:$D,"PSO",'caseload data'!$A:$A,"NPS North West Region",'caseload data'!$B:$B,{"licence","community"}))</f>
        <v>0</v>
      </c>
      <c r="K105" s="107" cm="1">
        <f t="array" ref="K105">SUM(SUMIFS('caseload data'!L:L,'caseload data'!$D:$D,"PSO",'caseload data'!$A:$A,"NPS North West Region",'caseload data'!$B:$B,{"licence","community"}))</f>
        <v>0</v>
      </c>
      <c r="L105" s="107" cm="1">
        <f t="array" ref="L105">SUM(SUMIFS('caseload data'!M:M,'caseload data'!$D:$D,"PSO",'caseload data'!$A:$A,"NPS North West Region",'caseload data'!$B:$B,{"licence","community"}))</f>
        <v>0</v>
      </c>
      <c r="M105" s="107" cm="1">
        <f t="array" ref="M105">SUM(SUMIFS('caseload data'!N:N,'caseload data'!$D:$D,"PSO",'caseload data'!$A:$A,"NPS North West Region",'caseload data'!$B:$B,{"licence","community"}))</f>
        <v>0</v>
      </c>
      <c r="N105" s="107" cm="1">
        <f t="array" ref="N105">SUM(SUMIFS('caseload data'!O:O,'caseload data'!$D:$D,"PSO",'caseload data'!$A:$A,"NPS North West Region",'caseload data'!$B:$B,{"licence","community"}))</f>
        <v>0</v>
      </c>
      <c r="O105" s="107" cm="1">
        <f t="array" ref="O105">SUM(SUMIFS('caseload data'!P:P,'caseload data'!$D:$D,"PSO",'caseload data'!$A:$A,"NPS North West Region",'caseload data'!$B:$B,{"licence","community"}))</f>
        <v>0</v>
      </c>
      <c r="P105" s="107" cm="1">
        <f t="array" ref="P105">SUM(SUMIFS('caseload data'!Q:Q,'caseload data'!$D:$D,"PSO",'caseload data'!$A:$A,"NPS North West Region",'caseload data'!$B:$B,{"licence","community"}))</f>
        <v>0</v>
      </c>
      <c r="Q105" s="107" cm="1">
        <f t="array" ref="Q105">SUM(SUMIFS('caseload data'!R:R,'caseload data'!$D:$D,"PSO",'caseload data'!$A:$A,"NPS North West Region",'caseload data'!$B:$B,{"licence","community"}))</f>
        <v>0</v>
      </c>
      <c r="R105" s="107" cm="1">
        <f t="array" ref="R105">SUM(SUMIFS('caseload data'!S:S,'caseload data'!$D:$D,"PSO",'caseload data'!$A:$A,"NPS North West Region",'caseload data'!$B:$B,{"licence","community"}))</f>
        <v>0</v>
      </c>
      <c r="S105" s="107" cm="1">
        <f t="array" ref="S105">SUM(SUMIFS('caseload data'!T:T,'caseload data'!$D:$D,"PSO",'caseload data'!$A:$A,"NPS North West Region",'caseload data'!$B:$B,{"licence","community"}))</f>
        <v>0</v>
      </c>
      <c r="T105" s="107">
        <f>SUM(SUMIFS('caseload data'!V:V,'caseload data'!D:D,"PSO",'caseload data'!A:A,"NPS North West Region",'caseload data'!B:B,{"licence","community"}))</f>
        <v>0</v>
      </c>
      <c r="U105" s="76"/>
      <c r="V105" s="76"/>
      <c r="W105" s="304"/>
      <c r="X105" s="142" t="s">
        <v>1038</v>
      </c>
      <c r="Y105" s="187" t="e">
        <f>SUM(D105)/SUM(D$104:D$107)</f>
        <v>#DIV/0!</v>
      </c>
      <c r="Z105" s="187" t="e">
        <f t="shared" si="24"/>
        <v>#DIV/0!</v>
      </c>
      <c r="AA105" s="187" t="e">
        <f t="shared" si="24"/>
        <v>#DIV/0!</v>
      </c>
      <c r="AB105" s="187" t="e">
        <f t="shared" si="24"/>
        <v>#DIV/0!</v>
      </c>
      <c r="AC105" s="187" t="e">
        <f t="shared" si="24"/>
        <v>#DIV/0!</v>
      </c>
      <c r="AD105" s="187" t="e">
        <f t="shared" si="24"/>
        <v>#DIV/0!</v>
      </c>
      <c r="AE105" s="187" t="e">
        <f t="shared" si="24"/>
        <v>#DIV/0!</v>
      </c>
      <c r="AF105" s="187" t="e">
        <f t="shared" si="24"/>
        <v>#DIV/0!</v>
      </c>
      <c r="AG105" s="187" t="e">
        <f t="shared" si="24"/>
        <v>#DIV/0!</v>
      </c>
      <c r="AH105" s="187" t="e">
        <f t="shared" si="24"/>
        <v>#DIV/0!</v>
      </c>
      <c r="AI105" s="187" t="e">
        <f t="shared" si="24"/>
        <v>#DIV/0!</v>
      </c>
      <c r="AJ105" s="187" t="e">
        <f t="shared" si="24"/>
        <v>#DIV/0!</v>
      </c>
      <c r="AK105" s="187" t="e">
        <f t="shared" si="24"/>
        <v>#DIV/0!</v>
      </c>
      <c r="AL105" s="187" t="e">
        <f t="shared" si="24"/>
        <v>#DIV/0!</v>
      </c>
      <c r="AM105" s="187" t="e">
        <f t="shared" si="24"/>
        <v>#DIV/0!</v>
      </c>
      <c r="AN105" s="187" t="e">
        <f t="shared" si="24"/>
        <v>#DIV/0!</v>
      </c>
    </row>
    <row r="106" spans="2:40" x14ac:dyDescent="0.15">
      <c r="B106" s="304"/>
      <c r="C106" s="142" t="s">
        <v>1039</v>
      </c>
      <c r="D106" s="107" cm="1">
        <f t="array" ref="D106">SUM(SUMIFS('caseload data'!E:E,'caseload data'!$D:$D,"TPO",'caseload data'!$A:$A,"NPS North West Region",'caseload data'!$B:$B,{"licence","community"}))</f>
        <v>0</v>
      </c>
      <c r="E106" s="107" cm="1">
        <f t="array" ref="E106">SUM(SUMIFS('caseload data'!F:F,'caseload data'!$D:$D,"TPO",'caseload data'!$A:$A,"NPS North West Region",'caseload data'!$B:$B,{"licence","community"}))</f>
        <v>0</v>
      </c>
      <c r="F106" s="107" cm="1">
        <f t="array" ref="F106">SUM(SUMIFS('caseload data'!G:G,'caseload data'!$D:$D,"TPO",'caseload data'!$A:$A,"NPS North West Region",'caseload data'!$B:$B,{"licence","community"}))</f>
        <v>0</v>
      </c>
      <c r="G106" s="107" cm="1">
        <f t="array" ref="G106">SUM(SUMIFS('caseload data'!H:H,'caseload data'!$D:$D,"TPO",'caseload data'!$A:$A,"NPS North West Region",'caseload data'!$B:$B,{"licence","community"}))</f>
        <v>0</v>
      </c>
      <c r="H106" s="107" cm="1">
        <f t="array" ref="H106">SUM(SUMIFS('caseload data'!I:I,'caseload data'!$D:$D,"TPO",'caseload data'!$A:$A,"NPS North West Region",'caseload data'!$B:$B,{"licence","community"}))</f>
        <v>0</v>
      </c>
      <c r="I106" s="107" cm="1">
        <f t="array" ref="I106">SUM(SUMIFS('caseload data'!J:J,'caseload data'!$D:$D,"TPO",'caseload data'!$A:$A,"NPS North West Region",'caseload data'!$B:$B,{"licence","community"}))</f>
        <v>0</v>
      </c>
      <c r="J106" s="107" cm="1">
        <f t="array" ref="J106">SUM(SUMIFS('caseload data'!K:K,'caseload data'!$D:$D,"TPO",'caseload data'!$A:$A,"NPS North West Region",'caseload data'!$B:$B,{"licence","community"}))</f>
        <v>0</v>
      </c>
      <c r="K106" s="107" cm="1">
        <f t="array" ref="K106">SUM(SUMIFS('caseload data'!L:L,'caseload data'!$D:$D,"TPO",'caseload data'!$A:$A,"NPS North West Region",'caseload data'!$B:$B,{"licence","community"}))</f>
        <v>0</v>
      </c>
      <c r="L106" s="107" cm="1">
        <f t="array" ref="L106">SUM(SUMIFS('caseload data'!M:M,'caseload data'!$D:$D,"TPO",'caseload data'!$A:$A,"NPS North West Region",'caseload data'!$B:$B,{"licence","community"}))</f>
        <v>0</v>
      </c>
      <c r="M106" s="107" cm="1">
        <f t="array" ref="M106">SUM(SUMIFS('caseload data'!N:N,'caseload data'!$D:$D,"TPO",'caseload data'!$A:$A,"NPS North West Region",'caseload data'!$B:$B,{"licence","community"}))</f>
        <v>0</v>
      </c>
      <c r="N106" s="107" cm="1">
        <f t="array" ref="N106">SUM(SUMIFS('caseload data'!O:O,'caseload data'!$D:$D,"TPO",'caseload data'!$A:$A,"NPS North West Region",'caseload data'!$B:$B,{"licence","community"}))</f>
        <v>0</v>
      </c>
      <c r="O106" s="107" cm="1">
        <f t="array" ref="O106">SUM(SUMIFS('caseload data'!P:P,'caseload data'!$D:$D,"TPO",'caseload data'!$A:$A,"NPS North West Region",'caseload data'!$B:$B,{"licence","community"}))</f>
        <v>0</v>
      </c>
      <c r="P106" s="107" cm="1">
        <f t="array" ref="P106">SUM(SUMIFS('caseload data'!Q:Q,'caseload data'!$D:$D,"TPO",'caseload data'!$A:$A,"NPS North West Region",'caseload data'!$B:$B,{"licence","community"}))</f>
        <v>0</v>
      </c>
      <c r="Q106" s="107" cm="1">
        <f t="array" ref="Q106">SUM(SUMIFS('caseload data'!R:R,'caseload data'!$D:$D,"TPO",'caseload data'!$A:$A,"NPS North West Region",'caseload data'!$B:$B,{"licence","community"}))</f>
        <v>0</v>
      </c>
      <c r="R106" s="107" cm="1">
        <f t="array" ref="R106">SUM(SUMIFS('caseload data'!S:S,'caseload data'!$D:$D,"TPO",'caseload data'!$A:$A,"NPS North West Region",'caseload data'!$B:$B,{"licence","community"}))</f>
        <v>0</v>
      </c>
      <c r="S106" s="107" cm="1">
        <f t="array" ref="S106">SUM(SUMIFS('caseload data'!T:T,'caseload data'!$D:$D,"TPO",'caseload data'!$A:$A,"NPS North West Region",'caseload data'!$B:$B,{"licence","community"}))</f>
        <v>0</v>
      </c>
      <c r="T106" s="107">
        <f>SUMIFS('caseload data'!V:V,'caseload data'!D:D,"TPO",'caseload data'!A:A,"NPS North West Region",'caseload data'!B:B,{"licence","community"})</f>
        <v>0</v>
      </c>
      <c r="U106" s="76"/>
      <c r="V106" s="76"/>
      <c r="W106" s="304"/>
      <c r="X106" s="142" t="s">
        <v>1039</v>
      </c>
      <c r="Y106" s="187" t="e">
        <f>SUM(D106)/SUM(D$104:D$107)</f>
        <v>#DIV/0!</v>
      </c>
      <c r="Z106" s="187" t="e">
        <f t="shared" si="24"/>
        <v>#DIV/0!</v>
      </c>
      <c r="AA106" s="187" t="e">
        <f t="shared" si="24"/>
        <v>#DIV/0!</v>
      </c>
      <c r="AB106" s="187" t="e">
        <f t="shared" si="24"/>
        <v>#DIV/0!</v>
      </c>
      <c r="AC106" s="187" t="e">
        <f t="shared" si="24"/>
        <v>#DIV/0!</v>
      </c>
      <c r="AD106" s="187" t="e">
        <f t="shared" si="24"/>
        <v>#DIV/0!</v>
      </c>
      <c r="AE106" s="187" t="e">
        <f t="shared" si="24"/>
        <v>#DIV/0!</v>
      </c>
      <c r="AF106" s="187" t="e">
        <f t="shared" si="24"/>
        <v>#DIV/0!</v>
      </c>
      <c r="AG106" s="187" t="e">
        <f t="shared" si="24"/>
        <v>#DIV/0!</v>
      </c>
      <c r="AH106" s="187" t="e">
        <f t="shared" si="24"/>
        <v>#DIV/0!</v>
      </c>
      <c r="AI106" s="187" t="e">
        <f t="shared" si="24"/>
        <v>#DIV/0!</v>
      </c>
      <c r="AJ106" s="187" t="e">
        <f t="shared" si="24"/>
        <v>#DIV/0!</v>
      </c>
      <c r="AK106" s="187" t="e">
        <f t="shared" si="24"/>
        <v>#DIV/0!</v>
      </c>
      <c r="AL106" s="187" t="e">
        <f t="shared" si="24"/>
        <v>#DIV/0!</v>
      </c>
      <c r="AM106" s="187" t="e">
        <f t="shared" si="24"/>
        <v>#DIV/0!</v>
      </c>
      <c r="AN106" s="187" t="e">
        <f t="shared" si="24"/>
        <v>#DIV/0!</v>
      </c>
    </row>
    <row r="107" spans="2:40" x14ac:dyDescent="0.15">
      <c r="B107" s="309"/>
      <c r="C107" s="143" t="s">
        <v>1040</v>
      </c>
      <c r="D107" s="107">
        <f>SUMIFS('caseload data'!E:E,'caseload data'!$D:$D,"SPO",'caseload data'!$A:$A,"NPS North West Region",'caseload data'!$B:$B,{"licence","community"})</f>
        <v>0</v>
      </c>
      <c r="E107" s="107">
        <f>SUMIFS('caseload data'!F:F,'caseload data'!$D:$D,"SPO",'caseload data'!$A:$A,"NPS North West Region",'caseload data'!$B:$B,{"licence","community"})</f>
        <v>0</v>
      </c>
      <c r="F107" s="107">
        <f>SUMIFS('caseload data'!G:G,'caseload data'!$D:$D,"SPO",'caseload data'!$A:$A,"NPS North West Region",'caseload data'!$B:$B,{"licence","community"})</f>
        <v>0</v>
      </c>
      <c r="G107" s="107">
        <f>SUMIFS('caseload data'!H:H,'caseload data'!$D:$D,"SPO",'caseload data'!$A:$A,"NPS North West Region",'caseload data'!$B:$B,{"licence","community"})</f>
        <v>0</v>
      </c>
      <c r="H107" s="107">
        <f>SUMIFS('caseload data'!I:I,'caseload data'!$D:$D,"SPO",'caseload data'!$A:$A,"NPS North West Region",'caseload data'!$B:$B,{"licence","community"})</f>
        <v>0</v>
      </c>
      <c r="I107" s="107">
        <f>SUMIFS('caseload data'!J:J,'caseload data'!$D:$D,"SPO",'caseload data'!$A:$A,"NPS North West Region",'caseload data'!$B:$B,{"licence","community"})</f>
        <v>0</v>
      </c>
      <c r="J107" s="107">
        <f>SUMIFS('caseload data'!K:K,'caseload data'!$D:$D,"SPO",'caseload data'!$A:$A,"NPS North West Region",'caseload data'!$B:$B,{"licence","community"})</f>
        <v>0</v>
      </c>
      <c r="K107" s="107">
        <f>SUMIFS('caseload data'!L:L,'caseload data'!$D:$D,"SPO",'caseload data'!$A:$A,"NPS North West Region",'caseload data'!$B:$B,{"licence","community"})</f>
        <v>0</v>
      </c>
      <c r="L107" s="107">
        <f>SUMIFS('caseload data'!M:M,'caseload data'!$D:$D,"SPO",'caseload data'!$A:$A,"NPS North West Region",'caseload data'!$B:$B,{"licence","community"})</f>
        <v>0</v>
      </c>
      <c r="M107" s="107">
        <f>SUMIFS('caseload data'!N:N,'caseload data'!$D:$D,"SPO",'caseload data'!$A:$A,"NPS North West Region",'caseload data'!$B:$B,{"licence","community"})</f>
        <v>0</v>
      </c>
      <c r="N107" s="107">
        <f>SUMIFS('caseload data'!O:O,'caseload data'!$D:$D,"SPO",'caseload data'!$A:$A,"NPS North West Region",'caseload data'!$B:$B,{"licence","community"})</f>
        <v>0</v>
      </c>
      <c r="O107" s="107">
        <f>SUMIFS('caseload data'!P:P,'caseload data'!$D:$D,"SPO",'caseload data'!$A:$A,"NPS North West Region",'caseload data'!$B:$B,{"licence","community"})</f>
        <v>0</v>
      </c>
      <c r="P107" s="107">
        <f>SUMIFS('caseload data'!Q:Q,'caseload data'!$D:$D,"SPO",'caseload data'!$A:$A,"NPS North West Region",'caseload data'!$B:$B,{"licence","community"})</f>
        <v>0</v>
      </c>
      <c r="Q107" s="107">
        <f>SUMIFS('caseload data'!R:R,'caseload data'!$D:$D,"SPO",'caseload data'!$A:$A,"NPS North West Region",'caseload data'!$B:$B,{"licence","community"})</f>
        <v>0</v>
      </c>
      <c r="R107" s="107">
        <f>SUMIFS('caseload data'!S:S,'caseload data'!$D:$D,"SPO",'caseload data'!$A:$A,"NPS North West Region",'caseload data'!$B:$B,{"licence","community"})</f>
        <v>0</v>
      </c>
      <c r="S107" s="107">
        <f>SUMIFS('caseload data'!T:T,'caseload data'!$D:$D,"SPO",'caseload data'!$A:$A,"NPS North West Region",'caseload data'!$B:$B,{"licence","community"})</f>
        <v>0</v>
      </c>
      <c r="T107" s="107">
        <f>SUM(SUMIFS('caseload data'!V:V,'caseload data'!$D:$D,"SPO",'caseload data'!$A:$A,"NPS North West Region",'caseload data'!$B:$B,{"licence","community"}))</f>
        <v>0</v>
      </c>
      <c r="U107" s="76"/>
      <c r="V107" s="76"/>
      <c r="W107" s="309"/>
      <c r="X107" s="143" t="s">
        <v>1040</v>
      </c>
      <c r="Y107" s="187" t="e">
        <f>SUM(D107)/SUM(D$104:D$107)</f>
        <v>#DIV/0!</v>
      </c>
      <c r="Z107" s="187" t="e">
        <f t="shared" si="24"/>
        <v>#DIV/0!</v>
      </c>
      <c r="AA107" s="187" t="e">
        <f t="shared" si="24"/>
        <v>#DIV/0!</v>
      </c>
      <c r="AB107" s="187" t="e">
        <f t="shared" si="24"/>
        <v>#DIV/0!</v>
      </c>
      <c r="AC107" s="187" t="e">
        <f t="shared" si="24"/>
        <v>#DIV/0!</v>
      </c>
      <c r="AD107" s="187" t="e">
        <f t="shared" si="24"/>
        <v>#DIV/0!</v>
      </c>
      <c r="AE107" s="187" t="e">
        <f t="shared" si="24"/>
        <v>#DIV/0!</v>
      </c>
      <c r="AF107" s="187" t="e">
        <f t="shared" si="24"/>
        <v>#DIV/0!</v>
      </c>
      <c r="AG107" s="187" t="e">
        <f t="shared" si="24"/>
        <v>#DIV/0!</v>
      </c>
      <c r="AH107" s="187" t="e">
        <f t="shared" si="24"/>
        <v>#DIV/0!</v>
      </c>
      <c r="AI107" s="187" t="e">
        <f t="shared" si="24"/>
        <v>#DIV/0!</v>
      </c>
      <c r="AJ107" s="187" t="e">
        <f t="shared" si="24"/>
        <v>#DIV/0!</v>
      </c>
      <c r="AK107" s="187" t="e">
        <f t="shared" si="24"/>
        <v>#DIV/0!</v>
      </c>
      <c r="AL107" s="187" t="e">
        <f t="shared" si="24"/>
        <v>#DIV/0!</v>
      </c>
      <c r="AM107" s="187" t="e">
        <f t="shared" si="24"/>
        <v>#DIV/0!</v>
      </c>
      <c r="AN107" s="187" t="e">
        <f t="shared" si="24"/>
        <v>#DIV/0!</v>
      </c>
    </row>
    <row r="108" spans="2:40" x14ac:dyDescent="0.15">
      <c r="B108" s="303" t="s">
        <v>25</v>
      </c>
      <c r="C108" s="141" t="s">
        <v>1037</v>
      </c>
      <c r="D108" s="107" cm="1">
        <f t="array" ref="D108">SUM(SUMIFS('caseload data'!E:E,'caseload data'!$D:$D,"PO",'caseload data'!$A:$A,$B$108,'caseload data'!$B:$B,{"licence","community"}))</f>
        <v>0</v>
      </c>
      <c r="E108" s="107" cm="1">
        <f t="array" ref="E108">SUM(SUMIFS('caseload data'!F:F,'caseload data'!$D:$D,"PO",'caseload data'!$A:$A,$B$108,'caseload data'!$B:$B,{"licence","community"}))</f>
        <v>0</v>
      </c>
      <c r="F108" s="107" cm="1">
        <f t="array" ref="F108">SUM(SUMIFS('caseload data'!G:G,'caseload data'!$D:$D,"PO",'caseload data'!$A:$A,$B$108,'caseload data'!$B:$B,{"licence","community"}))</f>
        <v>0</v>
      </c>
      <c r="G108" s="107" cm="1">
        <f t="array" ref="G108">SUM(SUMIFS('caseload data'!H:H,'caseload data'!$D:$D,"PO",'caseload data'!$A:$A,$B$108,'caseload data'!$B:$B,{"licence","community"}))</f>
        <v>0</v>
      </c>
      <c r="H108" s="107" cm="1">
        <f t="array" ref="H108">SUM(SUMIFS('caseload data'!I:I,'caseload data'!$D:$D,"PO",'caseload data'!$A:$A,$B$108,'caseload data'!$B:$B,{"licence","community"}))</f>
        <v>0</v>
      </c>
      <c r="I108" s="107" cm="1">
        <f t="array" ref="I108">SUM(SUMIFS('caseload data'!J:J,'caseload data'!$D:$D,"PO",'caseload data'!$A:$A,$B$108,'caseload data'!$B:$B,{"licence","community"}))</f>
        <v>0</v>
      </c>
      <c r="J108" s="107" cm="1">
        <f t="array" ref="J108">SUM(SUMIFS('caseload data'!K:K,'caseload data'!$D:$D,"PO",'caseload data'!$A:$A,$B$108,'caseload data'!$B:$B,{"licence","community"}))</f>
        <v>0</v>
      </c>
      <c r="K108" s="107" cm="1">
        <f t="array" ref="K108">SUM(SUMIFS('caseload data'!L:L,'caseload data'!$D:$D,"PO",'caseload data'!$A:$A,$B$108,'caseload data'!$B:$B,{"licence","community"}))</f>
        <v>0</v>
      </c>
      <c r="L108" s="107" cm="1">
        <f t="array" ref="L108">SUM(SUMIFS('caseload data'!M:M,'caseload data'!$D:$D,"PO",'caseload data'!$A:$A,$B$108,'caseload data'!$B:$B,{"licence","community"}))</f>
        <v>0</v>
      </c>
      <c r="M108" s="107" cm="1">
        <f t="array" ref="M108">SUM(SUMIFS('caseload data'!N:N,'caseload data'!$D:$D,"PO",'caseload data'!$A:$A,$B$108,'caseload data'!$B:$B,{"licence","community"}))</f>
        <v>0</v>
      </c>
      <c r="N108" s="107" cm="1">
        <f t="array" ref="N108">SUM(SUMIFS('caseload data'!O:O,'caseload data'!$D:$D,"PO",'caseload data'!$A:$A,$B$108,'caseload data'!$B:$B,{"licence","community"}))</f>
        <v>0</v>
      </c>
      <c r="O108" s="107" cm="1">
        <f t="array" ref="O108">SUM(SUMIFS('caseload data'!P:P,'caseload data'!$D:$D,"PO",'caseload data'!$A:$A,$B$108,'caseload data'!$B:$B,{"licence","community"}))</f>
        <v>0</v>
      </c>
      <c r="P108" s="107" cm="1">
        <f t="array" ref="P108">SUM(SUMIFS('caseload data'!Q:Q,'caseload data'!$D:$D,"PO",'caseload data'!$A:$A,$B$108,'caseload data'!$B:$B,{"licence","community"}))</f>
        <v>0</v>
      </c>
      <c r="Q108" s="107" cm="1">
        <f t="array" ref="Q108">SUM(SUMIFS('caseload data'!R:R,'caseload data'!$D:$D,"PO",'caseload data'!$A:$A,$B$108,'caseload data'!$B:$B,{"licence","community"}))</f>
        <v>0</v>
      </c>
      <c r="R108" s="107" cm="1">
        <f t="array" ref="R108">SUM(SUMIFS('caseload data'!S:S,'caseload data'!$D:$D,"PO",'caseload data'!$A:$A,$B$108,'caseload data'!$B:$B,{"licence","community"}))</f>
        <v>0</v>
      </c>
      <c r="S108" s="107" cm="1">
        <f t="array" ref="S108">SUM(SUMIFS('caseload data'!T:T,'caseload data'!$D:$D,"PO",'caseload data'!$A:$A,$B$108,'caseload data'!$B:$B,{"licence","community"}))</f>
        <v>0</v>
      </c>
      <c r="T108" s="107">
        <f>SUM(SUMIFS('caseload data'!V:V,'caseload data'!D:D,"PO",'caseload data'!A:A,B108,'caseload data'!B:B,{"licence","community"}))</f>
        <v>0</v>
      </c>
      <c r="U108" s="76"/>
      <c r="V108" s="76"/>
      <c r="W108" s="303" t="s">
        <v>25</v>
      </c>
      <c r="X108" s="141" t="s">
        <v>1037</v>
      </c>
      <c r="Y108" s="187" t="e">
        <f>SUM(D108)/SUM(D$108:D$111)</f>
        <v>#DIV/0!</v>
      </c>
      <c r="Z108" s="187" t="e">
        <f t="shared" ref="Z108:AN111" si="25">SUM(E108)/SUM(E$108:E$111)</f>
        <v>#DIV/0!</v>
      </c>
      <c r="AA108" s="187" t="e">
        <f t="shared" si="25"/>
        <v>#DIV/0!</v>
      </c>
      <c r="AB108" s="187" t="e">
        <f t="shared" si="25"/>
        <v>#DIV/0!</v>
      </c>
      <c r="AC108" s="187" t="e">
        <f t="shared" si="25"/>
        <v>#DIV/0!</v>
      </c>
      <c r="AD108" s="187" t="e">
        <f t="shared" si="25"/>
        <v>#DIV/0!</v>
      </c>
      <c r="AE108" s="187" t="e">
        <f t="shared" si="25"/>
        <v>#DIV/0!</v>
      </c>
      <c r="AF108" s="187" t="e">
        <f t="shared" si="25"/>
        <v>#DIV/0!</v>
      </c>
      <c r="AG108" s="187" t="e">
        <f t="shared" si="25"/>
        <v>#DIV/0!</v>
      </c>
      <c r="AH108" s="187" t="e">
        <f t="shared" si="25"/>
        <v>#DIV/0!</v>
      </c>
      <c r="AI108" s="187" t="e">
        <f t="shared" si="25"/>
        <v>#DIV/0!</v>
      </c>
      <c r="AJ108" s="187" t="e">
        <f t="shared" si="25"/>
        <v>#DIV/0!</v>
      </c>
      <c r="AK108" s="187" t="e">
        <f t="shared" si="25"/>
        <v>#DIV/0!</v>
      </c>
      <c r="AL108" s="187" t="e">
        <f t="shared" si="25"/>
        <v>#DIV/0!</v>
      </c>
      <c r="AM108" s="187" t="e">
        <f t="shared" si="25"/>
        <v>#DIV/0!</v>
      </c>
      <c r="AN108" s="187" t="e">
        <f t="shared" si="25"/>
        <v>#DIV/0!</v>
      </c>
    </row>
    <row r="109" spans="2:40" x14ac:dyDescent="0.15">
      <c r="B109" s="304"/>
      <c r="C109" s="142" t="s">
        <v>1038</v>
      </c>
      <c r="D109" s="107" cm="1">
        <f t="array" ref="D109">SUM(SUMIFS('caseload data'!E:E,'caseload data'!$D:$D,"PSO",'caseload data'!$A:$A,"South Central",'caseload data'!$B:$B,{"licence","community"}))</f>
        <v>0</v>
      </c>
      <c r="E109" s="107" cm="1">
        <f t="array" ref="E109">SUM(SUMIFS('caseload data'!F:F,'caseload data'!$D:$D,"PSO",'caseload data'!$A:$A,"South Central",'caseload data'!$B:$B,{"licence","community"}))</f>
        <v>0</v>
      </c>
      <c r="F109" s="107" cm="1">
        <f t="array" ref="F109">SUM(SUMIFS('caseload data'!G:G,'caseload data'!$D:$D,"PSO",'caseload data'!$A:$A,"South Central",'caseload data'!$B:$B,{"licence","community"}))</f>
        <v>0</v>
      </c>
      <c r="G109" s="107" cm="1">
        <f t="array" ref="G109">SUM(SUMIFS('caseload data'!H:H,'caseload data'!$D:$D,"PSO",'caseload data'!$A:$A,"South Central",'caseload data'!$B:$B,{"licence","community"}))</f>
        <v>0</v>
      </c>
      <c r="H109" s="107" cm="1">
        <f t="array" ref="H109">SUM(SUMIFS('caseload data'!I:I,'caseload data'!$D:$D,"PSO",'caseload data'!$A:$A,"South Central",'caseload data'!$B:$B,{"licence","community"}))</f>
        <v>0</v>
      </c>
      <c r="I109" s="107" cm="1">
        <f t="array" ref="I109">SUM(SUMIFS('caseload data'!J:J,'caseload data'!$D:$D,"PSO",'caseload data'!$A:$A,"South Central",'caseload data'!$B:$B,{"licence","community"}))</f>
        <v>0</v>
      </c>
      <c r="J109" s="107" cm="1">
        <f t="array" ref="J109">SUM(SUMIFS('caseload data'!K:K,'caseload data'!$D:$D,"PSO",'caseload data'!$A:$A,"South Central",'caseload data'!$B:$B,{"licence","community"}))</f>
        <v>0</v>
      </c>
      <c r="K109" s="107" cm="1">
        <f t="array" ref="K109">SUM(SUMIFS('caseload data'!L:L,'caseload data'!$D:$D,"PSO",'caseload data'!$A:$A,"South Central",'caseload data'!$B:$B,{"licence","community"}))</f>
        <v>0</v>
      </c>
      <c r="L109" s="107" cm="1">
        <f t="array" ref="L109">SUM(SUMIFS('caseload data'!M:M,'caseload data'!$D:$D,"PSO",'caseload data'!$A:$A,"South Central",'caseload data'!$B:$B,{"licence","community"}))</f>
        <v>0</v>
      </c>
      <c r="M109" s="107" cm="1">
        <f t="array" ref="M109">SUM(SUMIFS('caseload data'!N:N,'caseload data'!$D:$D,"PSO",'caseload data'!$A:$A,"South Central",'caseload data'!$B:$B,{"licence","community"}))</f>
        <v>0</v>
      </c>
      <c r="N109" s="107" cm="1">
        <f t="array" ref="N109">SUM(SUMIFS('caseload data'!O:O,'caseload data'!$D:$D,"PSO",'caseload data'!$A:$A,"South Central",'caseload data'!$B:$B,{"licence","community"}))</f>
        <v>0</v>
      </c>
      <c r="O109" s="107" cm="1">
        <f t="array" ref="O109">SUM(SUMIFS('caseload data'!P:P,'caseload data'!$D:$D,"PSO",'caseload data'!$A:$A,"South Central",'caseload data'!$B:$B,{"licence","community"}))</f>
        <v>0</v>
      </c>
      <c r="P109" s="107" cm="1">
        <f t="array" ref="P109">SUM(SUMIFS('caseload data'!Q:Q,'caseload data'!$D:$D,"PSO",'caseload data'!$A:$A,"South Central",'caseload data'!$B:$B,{"licence","community"}))</f>
        <v>0</v>
      </c>
      <c r="Q109" s="107" cm="1">
        <f t="array" ref="Q109">SUM(SUMIFS('caseload data'!R:R,'caseload data'!$D:$D,"PSO",'caseload data'!$A:$A,"South Central",'caseload data'!$B:$B,{"licence","community"}))</f>
        <v>0</v>
      </c>
      <c r="R109" s="107" cm="1">
        <f t="array" ref="R109">SUM(SUMIFS('caseload data'!S:S,'caseload data'!$D:$D,"PSO",'caseload data'!$A:$A,"South Central",'caseload data'!$B:$B,{"licence","community"}))</f>
        <v>0</v>
      </c>
      <c r="S109" s="107" cm="1">
        <f t="array" ref="S109">SUM(SUMIFS('caseload data'!T:T,'caseload data'!$D:$D,"PSO",'caseload data'!$A:$A,"South Central",'caseload data'!$B:$B,{"licence","community"}))</f>
        <v>0</v>
      </c>
      <c r="T109" s="107" cm="1">
        <f t="array" ref="T109">SUM(SUMIFS('caseload data'!V:V,'caseload data'!D:D,"PSO",'caseload data'!A:A,"South Central",'caseload data'!B:B,{"licence","community"}))</f>
        <v>0</v>
      </c>
      <c r="U109" s="76"/>
      <c r="V109" s="76"/>
      <c r="W109" s="304"/>
      <c r="X109" s="142" t="s">
        <v>1038</v>
      </c>
      <c r="Y109" s="187" t="e">
        <f>SUM(D109)/SUM(D$108:D$111)</f>
        <v>#DIV/0!</v>
      </c>
      <c r="Z109" s="187" t="e">
        <f t="shared" si="25"/>
        <v>#DIV/0!</v>
      </c>
      <c r="AA109" s="187" t="e">
        <f t="shared" si="25"/>
        <v>#DIV/0!</v>
      </c>
      <c r="AB109" s="187" t="e">
        <f t="shared" si="25"/>
        <v>#DIV/0!</v>
      </c>
      <c r="AC109" s="187" t="e">
        <f t="shared" si="25"/>
        <v>#DIV/0!</v>
      </c>
      <c r="AD109" s="187" t="e">
        <f t="shared" si="25"/>
        <v>#DIV/0!</v>
      </c>
      <c r="AE109" s="187" t="e">
        <f t="shared" si="25"/>
        <v>#DIV/0!</v>
      </c>
      <c r="AF109" s="187" t="e">
        <f t="shared" si="25"/>
        <v>#DIV/0!</v>
      </c>
      <c r="AG109" s="187" t="e">
        <f t="shared" si="25"/>
        <v>#DIV/0!</v>
      </c>
      <c r="AH109" s="187" t="e">
        <f t="shared" si="25"/>
        <v>#DIV/0!</v>
      </c>
      <c r="AI109" s="187" t="e">
        <f t="shared" si="25"/>
        <v>#DIV/0!</v>
      </c>
      <c r="AJ109" s="187" t="e">
        <f t="shared" si="25"/>
        <v>#DIV/0!</v>
      </c>
      <c r="AK109" s="187" t="e">
        <f t="shared" si="25"/>
        <v>#DIV/0!</v>
      </c>
      <c r="AL109" s="187" t="e">
        <f t="shared" si="25"/>
        <v>#DIV/0!</v>
      </c>
      <c r="AM109" s="187" t="e">
        <f t="shared" si="25"/>
        <v>#DIV/0!</v>
      </c>
      <c r="AN109" s="187" t="e">
        <f t="shared" si="25"/>
        <v>#DIV/0!</v>
      </c>
    </row>
    <row r="110" spans="2:40" x14ac:dyDescent="0.15">
      <c r="B110" s="304"/>
      <c r="C110" s="142" t="s">
        <v>1039</v>
      </c>
      <c r="D110" s="107" cm="1">
        <f t="array" ref="D110">SUM(SUMIFS('caseload data'!E:E,'caseload data'!$D:$D,"TPO",'caseload data'!$A:$A,"South Central",'caseload data'!$B:$B,{"licence","community"}))</f>
        <v>0</v>
      </c>
      <c r="E110" s="107" cm="1">
        <f t="array" ref="E110">SUM(SUMIFS('caseload data'!F:F,'caseload data'!$D:$D,"TPO",'caseload data'!$A:$A,"South Central",'caseload data'!$B:$B,{"licence","community"}))</f>
        <v>0</v>
      </c>
      <c r="F110" s="107" cm="1">
        <f t="array" ref="F110">SUM(SUMIFS('caseload data'!G:G,'caseload data'!$D:$D,"TPO",'caseload data'!$A:$A,"South Central",'caseload data'!$B:$B,{"licence","community"}))</f>
        <v>0</v>
      </c>
      <c r="G110" s="107" cm="1">
        <f t="array" ref="G110">SUM(SUMIFS('caseload data'!H:H,'caseload data'!$D:$D,"TPO",'caseload data'!$A:$A,"South Central",'caseload data'!$B:$B,{"licence","community"}))</f>
        <v>0</v>
      </c>
      <c r="H110" s="107" cm="1">
        <f t="array" ref="H110">SUM(SUMIFS('caseload data'!I:I,'caseload data'!$D:$D,"TPO",'caseload data'!$A:$A,"South Central",'caseload data'!$B:$B,{"licence","community"}))</f>
        <v>0</v>
      </c>
      <c r="I110" s="107" cm="1">
        <f t="array" ref="I110">SUM(SUMIFS('caseload data'!J:J,'caseload data'!$D:$D,"TPO",'caseload data'!$A:$A,"South Central",'caseload data'!$B:$B,{"licence","community"}))</f>
        <v>0</v>
      </c>
      <c r="J110" s="107" cm="1">
        <f t="array" ref="J110">SUM(SUMIFS('caseload data'!K:K,'caseload data'!$D:$D,"TPO",'caseload data'!$A:$A,"South Central",'caseload data'!$B:$B,{"licence","community"}))</f>
        <v>0</v>
      </c>
      <c r="K110" s="107" cm="1">
        <f t="array" ref="K110">SUM(SUMIFS('caseload data'!L:L,'caseload data'!$D:$D,"TPO",'caseload data'!$A:$A,"South Central",'caseload data'!$B:$B,{"licence","community"}))</f>
        <v>0</v>
      </c>
      <c r="L110" s="107" cm="1">
        <f t="array" ref="L110">SUM(SUMIFS('caseload data'!M:M,'caseload data'!$D:$D,"TPO",'caseload data'!$A:$A,"South Central",'caseload data'!$B:$B,{"licence","community"}))</f>
        <v>0</v>
      </c>
      <c r="M110" s="107" cm="1">
        <f t="array" ref="M110">SUM(SUMIFS('caseload data'!N:N,'caseload data'!$D:$D,"TPO",'caseload data'!$A:$A,"South Central",'caseload data'!$B:$B,{"licence","community"}))</f>
        <v>0</v>
      </c>
      <c r="N110" s="107" cm="1">
        <f t="array" ref="N110">SUM(SUMIFS('caseload data'!O:O,'caseload data'!$D:$D,"TPO",'caseload data'!$A:$A,"South Central",'caseload data'!$B:$B,{"licence","community"}))</f>
        <v>0</v>
      </c>
      <c r="O110" s="107" cm="1">
        <f t="array" ref="O110">SUM(SUMIFS('caseload data'!P:P,'caseload data'!$D:$D,"TPO",'caseload data'!$A:$A,"South Central",'caseload data'!$B:$B,{"licence","community"}))</f>
        <v>0</v>
      </c>
      <c r="P110" s="107" cm="1">
        <f t="array" ref="P110">SUM(SUMIFS('caseload data'!Q:Q,'caseload data'!$D:$D,"TPO",'caseload data'!$A:$A,"South Central",'caseload data'!$B:$B,{"licence","community"}))</f>
        <v>0</v>
      </c>
      <c r="Q110" s="107" cm="1">
        <f t="array" ref="Q110">SUM(SUMIFS('caseload data'!R:R,'caseload data'!$D:$D,"TPO",'caseload data'!$A:$A,"South Central",'caseload data'!$B:$B,{"licence","community"}))</f>
        <v>0</v>
      </c>
      <c r="R110" s="107" cm="1">
        <f t="array" ref="R110">SUM(SUMIFS('caseload data'!S:S,'caseload data'!$D:$D,"TPO",'caseload data'!$A:$A,"South Central",'caseload data'!$B:$B,{"licence","community"}))</f>
        <v>0</v>
      </c>
      <c r="S110" s="107" cm="1">
        <f t="array" ref="S110">SUM(SUMIFS('caseload data'!T:T,'caseload data'!$D:$D,"TPO",'caseload data'!$A:$A,"South Central",'caseload data'!$B:$B,{"licence","community"}))</f>
        <v>0</v>
      </c>
      <c r="T110" s="107" cm="1">
        <f t="array" ref="T110">SUM(SUMIFS('caseload data'!V:V,'caseload data'!D:D,"TPO",'caseload data'!A:A,"South Central",'caseload data'!B:B,{"licence","community"}))</f>
        <v>0</v>
      </c>
      <c r="U110" s="76"/>
      <c r="V110" s="76"/>
      <c r="W110" s="304"/>
      <c r="X110" s="142" t="s">
        <v>1039</v>
      </c>
      <c r="Y110" s="187" t="e">
        <f>SUM(D110)/SUM(D$108:D$111)</f>
        <v>#DIV/0!</v>
      </c>
      <c r="Z110" s="187" t="e">
        <f t="shared" si="25"/>
        <v>#DIV/0!</v>
      </c>
      <c r="AA110" s="187" t="e">
        <f t="shared" si="25"/>
        <v>#DIV/0!</v>
      </c>
      <c r="AB110" s="187" t="e">
        <f t="shared" si="25"/>
        <v>#DIV/0!</v>
      </c>
      <c r="AC110" s="187" t="e">
        <f t="shared" si="25"/>
        <v>#DIV/0!</v>
      </c>
      <c r="AD110" s="187" t="e">
        <f t="shared" si="25"/>
        <v>#DIV/0!</v>
      </c>
      <c r="AE110" s="187" t="e">
        <f t="shared" si="25"/>
        <v>#DIV/0!</v>
      </c>
      <c r="AF110" s="187" t="e">
        <f t="shared" si="25"/>
        <v>#DIV/0!</v>
      </c>
      <c r="AG110" s="187" t="e">
        <f t="shared" si="25"/>
        <v>#DIV/0!</v>
      </c>
      <c r="AH110" s="187" t="e">
        <f t="shared" si="25"/>
        <v>#DIV/0!</v>
      </c>
      <c r="AI110" s="187" t="e">
        <f t="shared" si="25"/>
        <v>#DIV/0!</v>
      </c>
      <c r="AJ110" s="187" t="e">
        <f t="shared" si="25"/>
        <v>#DIV/0!</v>
      </c>
      <c r="AK110" s="187" t="e">
        <f t="shared" si="25"/>
        <v>#DIV/0!</v>
      </c>
      <c r="AL110" s="187" t="e">
        <f t="shared" si="25"/>
        <v>#DIV/0!</v>
      </c>
      <c r="AM110" s="187" t="e">
        <f t="shared" si="25"/>
        <v>#DIV/0!</v>
      </c>
      <c r="AN110" s="187" t="e">
        <f t="shared" si="25"/>
        <v>#DIV/0!</v>
      </c>
    </row>
    <row r="111" spans="2:40" x14ac:dyDescent="0.15">
      <c r="B111" s="309"/>
      <c r="C111" s="143" t="s">
        <v>1040</v>
      </c>
      <c r="D111" s="107" cm="1">
        <f t="array" ref="D111">SUM(SUMIFS('caseload data'!E:E,'caseload data'!$D:$D,"SPO",'caseload data'!$A:$A,"South Central",'caseload data'!$B:$B,{"licence","community"}))</f>
        <v>0</v>
      </c>
      <c r="E111" s="107" cm="1">
        <f t="array" ref="E111">SUM(SUMIFS('caseload data'!F:F,'caseload data'!$D:$D,"SPO",'caseload data'!$A:$A,"South Central",'caseload data'!$B:$B,{"licence","community"}))</f>
        <v>0</v>
      </c>
      <c r="F111" s="107" cm="1">
        <f t="array" ref="F111">SUM(SUMIFS('caseload data'!G:G,'caseload data'!$D:$D,"SPO",'caseload data'!$A:$A,"South Central",'caseload data'!$B:$B,{"licence","community"}))</f>
        <v>0</v>
      </c>
      <c r="G111" s="107" cm="1">
        <f t="array" ref="G111">SUM(SUMIFS('caseload data'!H:H,'caseload data'!$D:$D,"SPO",'caseload data'!$A:$A,"South Central",'caseload data'!$B:$B,{"licence","community"}))</f>
        <v>0</v>
      </c>
      <c r="H111" s="107" cm="1">
        <f t="array" ref="H111">SUM(SUMIFS('caseload data'!I:I,'caseload data'!$D:$D,"SPO",'caseload data'!$A:$A,"South Central",'caseload data'!$B:$B,{"licence","community"}))</f>
        <v>0</v>
      </c>
      <c r="I111" s="107" cm="1">
        <f t="array" ref="I111">SUM(SUMIFS('caseload data'!J:J,'caseload data'!$D:$D,"SPO",'caseload data'!$A:$A,"South Central",'caseload data'!$B:$B,{"licence","community"}))</f>
        <v>0</v>
      </c>
      <c r="J111" s="107" cm="1">
        <f t="array" ref="J111">SUM(SUMIFS('caseload data'!K:K,'caseload data'!$D:$D,"SPO",'caseload data'!$A:$A,"South Central",'caseload data'!$B:$B,{"licence","community"}))</f>
        <v>0</v>
      </c>
      <c r="K111" s="107" cm="1">
        <f t="array" ref="K111">SUM(SUMIFS('caseload data'!L:L,'caseload data'!$D:$D,"SPO",'caseload data'!$A:$A,"South Central",'caseload data'!$B:$B,{"licence","community"}))</f>
        <v>0</v>
      </c>
      <c r="L111" s="107" cm="1">
        <f t="array" ref="L111">SUM(SUMIFS('caseload data'!M:M,'caseload data'!$D:$D,"SPO",'caseload data'!$A:$A,"South Central",'caseload data'!$B:$B,{"licence","community"}))</f>
        <v>0</v>
      </c>
      <c r="M111" s="107" cm="1">
        <f t="array" ref="M111">SUM(SUMIFS('caseload data'!N:N,'caseload data'!$D:$D,"SPO",'caseload data'!$A:$A,"South Central",'caseload data'!$B:$B,{"licence","community"}))</f>
        <v>0</v>
      </c>
      <c r="N111" s="107" cm="1">
        <f t="array" ref="N111">SUM(SUMIFS('caseload data'!O:O,'caseload data'!$D:$D,"SPO",'caseload data'!$A:$A,"South Central",'caseload data'!$B:$B,{"licence","community"}))</f>
        <v>0</v>
      </c>
      <c r="O111" s="107" cm="1">
        <f t="array" ref="O111">SUM(SUMIFS('caseload data'!P:P,'caseload data'!$D:$D,"SPO",'caseload data'!$A:$A,"South Central",'caseload data'!$B:$B,{"licence","community"}))</f>
        <v>0</v>
      </c>
      <c r="P111" s="107" cm="1">
        <f t="array" ref="P111">SUM(SUMIFS('caseload data'!Q:Q,'caseload data'!$D:$D,"SPO",'caseload data'!$A:$A,"South Central",'caseload data'!$B:$B,{"licence","community"}))</f>
        <v>0</v>
      </c>
      <c r="Q111" s="107" cm="1">
        <f t="array" ref="Q111">SUM(SUMIFS('caseload data'!R:R,'caseload data'!$D:$D,"SPO",'caseload data'!$A:$A,"South Central",'caseload data'!$B:$B,{"licence","community"}))</f>
        <v>0</v>
      </c>
      <c r="R111" s="107" cm="1">
        <f t="array" ref="R111">SUM(SUMIFS('caseload data'!S:S,'caseload data'!$D:$D,"SPO",'caseload data'!$A:$A,"South Central",'caseload data'!$B:$B,{"licence","community"}))</f>
        <v>0</v>
      </c>
      <c r="S111" s="107" cm="1">
        <f t="array" ref="S111">SUM(SUMIFS('caseload data'!T:T,'caseload data'!$D:$D,"SPO",'caseload data'!$A:$A,"South Central",'caseload data'!$B:$B,{"licence","community"}))</f>
        <v>0</v>
      </c>
      <c r="T111" s="107" cm="1">
        <f t="array" ref="T111">SUM(SUMIFS('caseload data'!V:V,'caseload data'!$D:$D,"SPO",'caseload data'!$A:$A,"South Central",'caseload data'!$B:$B,{"licence","community"}))</f>
        <v>0</v>
      </c>
      <c r="U111" s="76"/>
      <c r="V111" s="76"/>
      <c r="W111" s="309"/>
      <c r="X111" s="143" t="s">
        <v>1040</v>
      </c>
      <c r="Y111" s="187" t="e">
        <f>SUM(D111)/SUM(D$108:D$111)</f>
        <v>#DIV/0!</v>
      </c>
      <c r="Z111" s="187" t="e">
        <f t="shared" si="25"/>
        <v>#DIV/0!</v>
      </c>
      <c r="AA111" s="187" t="e">
        <f t="shared" si="25"/>
        <v>#DIV/0!</v>
      </c>
      <c r="AB111" s="187" t="e">
        <f t="shared" si="25"/>
        <v>#DIV/0!</v>
      </c>
      <c r="AC111" s="187" t="e">
        <f t="shared" si="25"/>
        <v>#DIV/0!</v>
      </c>
      <c r="AD111" s="187" t="e">
        <f t="shared" si="25"/>
        <v>#DIV/0!</v>
      </c>
      <c r="AE111" s="187" t="e">
        <f t="shared" si="25"/>
        <v>#DIV/0!</v>
      </c>
      <c r="AF111" s="187" t="e">
        <f t="shared" si="25"/>
        <v>#DIV/0!</v>
      </c>
      <c r="AG111" s="187" t="e">
        <f t="shared" si="25"/>
        <v>#DIV/0!</v>
      </c>
      <c r="AH111" s="187" t="e">
        <f t="shared" si="25"/>
        <v>#DIV/0!</v>
      </c>
      <c r="AI111" s="187" t="e">
        <f t="shared" si="25"/>
        <v>#DIV/0!</v>
      </c>
      <c r="AJ111" s="187" t="e">
        <f t="shared" si="25"/>
        <v>#DIV/0!</v>
      </c>
      <c r="AK111" s="187" t="e">
        <f t="shared" si="25"/>
        <v>#DIV/0!</v>
      </c>
      <c r="AL111" s="187" t="e">
        <f t="shared" si="25"/>
        <v>#DIV/0!</v>
      </c>
      <c r="AM111" s="187" t="e">
        <f t="shared" si="25"/>
        <v>#DIV/0!</v>
      </c>
      <c r="AN111" s="187" t="e">
        <f t="shared" si="25"/>
        <v>#DIV/0!</v>
      </c>
    </row>
    <row r="112" spans="2:40" x14ac:dyDescent="0.15">
      <c r="B112" s="303" t="s">
        <v>26</v>
      </c>
      <c r="C112" s="141" t="s">
        <v>1037</v>
      </c>
      <c r="D112" s="107" cm="1">
        <f t="array" ref="D112">SUM(SUMIFS('caseload data'!E:E,'caseload data'!$D:$D,"PO",'caseload data'!$A:$A,$B$112,'caseload data'!$B:$B,{"licence","community"}))</f>
        <v>0</v>
      </c>
      <c r="E112" s="107" cm="1">
        <f t="array" ref="E112">SUM(SUMIFS('caseload data'!F:F,'caseload data'!$D:$D,"PO",'caseload data'!$A:$A,$B$112,'caseload data'!$B:$B,{"licence","community"}))</f>
        <v>0</v>
      </c>
      <c r="F112" s="107" cm="1">
        <f t="array" ref="F112">SUM(SUMIFS('caseload data'!G:G,'caseload data'!$D:$D,"PO",'caseload data'!$A:$A,$B$112,'caseload data'!$B:$B,{"licence","community"}))</f>
        <v>0</v>
      </c>
      <c r="G112" s="107" cm="1">
        <f t="array" ref="G112">SUM(SUMIFS('caseload data'!H:H,'caseload data'!$D:$D,"PO",'caseload data'!$A:$A,$B$112,'caseload data'!$B:$B,{"licence","community"}))</f>
        <v>0</v>
      </c>
      <c r="H112" s="107" cm="1">
        <f t="array" ref="H112">SUM(SUMIFS('caseload data'!I:I,'caseload data'!$D:$D,"PO",'caseload data'!$A:$A,$B$112,'caseload data'!$B:$B,{"licence","community"}))</f>
        <v>0</v>
      </c>
      <c r="I112" s="107" cm="1">
        <f t="array" ref="I112">SUM(SUMIFS('caseload data'!J:J,'caseload data'!$D:$D,"PO",'caseload data'!$A:$A,$B$112,'caseload data'!$B:$B,{"licence","community"}))</f>
        <v>0</v>
      </c>
      <c r="J112" s="107" cm="1">
        <f t="array" ref="J112">SUM(SUMIFS('caseload data'!K:K,'caseload data'!$D:$D,"PO",'caseload data'!$A:$A,$B$112,'caseload data'!$B:$B,{"licence","community"}))</f>
        <v>0</v>
      </c>
      <c r="K112" s="107" cm="1">
        <f t="array" ref="K112">SUM(SUMIFS('caseload data'!L:L,'caseload data'!$D:$D,"PO",'caseload data'!$A:$A,$B$112,'caseload data'!$B:$B,{"licence","community"}))</f>
        <v>0</v>
      </c>
      <c r="L112" s="107" cm="1">
        <f t="array" ref="L112">SUM(SUMIFS('caseload data'!M:M,'caseload data'!$D:$D,"PO",'caseload data'!$A:$A,$B$112,'caseload data'!$B:$B,{"licence","community"}))</f>
        <v>0</v>
      </c>
      <c r="M112" s="107" cm="1">
        <f t="array" ref="M112">SUM(SUMIFS('caseload data'!N:N,'caseload data'!$D:$D,"PO",'caseload data'!$A:$A,$B$112,'caseload data'!$B:$B,{"licence","community"}))</f>
        <v>0</v>
      </c>
      <c r="N112" s="107" cm="1">
        <f t="array" ref="N112">SUM(SUMIFS('caseload data'!O:O,'caseload data'!$D:$D,"PO",'caseload data'!$A:$A,$B$112,'caseload data'!$B:$B,{"licence","community"}))</f>
        <v>0</v>
      </c>
      <c r="O112" s="107" cm="1">
        <f t="array" ref="O112">SUM(SUMIFS('caseload data'!P:P,'caseload data'!$D:$D,"PO",'caseload data'!$A:$A,$B$112,'caseload data'!$B:$B,{"licence","community"}))</f>
        <v>0</v>
      </c>
      <c r="P112" s="107" cm="1">
        <f t="array" ref="P112">SUM(SUMIFS('caseload data'!Q:Q,'caseload data'!$D:$D,"PO",'caseload data'!$A:$A,$B$112,'caseload data'!$B:$B,{"licence","community"}))</f>
        <v>0</v>
      </c>
      <c r="Q112" s="107" cm="1">
        <f t="array" ref="Q112">SUM(SUMIFS('caseload data'!R:R,'caseload data'!$D:$D,"PO",'caseload data'!$A:$A,$B$112,'caseload data'!$B:$B,{"licence","community"}))</f>
        <v>0</v>
      </c>
      <c r="R112" s="107" cm="1">
        <f t="array" ref="R112">SUM(SUMIFS('caseload data'!S:S,'caseload data'!$D:$D,"PO",'caseload data'!$A:$A,$B$112,'caseload data'!$B:$B,{"licence","community"}))</f>
        <v>0</v>
      </c>
      <c r="S112" s="107" cm="1">
        <f t="array" ref="S112">SUM(SUMIFS('caseload data'!T:T,'caseload data'!$D:$D,"PO",'caseload data'!$A:$A,$B$112,'caseload data'!$B:$B,{"licence","community"}))</f>
        <v>0</v>
      </c>
      <c r="T112" s="107">
        <f>SUM(SUMIFS('caseload data'!V:V,'caseload data'!D:D,"PO",'caseload data'!A:A,B112,'caseload data'!B:B,{"licence","community"}))</f>
        <v>0</v>
      </c>
      <c r="U112" s="76"/>
      <c r="V112" s="76"/>
      <c r="W112" s="303" t="s">
        <v>26</v>
      </c>
      <c r="X112" s="141" t="s">
        <v>1037</v>
      </c>
      <c r="Y112" s="187" t="e">
        <f>SUM(D112)/SUM(D$112:D$115)</f>
        <v>#DIV/0!</v>
      </c>
      <c r="Z112" s="187" t="e">
        <f t="shared" ref="Z112:AN115" si="26">SUM(E112)/SUM(E$112:E$115)</f>
        <v>#DIV/0!</v>
      </c>
      <c r="AA112" s="187" t="e">
        <f t="shared" si="26"/>
        <v>#DIV/0!</v>
      </c>
      <c r="AB112" s="187" t="e">
        <f t="shared" si="26"/>
        <v>#DIV/0!</v>
      </c>
      <c r="AC112" s="187" t="e">
        <f t="shared" si="26"/>
        <v>#DIV/0!</v>
      </c>
      <c r="AD112" s="187" t="e">
        <f t="shared" si="26"/>
        <v>#DIV/0!</v>
      </c>
      <c r="AE112" s="187" t="e">
        <f t="shared" si="26"/>
        <v>#DIV/0!</v>
      </c>
      <c r="AF112" s="187" t="e">
        <f t="shared" si="26"/>
        <v>#DIV/0!</v>
      </c>
      <c r="AG112" s="187" t="e">
        <f t="shared" si="26"/>
        <v>#DIV/0!</v>
      </c>
      <c r="AH112" s="187" t="e">
        <f t="shared" si="26"/>
        <v>#DIV/0!</v>
      </c>
      <c r="AI112" s="187" t="e">
        <f t="shared" si="26"/>
        <v>#DIV/0!</v>
      </c>
      <c r="AJ112" s="187" t="e">
        <f t="shared" si="26"/>
        <v>#DIV/0!</v>
      </c>
      <c r="AK112" s="187" t="e">
        <f t="shared" si="26"/>
        <v>#DIV/0!</v>
      </c>
      <c r="AL112" s="187" t="e">
        <f t="shared" si="26"/>
        <v>#DIV/0!</v>
      </c>
      <c r="AM112" s="187" t="e">
        <f t="shared" si="26"/>
        <v>#DIV/0!</v>
      </c>
      <c r="AN112" s="187" t="e">
        <f t="shared" si="26"/>
        <v>#DIV/0!</v>
      </c>
    </row>
    <row r="113" spans="2:40" x14ac:dyDescent="0.15">
      <c r="B113" s="304"/>
      <c r="C113" s="142" t="s">
        <v>1038</v>
      </c>
      <c r="D113" s="107" cm="1">
        <f t="array" ref="D113">SUM(SUMIFS('caseload data'!E:E,'caseload data'!$D:$D,"PSO",'caseload data'!$A:$A,"South West",'caseload data'!$B:$B,{"licence","community"}))</f>
        <v>0</v>
      </c>
      <c r="E113" s="107" cm="1">
        <f t="array" ref="E113">SUM(SUMIFS('caseload data'!F:F,'caseload data'!$D:$D,"PSO",'caseload data'!$A:$A,"South West",'caseload data'!$B:$B,{"licence","community"}))</f>
        <v>0</v>
      </c>
      <c r="F113" s="107" cm="1">
        <f t="array" ref="F113">SUM(SUMIFS('caseload data'!G:G,'caseload data'!$D:$D,"PSO",'caseload data'!$A:$A,"South West",'caseload data'!$B:$B,{"licence","community"}))</f>
        <v>0</v>
      </c>
      <c r="G113" s="107" cm="1">
        <f t="array" ref="G113">SUM(SUMIFS('caseload data'!H:H,'caseload data'!$D:$D,"PSO",'caseload data'!$A:$A,"South West",'caseload data'!$B:$B,{"licence","community"}))</f>
        <v>0</v>
      </c>
      <c r="H113" s="107" cm="1">
        <f t="array" ref="H113">SUM(SUMIFS('caseload data'!I:I,'caseload data'!$D:$D,"PSO",'caseload data'!$A:$A,"South West",'caseload data'!$B:$B,{"licence","community"}))</f>
        <v>0</v>
      </c>
      <c r="I113" s="107" cm="1">
        <f t="array" ref="I113">SUM(SUMIFS('caseload data'!J:J,'caseload data'!$D:$D,"PSO",'caseload data'!$A:$A,"South West",'caseload data'!$B:$B,{"licence","community"}))</f>
        <v>0</v>
      </c>
      <c r="J113" s="107" cm="1">
        <f t="array" ref="J113">SUM(SUMIFS('caseload data'!K:K,'caseload data'!$D:$D,"PSO",'caseload data'!$A:$A,"South West",'caseload data'!$B:$B,{"licence","community"}))</f>
        <v>0</v>
      </c>
      <c r="K113" s="107" cm="1">
        <f t="array" ref="K113">SUM(SUMIFS('caseload data'!L:L,'caseload data'!$D:$D,"PSO",'caseload data'!$A:$A,"South West",'caseload data'!$B:$B,{"licence","community"}))</f>
        <v>0</v>
      </c>
      <c r="L113" s="107" cm="1">
        <f t="array" ref="L113">SUM(SUMIFS('caseload data'!M:M,'caseload data'!$D:$D,"PSO",'caseload data'!$A:$A,"South West",'caseload data'!$B:$B,{"licence","community"}))</f>
        <v>0</v>
      </c>
      <c r="M113" s="107" cm="1">
        <f t="array" ref="M113">SUM(SUMIFS('caseload data'!N:N,'caseload data'!$D:$D,"PSO",'caseload data'!$A:$A,"South West",'caseload data'!$B:$B,{"licence","community"}))</f>
        <v>0</v>
      </c>
      <c r="N113" s="107" cm="1">
        <f t="array" ref="N113">SUM(SUMIFS('caseload data'!O:O,'caseload data'!$D:$D,"PSO",'caseload data'!$A:$A,"South West",'caseload data'!$B:$B,{"licence","community"}))</f>
        <v>0</v>
      </c>
      <c r="O113" s="107" cm="1">
        <f t="array" ref="O113">SUM(SUMIFS('caseload data'!P:P,'caseload data'!$D:$D,"PSO",'caseload data'!$A:$A,"South West",'caseload data'!$B:$B,{"licence","community"}))</f>
        <v>0</v>
      </c>
      <c r="P113" s="107" cm="1">
        <f t="array" ref="P113">SUM(SUMIFS('caseload data'!Q:Q,'caseload data'!$D:$D,"PSO",'caseload data'!$A:$A,"South West",'caseload data'!$B:$B,{"licence","community"}))</f>
        <v>0</v>
      </c>
      <c r="Q113" s="107" cm="1">
        <f t="array" ref="Q113">SUM(SUMIFS('caseload data'!R:R,'caseload data'!$D:$D,"PSO",'caseload data'!$A:$A,"South West",'caseload data'!$B:$B,{"licence","community"}))</f>
        <v>0</v>
      </c>
      <c r="R113" s="107" cm="1">
        <f t="array" ref="R113">SUM(SUMIFS('caseload data'!S:S,'caseload data'!$D:$D,"PSO",'caseload data'!$A:$A,"South West",'caseload data'!$B:$B,{"licence","community"}))</f>
        <v>0</v>
      </c>
      <c r="S113" s="107" cm="1">
        <f t="array" ref="S113">SUM(SUMIFS('caseload data'!T:T,'caseload data'!$D:$D,"PSO",'caseload data'!$A:$A,"South West",'caseload data'!$B:$B,{"licence","community"}))</f>
        <v>0</v>
      </c>
      <c r="T113" s="107" cm="1">
        <f t="array" ref="T113">SUM(SUMIFS('caseload data'!V:V,'caseload data'!D:D,"PSO",'caseload data'!A:A,"South West",'caseload data'!B:B,{"licence","community"}))</f>
        <v>0</v>
      </c>
      <c r="U113" s="76"/>
      <c r="V113" s="76"/>
      <c r="W113" s="304"/>
      <c r="X113" s="142" t="s">
        <v>1038</v>
      </c>
      <c r="Y113" s="187" t="e">
        <f>SUM(D113)/SUM(D$112:D$115)</f>
        <v>#DIV/0!</v>
      </c>
      <c r="Z113" s="187" t="e">
        <f t="shared" si="26"/>
        <v>#DIV/0!</v>
      </c>
      <c r="AA113" s="187" t="e">
        <f t="shared" si="26"/>
        <v>#DIV/0!</v>
      </c>
      <c r="AB113" s="187" t="e">
        <f t="shared" si="26"/>
        <v>#DIV/0!</v>
      </c>
      <c r="AC113" s="187" t="e">
        <f t="shared" si="26"/>
        <v>#DIV/0!</v>
      </c>
      <c r="AD113" s="187" t="e">
        <f t="shared" si="26"/>
        <v>#DIV/0!</v>
      </c>
      <c r="AE113" s="187" t="e">
        <f t="shared" si="26"/>
        <v>#DIV/0!</v>
      </c>
      <c r="AF113" s="187" t="e">
        <f t="shared" si="26"/>
        <v>#DIV/0!</v>
      </c>
      <c r="AG113" s="187" t="e">
        <f t="shared" si="26"/>
        <v>#DIV/0!</v>
      </c>
      <c r="AH113" s="187" t="e">
        <f t="shared" si="26"/>
        <v>#DIV/0!</v>
      </c>
      <c r="AI113" s="187" t="e">
        <f t="shared" si="26"/>
        <v>#DIV/0!</v>
      </c>
      <c r="AJ113" s="187" t="e">
        <f t="shared" si="26"/>
        <v>#DIV/0!</v>
      </c>
      <c r="AK113" s="187" t="e">
        <f t="shared" si="26"/>
        <v>#DIV/0!</v>
      </c>
      <c r="AL113" s="187" t="e">
        <f t="shared" si="26"/>
        <v>#DIV/0!</v>
      </c>
      <c r="AM113" s="187" t="e">
        <f t="shared" si="26"/>
        <v>#DIV/0!</v>
      </c>
      <c r="AN113" s="187" t="e">
        <f t="shared" si="26"/>
        <v>#DIV/0!</v>
      </c>
    </row>
    <row r="114" spans="2:40" x14ac:dyDescent="0.15">
      <c r="B114" s="304"/>
      <c r="C114" s="142" t="s">
        <v>1039</v>
      </c>
      <c r="D114" s="107" cm="1">
        <f t="array" ref="D114">SUM(SUMIFS('caseload data'!E:E,'caseload data'!$D:$D,"TPO",'caseload data'!$A:$A,"South West",'caseload data'!$B:$B,{"licence","community"}))</f>
        <v>0</v>
      </c>
      <c r="E114" s="107" cm="1">
        <f t="array" ref="E114">SUM(SUMIFS('caseload data'!F:F,'caseload data'!$D:$D,"TPO",'caseload data'!$A:$A,"South West",'caseload data'!$B:$B,{"licence","community"}))</f>
        <v>0</v>
      </c>
      <c r="F114" s="107" cm="1">
        <f t="array" ref="F114">SUM(SUMIFS('caseload data'!G:G,'caseload data'!$D:$D,"TPO",'caseload data'!$A:$A,"South West",'caseload data'!$B:$B,{"licence","community"}))</f>
        <v>0</v>
      </c>
      <c r="G114" s="107" cm="1">
        <f t="array" ref="G114">SUM(SUMIFS('caseload data'!H:H,'caseload data'!$D:$D,"TPO",'caseload data'!$A:$A,"South West",'caseload data'!$B:$B,{"licence","community"}))</f>
        <v>0</v>
      </c>
      <c r="H114" s="107" cm="1">
        <f t="array" ref="H114">SUM(SUMIFS('caseload data'!I:I,'caseload data'!$D:$D,"TPO",'caseload data'!$A:$A,"South West",'caseload data'!$B:$B,{"licence","community"}))</f>
        <v>0</v>
      </c>
      <c r="I114" s="107" cm="1">
        <f t="array" ref="I114">SUM(SUMIFS('caseload data'!J:J,'caseload data'!$D:$D,"TPO",'caseload data'!$A:$A,"South West",'caseload data'!$B:$B,{"licence","community"}))</f>
        <v>0</v>
      </c>
      <c r="J114" s="107" cm="1">
        <f t="array" ref="J114">SUM(SUMIFS('caseload data'!K:K,'caseload data'!$D:$D,"TPO",'caseload data'!$A:$A,"South West",'caseload data'!$B:$B,{"licence","community"}))</f>
        <v>0</v>
      </c>
      <c r="K114" s="107" cm="1">
        <f t="array" ref="K114">SUM(SUMIFS('caseload data'!L:L,'caseload data'!$D:$D,"TPO",'caseload data'!$A:$A,"South West",'caseload data'!$B:$B,{"licence","community"}))</f>
        <v>0</v>
      </c>
      <c r="L114" s="107" cm="1">
        <f t="array" ref="L114">SUM(SUMIFS('caseload data'!M:M,'caseload data'!$D:$D,"TPO",'caseload data'!$A:$A,"South West",'caseload data'!$B:$B,{"licence","community"}))</f>
        <v>0</v>
      </c>
      <c r="M114" s="107" cm="1">
        <f t="array" ref="M114">SUM(SUMIFS('caseload data'!N:N,'caseload data'!$D:$D,"TPO",'caseload data'!$A:$A,"South West",'caseload data'!$B:$B,{"licence","community"}))</f>
        <v>0</v>
      </c>
      <c r="N114" s="107" cm="1">
        <f t="array" ref="N114">SUM(SUMIFS('caseload data'!O:O,'caseload data'!$D:$D,"TPO",'caseload data'!$A:$A,"South West",'caseload data'!$B:$B,{"licence","community"}))</f>
        <v>0</v>
      </c>
      <c r="O114" s="107" cm="1">
        <f t="array" ref="O114">SUM(SUMIFS('caseload data'!P:P,'caseload data'!$D:$D,"TPO",'caseload data'!$A:$A,"South West",'caseload data'!$B:$B,{"licence","community"}))</f>
        <v>0</v>
      </c>
      <c r="P114" s="107" cm="1">
        <f t="array" ref="P114">SUM(SUMIFS('caseload data'!Q:Q,'caseload data'!$D:$D,"TPO",'caseload data'!$A:$A,"South West",'caseload data'!$B:$B,{"licence","community"}))</f>
        <v>0</v>
      </c>
      <c r="Q114" s="107" cm="1">
        <f t="array" ref="Q114">SUM(SUMIFS('caseload data'!R:R,'caseload data'!$D:$D,"TPO",'caseload data'!$A:$A,"South West",'caseload data'!$B:$B,{"licence","community"}))</f>
        <v>0</v>
      </c>
      <c r="R114" s="107" cm="1">
        <f t="array" ref="R114">SUM(SUMIFS('caseload data'!S:S,'caseload data'!$D:$D,"TPO",'caseload data'!$A:$A,"South West",'caseload data'!$B:$B,{"licence","community"}))</f>
        <v>0</v>
      </c>
      <c r="S114" s="107" cm="1">
        <f t="array" ref="S114">SUM(SUMIFS('caseload data'!T:T,'caseload data'!$D:$D,"TPO",'caseload data'!$A:$A,"South West",'caseload data'!$B:$B,{"licence","community"}))</f>
        <v>0</v>
      </c>
      <c r="T114" s="107" cm="1">
        <f t="array" ref="T114">SUM(SUMIFS('caseload data'!V:V,'caseload data'!D:D,"TPO",'caseload data'!A:A,"South West",'caseload data'!B:B,{"licence","community"}))</f>
        <v>0</v>
      </c>
      <c r="U114" s="76"/>
      <c r="V114" s="76"/>
      <c r="W114" s="304"/>
      <c r="X114" s="142" t="s">
        <v>1039</v>
      </c>
      <c r="Y114" s="187" t="e">
        <f>SUM(D114)/SUM(D$112:D$115)</f>
        <v>#DIV/0!</v>
      </c>
      <c r="Z114" s="187" t="e">
        <f t="shared" si="26"/>
        <v>#DIV/0!</v>
      </c>
      <c r="AA114" s="187" t="e">
        <f t="shared" si="26"/>
        <v>#DIV/0!</v>
      </c>
      <c r="AB114" s="187" t="e">
        <f t="shared" si="26"/>
        <v>#DIV/0!</v>
      </c>
      <c r="AC114" s="187" t="e">
        <f t="shared" si="26"/>
        <v>#DIV/0!</v>
      </c>
      <c r="AD114" s="187" t="e">
        <f t="shared" si="26"/>
        <v>#DIV/0!</v>
      </c>
      <c r="AE114" s="187" t="e">
        <f t="shared" si="26"/>
        <v>#DIV/0!</v>
      </c>
      <c r="AF114" s="187" t="e">
        <f t="shared" si="26"/>
        <v>#DIV/0!</v>
      </c>
      <c r="AG114" s="187" t="e">
        <f t="shared" si="26"/>
        <v>#DIV/0!</v>
      </c>
      <c r="AH114" s="187" t="e">
        <f t="shared" si="26"/>
        <v>#DIV/0!</v>
      </c>
      <c r="AI114" s="187" t="e">
        <f t="shared" si="26"/>
        <v>#DIV/0!</v>
      </c>
      <c r="AJ114" s="187" t="e">
        <f t="shared" si="26"/>
        <v>#DIV/0!</v>
      </c>
      <c r="AK114" s="187" t="e">
        <f t="shared" si="26"/>
        <v>#DIV/0!</v>
      </c>
      <c r="AL114" s="187" t="e">
        <f t="shared" si="26"/>
        <v>#DIV/0!</v>
      </c>
      <c r="AM114" s="187" t="e">
        <f t="shared" si="26"/>
        <v>#DIV/0!</v>
      </c>
      <c r="AN114" s="187" t="e">
        <f t="shared" si="26"/>
        <v>#DIV/0!</v>
      </c>
    </row>
    <row r="115" spans="2:40" x14ac:dyDescent="0.15">
      <c r="B115" s="309"/>
      <c r="C115" s="143" t="s">
        <v>1040</v>
      </c>
      <c r="D115" s="107" cm="1">
        <f t="array" ref="D115">SUM(SUMIFS('caseload data'!E:E,'caseload data'!$D:$D,"SPO",'caseload data'!$A:$A,"South West",'caseload data'!$B:$B,{"licence","community"}))</f>
        <v>0</v>
      </c>
      <c r="E115" s="107" cm="1">
        <f t="array" ref="E115">SUM(SUMIFS('caseload data'!F:F,'caseload data'!$D:$D,"SPO",'caseload data'!$A:$A,"South West",'caseload data'!$B:$B,{"licence","community"}))</f>
        <v>0</v>
      </c>
      <c r="F115" s="107" cm="1">
        <f t="array" ref="F115">SUM(SUMIFS('caseload data'!G:G,'caseload data'!$D:$D,"SPO",'caseload data'!$A:$A,"South West",'caseload data'!$B:$B,{"licence","community"}))</f>
        <v>0</v>
      </c>
      <c r="G115" s="107" cm="1">
        <f t="array" ref="G115">SUM(SUMIFS('caseload data'!H:H,'caseload data'!$D:$D,"SPO",'caseload data'!$A:$A,"South West",'caseload data'!$B:$B,{"licence","community"}))</f>
        <v>0</v>
      </c>
      <c r="H115" s="107" cm="1">
        <f t="array" ref="H115">SUM(SUMIFS('caseload data'!I:I,'caseload data'!$D:$D,"SPO",'caseload data'!$A:$A,"South West",'caseload data'!$B:$B,{"licence","community"}))</f>
        <v>0</v>
      </c>
      <c r="I115" s="107" cm="1">
        <f t="array" ref="I115">SUM(SUMIFS('caseload data'!J:J,'caseload data'!$D:$D,"SPO",'caseload data'!$A:$A,"South West",'caseload data'!$B:$B,{"licence","community"}))</f>
        <v>0</v>
      </c>
      <c r="J115" s="107" cm="1">
        <f t="array" ref="J115">SUM(SUMIFS('caseload data'!K:K,'caseload data'!$D:$D,"SPO",'caseload data'!$A:$A,"South West",'caseload data'!$B:$B,{"licence","community"}))</f>
        <v>0</v>
      </c>
      <c r="K115" s="107" cm="1">
        <f t="array" ref="K115">SUM(SUMIFS('caseload data'!L:L,'caseload data'!$D:$D,"SPO",'caseload data'!$A:$A,"South West",'caseload data'!$B:$B,{"licence","community"}))</f>
        <v>0</v>
      </c>
      <c r="L115" s="107" cm="1">
        <f t="array" ref="L115">SUM(SUMIFS('caseload data'!M:M,'caseload data'!$D:$D,"SPO",'caseload data'!$A:$A,"South West",'caseload data'!$B:$B,{"licence","community"}))</f>
        <v>0</v>
      </c>
      <c r="M115" s="107" cm="1">
        <f t="array" ref="M115">SUM(SUMIFS('caseload data'!N:N,'caseload data'!$D:$D,"SPO",'caseload data'!$A:$A,"South West",'caseload data'!$B:$B,{"licence","community"}))</f>
        <v>0</v>
      </c>
      <c r="N115" s="107" cm="1">
        <f t="array" ref="N115">SUM(SUMIFS('caseload data'!O:O,'caseload data'!$D:$D,"SPO",'caseload data'!$A:$A,"South West",'caseload data'!$B:$B,{"licence","community"}))</f>
        <v>0</v>
      </c>
      <c r="O115" s="107" cm="1">
        <f t="array" ref="O115">SUM(SUMIFS('caseload data'!P:P,'caseload data'!$D:$D,"SPO",'caseload data'!$A:$A,"South West",'caseload data'!$B:$B,{"licence","community"}))</f>
        <v>0</v>
      </c>
      <c r="P115" s="107" cm="1">
        <f t="array" ref="P115">SUM(SUMIFS('caseload data'!Q:Q,'caseload data'!$D:$D,"SPO",'caseload data'!$A:$A,"South West",'caseload data'!$B:$B,{"licence","community"}))</f>
        <v>0</v>
      </c>
      <c r="Q115" s="107" cm="1">
        <f t="array" ref="Q115">SUM(SUMIFS('caseload data'!R:R,'caseload data'!$D:$D,"SPO",'caseload data'!$A:$A,"South West",'caseload data'!$B:$B,{"licence","community"}))</f>
        <v>0</v>
      </c>
      <c r="R115" s="107" cm="1">
        <f t="array" ref="R115">SUM(SUMIFS('caseload data'!S:S,'caseload data'!$D:$D,"SPO",'caseload data'!$A:$A,"South West",'caseload data'!$B:$B,{"licence","community"}))</f>
        <v>0</v>
      </c>
      <c r="S115" s="107" cm="1">
        <f t="array" ref="S115">SUM(SUMIFS('caseload data'!T:T,'caseload data'!$D:$D,"SPO",'caseload data'!$A:$A,"South West",'caseload data'!$B:$B,{"licence","community"}))</f>
        <v>0</v>
      </c>
      <c r="T115" s="107" cm="1">
        <f t="array" ref="T115">SUM(SUMIFS('caseload data'!V:V,'caseload data'!$D:$D,"SPO",'caseload data'!$A:$A,"South West",'caseload data'!$B:$B,{"licence","community"}))</f>
        <v>0</v>
      </c>
      <c r="U115" s="76"/>
      <c r="V115" s="76"/>
      <c r="W115" s="309"/>
      <c r="X115" s="143" t="s">
        <v>1040</v>
      </c>
      <c r="Y115" s="187" t="e">
        <f>SUM(D115)/SUM(D$112:D$115)</f>
        <v>#DIV/0!</v>
      </c>
      <c r="Z115" s="187" t="e">
        <f t="shared" si="26"/>
        <v>#DIV/0!</v>
      </c>
      <c r="AA115" s="187" t="e">
        <f t="shared" si="26"/>
        <v>#DIV/0!</v>
      </c>
      <c r="AB115" s="187" t="e">
        <f t="shared" si="26"/>
        <v>#DIV/0!</v>
      </c>
      <c r="AC115" s="187" t="e">
        <f t="shared" si="26"/>
        <v>#DIV/0!</v>
      </c>
      <c r="AD115" s="187" t="e">
        <f t="shared" si="26"/>
        <v>#DIV/0!</v>
      </c>
      <c r="AE115" s="187" t="e">
        <f t="shared" si="26"/>
        <v>#DIV/0!</v>
      </c>
      <c r="AF115" s="187" t="e">
        <f t="shared" si="26"/>
        <v>#DIV/0!</v>
      </c>
      <c r="AG115" s="187" t="e">
        <f t="shared" si="26"/>
        <v>#DIV/0!</v>
      </c>
      <c r="AH115" s="187" t="e">
        <f t="shared" si="26"/>
        <v>#DIV/0!</v>
      </c>
      <c r="AI115" s="187" t="e">
        <f t="shared" si="26"/>
        <v>#DIV/0!</v>
      </c>
      <c r="AJ115" s="187" t="e">
        <f t="shared" si="26"/>
        <v>#DIV/0!</v>
      </c>
      <c r="AK115" s="187" t="e">
        <f t="shared" si="26"/>
        <v>#DIV/0!</v>
      </c>
      <c r="AL115" s="187" t="e">
        <f t="shared" si="26"/>
        <v>#DIV/0!</v>
      </c>
      <c r="AM115" s="187" t="e">
        <f t="shared" si="26"/>
        <v>#DIV/0!</v>
      </c>
      <c r="AN115" s="187" t="e">
        <f t="shared" si="26"/>
        <v>#DIV/0!</v>
      </c>
    </row>
    <row r="116" spans="2:40" x14ac:dyDescent="0.15">
      <c r="B116" s="303" t="s">
        <v>27</v>
      </c>
      <c r="C116" s="141" t="s">
        <v>1037</v>
      </c>
      <c r="D116" s="107" cm="1">
        <f t="array" ref="D116">SUM(SUMIFS('caseload data'!E:E,'caseload data'!$D:$D,"PO",'caseload data'!$A:$A,$B$116,'caseload data'!$B:$B,{"licence","community"}))</f>
        <v>0</v>
      </c>
      <c r="E116" s="107" cm="1">
        <f t="array" ref="E116">SUM(SUMIFS('caseload data'!F:F,'caseload data'!$D:$D,"PO",'caseload data'!$A:$A,$B$116,'caseload data'!$B:$B,{"licence","community"}))</f>
        <v>0</v>
      </c>
      <c r="F116" s="107" cm="1">
        <f t="array" ref="F116">SUM(SUMIFS('caseload data'!G:G,'caseload data'!$D:$D,"PO",'caseload data'!$A:$A,$B$116,'caseload data'!$B:$B,{"licence","community"}))</f>
        <v>0</v>
      </c>
      <c r="G116" s="107" cm="1">
        <f t="array" ref="G116">SUM(SUMIFS('caseload data'!H:H,'caseload data'!$D:$D,"PO",'caseload data'!$A:$A,$B$116,'caseload data'!$B:$B,{"licence","community"}))</f>
        <v>0</v>
      </c>
      <c r="H116" s="107" cm="1">
        <f t="array" ref="H116">SUM(SUMIFS('caseload data'!I:I,'caseload data'!$D:$D,"PO",'caseload data'!$A:$A,$B$116,'caseload data'!$B:$B,{"licence","community"}))</f>
        <v>0</v>
      </c>
      <c r="I116" s="107" cm="1">
        <f t="array" ref="I116">SUM(SUMIFS('caseload data'!J:J,'caseload data'!$D:$D,"PO",'caseload data'!$A:$A,$B$116,'caseload data'!$B:$B,{"licence","community"}))</f>
        <v>0</v>
      </c>
      <c r="J116" s="107" cm="1">
        <f t="array" ref="J116">SUM(SUMIFS('caseload data'!K:K,'caseload data'!$D:$D,"PO",'caseload data'!$A:$A,$B$116,'caseload data'!$B:$B,{"licence","community"}))</f>
        <v>0</v>
      </c>
      <c r="K116" s="107" cm="1">
        <f t="array" ref="K116">SUM(SUMIFS('caseload data'!L:L,'caseload data'!$D:$D,"PO",'caseload data'!$A:$A,$B$116,'caseload data'!$B:$B,{"licence","community"}))</f>
        <v>0</v>
      </c>
      <c r="L116" s="107" cm="1">
        <f t="array" ref="L116">SUM(SUMIFS('caseload data'!M:M,'caseload data'!$D:$D,"PO",'caseload data'!$A:$A,$B$116,'caseload data'!$B:$B,{"licence","community"}))</f>
        <v>0</v>
      </c>
      <c r="M116" s="107" cm="1">
        <f t="array" ref="M116">SUM(SUMIFS('caseload data'!N:N,'caseload data'!$D:$D,"PO",'caseload data'!$A:$A,$B$116,'caseload data'!$B:$B,{"licence","community"}))</f>
        <v>0</v>
      </c>
      <c r="N116" s="107" cm="1">
        <f t="array" ref="N116">SUM(SUMIFS('caseload data'!O:O,'caseload data'!$D:$D,"PO",'caseload data'!$A:$A,$B$116,'caseload data'!$B:$B,{"licence","community"}))</f>
        <v>0</v>
      </c>
      <c r="O116" s="107" cm="1">
        <f t="array" ref="O116">SUM(SUMIFS('caseload data'!P:P,'caseload data'!$D:$D,"PO",'caseload data'!$A:$A,$B$116,'caseload data'!$B:$B,{"licence","community"}))</f>
        <v>0</v>
      </c>
      <c r="P116" s="107" cm="1">
        <f t="array" ref="P116">SUM(SUMIFS('caseload data'!Q:Q,'caseload data'!$D:$D,"PO",'caseload data'!$A:$A,$B$116,'caseload data'!$B:$B,{"licence","community"}))</f>
        <v>0</v>
      </c>
      <c r="Q116" s="107" cm="1">
        <f t="array" ref="Q116">SUM(SUMIFS('caseload data'!R:R,'caseload data'!$D:$D,"PO",'caseload data'!$A:$A,$B$116,'caseload data'!$B:$B,{"licence","community"}))</f>
        <v>0</v>
      </c>
      <c r="R116" s="107" cm="1">
        <f t="array" ref="R116">SUM(SUMIFS('caseload data'!S:S,'caseload data'!$D:$D,"PO",'caseload data'!$A:$A,$B$116,'caseload data'!$B:$B,{"licence","community"}))</f>
        <v>0</v>
      </c>
      <c r="S116" s="107" cm="1">
        <f t="array" ref="S116">SUM(SUMIFS('caseload data'!T:T,'caseload data'!$D:$D,"PO",'caseload data'!$A:$A,$B$116,'caseload data'!$B:$B,{"licence","community"}))</f>
        <v>0</v>
      </c>
      <c r="T116" s="107" cm="1">
        <f t="array" ref="T116">SUM(SUMIFS('caseload data'!V:V,'caseload data'!D:D,"PO",'caseload data'!A:A,B116,'caseload data'!B:B,{"licence","community"}))</f>
        <v>0</v>
      </c>
      <c r="U116" s="76"/>
      <c r="V116" s="76"/>
      <c r="W116" s="303" t="s">
        <v>27</v>
      </c>
      <c r="X116" s="141" t="s">
        <v>1037</v>
      </c>
      <c r="Y116" s="187" t="e">
        <f>SUM(D116)/SUM(D$116:D$119)</f>
        <v>#DIV/0!</v>
      </c>
      <c r="Z116" s="187" t="e">
        <f t="shared" ref="Z116:AN119" si="27">SUM(E116)/SUM(E$116:E$119)</f>
        <v>#DIV/0!</v>
      </c>
      <c r="AA116" s="187" t="e">
        <f t="shared" si="27"/>
        <v>#DIV/0!</v>
      </c>
      <c r="AB116" s="187" t="e">
        <f t="shared" si="27"/>
        <v>#DIV/0!</v>
      </c>
      <c r="AC116" s="187" t="e">
        <f t="shared" si="27"/>
        <v>#DIV/0!</v>
      </c>
      <c r="AD116" s="187" t="e">
        <f t="shared" si="27"/>
        <v>#DIV/0!</v>
      </c>
      <c r="AE116" s="187" t="e">
        <f t="shared" si="27"/>
        <v>#DIV/0!</v>
      </c>
      <c r="AF116" s="187" t="e">
        <f t="shared" si="27"/>
        <v>#DIV/0!</v>
      </c>
      <c r="AG116" s="187" t="e">
        <f t="shared" si="27"/>
        <v>#DIV/0!</v>
      </c>
      <c r="AH116" s="187" t="e">
        <f t="shared" si="27"/>
        <v>#DIV/0!</v>
      </c>
      <c r="AI116" s="187" t="e">
        <f t="shared" si="27"/>
        <v>#DIV/0!</v>
      </c>
      <c r="AJ116" s="187" t="e">
        <f t="shared" si="27"/>
        <v>#DIV/0!</v>
      </c>
      <c r="AK116" s="187" t="e">
        <f t="shared" si="27"/>
        <v>#DIV/0!</v>
      </c>
      <c r="AL116" s="187" t="e">
        <f t="shared" si="27"/>
        <v>#DIV/0!</v>
      </c>
      <c r="AM116" s="187" t="e">
        <f t="shared" si="27"/>
        <v>#DIV/0!</v>
      </c>
      <c r="AN116" s="187" t="e">
        <f t="shared" si="27"/>
        <v>#DIV/0!</v>
      </c>
    </row>
    <row r="117" spans="2:40" x14ac:dyDescent="0.15">
      <c r="B117" s="304"/>
      <c r="C117" s="142" t="s">
        <v>1038</v>
      </c>
      <c r="D117" s="107" cm="1">
        <f t="array" ref="D117">SUM(SUMIFS('caseload data'!E:E,'caseload data'!$D:$D,"PSO",'caseload data'!$A:$A,"Wales",'caseload data'!$B:$B,{"licence","community"}))</f>
        <v>0</v>
      </c>
      <c r="E117" s="107" cm="1">
        <f t="array" ref="E117">SUM(SUMIFS('caseload data'!F:F,'caseload data'!$D:$D,"PSO",'caseload data'!$A:$A,"Wales",'caseload data'!$B:$B,{"licence","community"}))</f>
        <v>0</v>
      </c>
      <c r="F117" s="107" cm="1">
        <f t="array" ref="F117">SUM(SUMIFS('caseload data'!G:G,'caseload data'!$D:$D,"PSO",'caseload data'!$A:$A,"Wales",'caseload data'!$B:$B,{"licence","community"}))</f>
        <v>0</v>
      </c>
      <c r="G117" s="107" cm="1">
        <f t="array" ref="G117">SUM(SUMIFS('caseload data'!H:H,'caseload data'!$D:$D,"PSO",'caseload data'!$A:$A,"Wales",'caseload data'!$B:$B,{"licence","community"}))</f>
        <v>0</v>
      </c>
      <c r="H117" s="107" cm="1">
        <f t="array" ref="H117">SUM(SUMIFS('caseload data'!I:I,'caseload data'!$D:$D,"PSO",'caseload data'!$A:$A,"Wales",'caseload data'!$B:$B,{"licence","community"}))</f>
        <v>0</v>
      </c>
      <c r="I117" s="107" cm="1">
        <f t="array" ref="I117">SUM(SUMIFS('caseload data'!J:J,'caseload data'!$D:$D,"PSO",'caseload data'!$A:$A,"Wales",'caseload data'!$B:$B,{"licence","community"}))</f>
        <v>0</v>
      </c>
      <c r="J117" s="107" cm="1">
        <f t="array" ref="J117">SUM(SUMIFS('caseload data'!K:K,'caseload data'!$D:$D,"PSO",'caseload data'!$A:$A,"Wales",'caseload data'!$B:$B,{"licence","community"}))</f>
        <v>0</v>
      </c>
      <c r="K117" s="107" cm="1">
        <f t="array" ref="K117">SUM(SUMIFS('caseload data'!L:L,'caseload data'!$D:$D,"PSO",'caseload data'!$A:$A,"Wales",'caseload data'!$B:$B,{"licence","community"}))</f>
        <v>0</v>
      </c>
      <c r="L117" s="107" cm="1">
        <f t="array" ref="L117">SUM(SUMIFS('caseload data'!M:M,'caseload data'!$D:$D,"PSO",'caseload data'!$A:$A,"Wales",'caseload data'!$B:$B,{"licence","community"}))</f>
        <v>0</v>
      </c>
      <c r="M117" s="107" cm="1">
        <f t="array" ref="M117">SUM(SUMIFS('caseload data'!N:N,'caseload data'!$D:$D,"PSO",'caseload data'!$A:$A,"Wales",'caseload data'!$B:$B,{"licence","community"}))</f>
        <v>0</v>
      </c>
      <c r="N117" s="107" cm="1">
        <f t="array" ref="N117">SUM(SUMIFS('caseload data'!O:O,'caseload data'!$D:$D,"PSO",'caseload data'!$A:$A,"Wales",'caseload data'!$B:$B,{"licence","community"}))</f>
        <v>0</v>
      </c>
      <c r="O117" s="107" cm="1">
        <f t="array" ref="O117">SUM(SUMIFS('caseload data'!P:P,'caseload data'!$D:$D,"PSO",'caseload data'!$A:$A,"Wales",'caseload data'!$B:$B,{"licence","community"}))</f>
        <v>0</v>
      </c>
      <c r="P117" s="107" cm="1">
        <f t="array" ref="P117">SUM(SUMIFS('caseload data'!Q:Q,'caseload data'!$D:$D,"PSO",'caseload data'!$A:$A,"Wales",'caseload data'!$B:$B,{"licence","community"}))</f>
        <v>0</v>
      </c>
      <c r="Q117" s="107" cm="1">
        <f t="array" ref="Q117">SUM(SUMIFS('caseload data'!R:R,'caseload data'!$D:$D,"PSO",'caseload data'!$A:$A,"Wales",'caseload data'!$B:$B,{"licence","community"}))</f>
        <v>0</v>
      </c>
      <c r="R117" s="107" cm="1">
        <f t="array" ref="R117">SUM(SUMIFS('caseload data'!S:S,'caseload data'!$D:$D,"PSO",'caseload data'!$A:$A,"Wales",'caseload data'!$B:$B,{"licence","community"}))</f>
        <v>0</v>
      </c>
      <c r="S117" s="107" cm="1">
        <f t="array" ref="S117">SUM(SUMIFS('caseload data'!T:T,'caseload data'!$D:$D,"PSO",'caseload data'!$A:$A,"Wales",'caseload data'!$B:$B,{"licence","community"}))</f>
        <v>0</v>
      </c>
      <c r="T117" s="107" cm="1">
        <f t="array" ref="T117">SUM(SUMIFS('caseload data'!V:V,'caseload data'!$D:$D,"PSO",'caseload data'!$A:$A,"Wales",'caseload data'!$B:$B,{"licence","community"}))</f>
        <v>0</v>
      </c>
      <c r="U117" s="76"/>
      <c r="V117" s="76"/>
      <c r="W117" s="304"/>
      <c r="X117" s="142" t="s">
        <v>1038</v>
      </c>
      <c r="Y117" s="187" t="e">
        <f>SUM(D117)/SUM(D$116:D$119)</f>
        <v>#DIV/0!</v>
      </c>
      <c r="Z117" s="187" t="e">
        <f t="shared" si="27"/>
        <v>#DIV/0!</v>
      </c>
      <c r="AA117" s="187" t="e">
        <f t="shared" si="27"/>
        <v>#DIV/0!</v>
      </c>
      <c r="AB117" s="187" t="e">
        <f t="shared" si="27"/>
        <v>#DIV/0!</v>
      </c>
      <c r="AC117" s="187" t="e">
        <f t="shared" si="27"/>
        <v>#DIV/0!</v>
      </c>
      <c r="AD117" s="187" t="e">
        <f t="shared" si="27"/>
        <v>#DIV/0!</v>
      </c>
      <c r="AE117" s="187" t="e">
        <f t="shared" si="27"/>
        <v>#DIV/0!</v>
      </c>
      <c r="AF117" s="187" t="e">
        <f t="shared" si="27"/>
        <v>#DIV/0!</v>
      </c>
      <c r="AG117" s="187" t="e">
        <f t="shared" si="27"/>
        <v>#DIV/0!</v>
      </c>
      <c r="AH117" s="187" t="e">
        <f t="shared" si="27"/>
        <v>#DIV/0!</v>
      </c>
      <c r="AI117" s="187" t="e">
        <f t="shared" si="27"/>
        <v>#DIV/0!</v>
      </c>
      <c r="AJ117" s="187" t="e">
        <f t="shared" si="27"/>
        <v>#DIV/0!</v>
      </c>
      <c r="AK117" s="187" t="e">
        <f t="shared" si="27"/>
        <v>#DIV/0!</v>
      </c>
      <c r="AL117" s="187" t="e">
        <f t="shared" si="27"/>
        <v>#DIV/0!</v>
      </c>
      <c r="AM117" s="187" t="e">
        <f t="shared" si="27"/>
        <v>#DIV/0!</v>
      </c>
      <c r="AN117" s="187" t="e">
        <f t="shared" si="27"/>
        <v>#DIV/0!</v>
      </c>
    </row>
    <row r="118" spans="2:40" x14ac:dyDescent="0.15">
      <c r="B118" s="304"/>
      <c r="C118" s="142" t="s">
        <v>1039</v>
      </c>
      <c r="D118" s="107" cm="1">
        <f t="array" ref="D118">SUM(SUMIFS('caseload data'!E:E,'caseload data'!$D:$D,"TPO",'caseload data'!$A:$A,"Wales",'caseload data'!$B:$B,{"licence","community"}))</f>
        <v>0</v>
      </c>
      <c r="E118" s="107" cm="1">
        <f t="array" ref="E118">SUM(SUMIFS('caseload data'!F:F,'caseload data'!$D:$D,"TPO",'caseload data'!$A:$A,"Wales",'caseload data'!$B:$B,{"licence","community"}))</f>
        <v>0</v>
      </c>
      <c r="F118" s="107" cm="1">
        <f t="array" ref="F118">SUM(SUMIFS('caseload data'!G:G,'caseload data'!$D:$D,"TPO",'caseload data'!$A:$A,"Wales",'caseload data'!$B:$B,{"licence","community"}))</f>
        <v>0</v>
      </c>
      <c r="G118" s="107" cm="1">
        <f t="array" ref="G118">SUM(SUMIFS('caseload data'!H:H,'caseload data'!$D:$D,"TPO",'caseload data'!$A:$A,"Wales",'caseload data'!$B:$B,{"licence","community"}))</f>
        <v>0</v>
      </c>
      <c r="H118" s="107" cm="1">
        <f t="array" ref="H118">SUM(SUMIFS('caseload data'!I:I,'caseload data'!$D:$D,"TPO",'caseload data'!$A:$A,"Wales",'caseload data'!$B:$B,{"licence","community"}))</f>
        <v>0</v>
      </c>
      <c r="I118" s="107" cm="1">
        <f t="array" ref="I118">SUM(SUMIFS('caseload data'!J:J,'caseload data'!$D:$D,"TPO",'caseload data'!$A:$A,"Wales",'caseload data'!$B:$B,{"licence","community"}))</f>
        <v>0</v>
      </c>
      <c r="J118" s="107" cm="1">
        <f t="array" ref="J118">SUM(SUMIFS('caseload data'!K:K,'caseload data'!$D:$D,"TPO",'caseload data'!$A:$A,"Wales",'caseload data'!$B:$B,{"licence","community"}))</f>
        <v>0</v>
      </c>
      <c r="K118" s="107" cm="1">
        <f t="array" ref="K118">SUM(SUMIFS('caseload data'!L:L,'caseload data'!$D:$D,"TPO",'caseload data'!$A:$A,"Wales",'caseload data'!$B:$B,{"licence","community"}))</f>
        <v>0</v>
      </c>
      <c r="L118" s="107" cm="1">
        <f t="array" ref="L118">SUM(SUMIFS('caseload data'!M:M,'caseload data'!$D:$D,"TPO",'caseload data'!$A:$A,"Wales",'caseload data'!$B:$B,{"licence","community"}))</f>
        <v>0</v>
      </c>
      <c r="M118" s="107" cm="1">
        <f t="array" ref="M118">SUM(SUMIFS('caseload data'!N:N,'caseload data'!$D:$D,"TPO",'caseload data'!$A:$A,"Wales",'caseload data'!$B:$B,{"licence","community"}))</f>
        <v>0</v>
      </c>
      <c r="N118" s="107" cm="1">
        <f t="array" ref="N118">SUM(SUMIFS('caseload data'!O:O,'caseload data'!$D:$D,"TPO",'caseload data'!$A:$A,"Wales",'caseload data'!$B:$B,{"licence","community"}))</f>
        <v>0</v>
      </c>
      <c r="O118" s="107" cm="1">
        <f t="array" ref="O118">SUM(SUMIFS('caseload data'!P:P,'caseload data'!$D:$D,"TPO",'caseload data'!$A:$A,"Wales",'caseload data'!$B:$B,{"licence","community"}))</f>
        <v>0</v>
      </c>
      <c r="P118" s="107" cm="1">
        <f t="array" ref="P118">SUM(SUMIFS('caseload data'!Q:Q,'caseload data'!$D:$D,"TPO",'caseload data'!$A:$A,"Wales",'caseload data'!$B:$B,{"licence","community"}))</f>
        <v>0</v>
      </c>
      <c r="Q118" s="107" cm="1">
        <f t="array" ref="Q118">SUM(SUMIFS('caseload data'!R:R,'caseload data'!$D:$D,"TPO",'caseload data'!$A:$A,"Wales",'caseload data'!$B:$B,{"licence","community"}))</f>
        <v>0</v>
      </c>
      <c r="R118" s="107" cm="1">
        <f t="array" ref="R118">SUM(SUMIFS('caseload data'!S:S,'caseload data'!$D:$D,"TPO",'caseload data'!$A:$A,"Wales",'caseload data'!$B:$B,{"licence","community"}))</f>
        <v>0</v>
      </c>
      <c r="S118" s="107" cm="1">
        <f t="array" ref="S118">SUM(SUMIFS('caseload data'!T:T,'caseload data'!$D:$D,"TPO",'caseload data'!$A:$A,"Wales",'caseload data'!$B:$B,{"licence","community"}))</f>
        <v>0</v>
      </c>
      <c r="T118" s="107" cm="1">
        <f t="array" ref="T118">SUM(SUMIFS('caseload data'!V:V,'caseload data'!D:D,"TPO",'caseload data'!A:A,"Wales",'caseload data'!B:B,{"licence","community"}))</f>
        <v>0</v>
      </c>
      <c r="U118" s="76"/>
      <c r="V118" s="76"/>
      <c r="W118" s="304"/>
      <c r="X118" s="142" t="s">
        <v>1039</v>
      </c>
      <c r="Y118" s="187" t="e">
        <f>SUM(D118)/SUM(D$116:D$119)</f>
        <v>#DIV/0!</v>
      </c>
      <c r="Z118" s="187" t="e">
        <f t="shared" si="27"/>
        <v>#DIV/0!</v>
      </c>
      <c r="AA118" s="187" t="e">
        <f t="shared" si="27"/>
        <v>#DIV/0!</v>
      </c>
      <c r="AB118" s="187" t="e">
        <f t="shared" si="27"/>
        <v>#DIV/0!</v>
      </c>
      <c r="AC118" s="187" t="e">
        <f t="shared" si="27"/>
        <v>#DIV/0!</v>
      </c>
      <c r="AD118" s="187" t="e">
        <f t="shared" si="27"/>
        <v>#DIV/0!</v>
      </c>
      <c r="AE118" s="187" t="e">
        <f t="shared" si="27"/>
        <v>#DIV/0!</v>
      </c>
      <c r="AF118" s="187" t="e">
        <f t="shared" si="27"/>
        <v>#DIV/0!</v>
      </c>
      <c r="AG118" s="187" t="e">
        <f t="shared" si="27"/>
        <v>#DIV/0!</v>
      </c>
      <c r="AH118" s="187" t="e">
        <f t="shared" si="27"/>
        <v>#DIV/0!</v>
      </c>
      <c r="AI118" s="187" t="e">
        <f t="shared" si="27"/>
        <v>#DIV/0!</v>
      </c>
      <c r="AJ118" s="187" t="e">
        <f t="shared" si="27"/>
        <v>#DIV/0!</v>
      </c>
      <c r="AK118" s="187" t="e">
        <f t="shared" si="27"/>
        <v>#DIV/0!</v>
      </c>
      <c r="AL118" s="187" t="e">
        <f t="shared" si="27"/>
        <v>#DIV/0!</v>
      </c>
      <c r="AM118" s="187" t="e">
        <f t="shared" si="27"/>
        <v>#DIV/0!</v>
      </c>
      <c r="AN118" s="187" t="e">
        <f t="shared" si="27"/>
        <v>#DIV/0!</v>
      </c>
    </row>
    <row r="119" spans="2:40" x14ac:dyDescent="0.15">
      <c r="B119" s="309"/>
      <c r="C119" s="143" t="s">
        <v>1040</v>
      </c>
      <c r="D119" s="107" cm="1">
        <f t="array" ref="D119">SUM(SUMIFS('caseload data'!E:E,'caseload data'!$D:$D,"SPO",'caseload data'!$A:$A,"Wales",'caseload data'!$B:$B,{"licence","community"}))</f>
        <v>0</v>
      </c>
      <c r="E119" s="107" cm="1">
        <f t="array" ref="E119">SUM(SUMIFS('caseload data'!F:F,'caseload data'!$D:$D,"SPO",'caseload data'!$A:$A,"Wales",'caseload data'!$B:$B,{"licence","community"}))</f>
        <v>0</v>
      </c>
      <c r="F119" s="107" cm="1">
        <f t="array" ref="F119">SUM(SUMIFS('caseload data'!G:G,'caseload data'!$D:$D,"SPO",'caseload data'!$A:$A,"Wales",'caseload data'!$B:$B,{"licence","community"}))</f>
        <v>0</v>
      </c>
      <c r="G119" s="107" cm="1">
        <f t="array" ref="G119">SUM(SUMIFS('caseload data'!H:H,'caseload data'!$D:$D,"SPO",'caseload data'!$A:$A,"Wales",'caseload data'!$B:$B,{"licence","community"}))</f>
        <v>0</v>
      </c>
      <c r="H119" s="107" cm="1">
        <f t="array" ref="H119">SUM(SUMIFS('caseload data'!I:I,'caseload data'!$D:$D,"SPO",'caseload data'!$A:$A,"Wales",'caseload data'!$B:$B,{"licence","community"}))</f>
        <v>0</v>
      </c>
      <c r="I119" s="107" cm="1">
        <f t="array" ref="I119">SUM(SUMIFS('caseload data'!J:J,'caseload data'!$D:$D,"SPO",'caseload data'!$A:$A,"Wales",'caseload data'!$B:$B,{"licence","community"}))</f>
        <v>0</v>
      </c>
      <c r="J119" s="107" cm="1">
        <f t="array" ref="J119">SUM(SUMIFS('caseload data'!K:K,'caseload data'!$D:$D,"SPO",'caseload data'!$A:$A,"Wales",'caseload data'!$B:$B,{"licence","community"}))</f>
        <v>0</v>
      </c>
      <c r="K119" s="107" cm="1">
        <f t="array" ref="K119">SUM(SUMIFS('caseload data'!L:L,'caseload data'!$D:$D,"SPO",'caseload data'!$A:$A,"Wales",'caseload data'!$B:$B,{"licence","community"}))</f>
        <v>0</v>
      </c>
      <c r="L119" s="107" cm="1">
        <f t="array" ref="L119">SUM(SUMIFS('caseload data'!M:M,'caseload data'!$D:$D,"SPO",'caseload data'!$A:$A,"Wales",'caseload data'!$B:$B,{"licence","community"}))</f>
        <v>0</v>
      </c>
      <c r="M119" s="107" cm="1">
        <f t="array" ref="M119">SUM(SUMIFS('caseload data'!N:N,'caseload data'!$D:$D,"SPO",'caseload data'!$A:$A,"Wales",'caseload data'!$B:$B,{"licence","community"}))</f>
        <v>0</v>
      </c>
      <c r="N119" s="107" cm="1">
        <f t="array" ref="N119">SUM(SUMIFS('caseload data'!O:O,'caseload data'!$D:$D,"SPO",'caseload data'!$A:$A,"Wales",'caseload data'!$B:$B,{"licence","community"}))</f>
        <v>0</v>
      </c>
      <c r="O119" s="107" cm="1">
        <f t="array" ref="O119">SUM(SUMIFS('caseload data'!P:P,'caseload data'!$D:$D,"SPO",'caseload data'!$A:$A,"Wales",'caseload data'!$B:$B,{"licence","community"}))</f>
        <v>0</v>
      </c>
      <c r="P119" s="107" cm="1">
        <f t="array" ref="P119">SUM(SUMIFS('caseload data'!Q:Q,'caseload data'!$D:$D,"SPO",'caseload data'!$A:$A,"Wales",'caseload data'!$B:$B,{"licence","community"}))</f>
        <v>0</v>
      </c>
      <c r="Q119" s="107" cm="1">
        <f t="array" ref="Q119">SUM(SUMIFS('caseload data'!R:R,'caseload data'!$D:$D,"SPO",'caseload data'!$A:$A,"Wales",'caseload data'!$B:$B,{"licence","community"}))</f>
        <v>0</v>
      </c>
      <c r="R119" s="107" cm="1">
        <f t="array" ref="R119">SUM(SUMIFS('caseload data'!S:S,'caseload data'!$D:$D,"SPO",'caseload data'!$A:$A,"Wales",'caseload data'!$B:$B,{"licence","community"}))</f>
        <v>0</v>
      </c>
      <c r="S119" s="107" cm="1">
        <f t="array" ref="S119">SUM(SUMIFS('caseload data'!T:T,'caseload data'!$D:$D,"SPO",'caseload data'!$A:$A,"Wales",'caseload data'!$B:$B,{"licence","community"}))</f>
        <v>0</v>
      </c>
      <c r="T119" s="107" cm="1">
        <f t="array" ref="T119">SUM(SUMIFS('caseload data'!V:V,'caseload data'!$D:$D,"SPO",'caseload data'!$A:$A,"Wales",'caseload data'!$B:$B,{"licence","community"}))</f>
        <v>0</v>
      </c>
      <c r="U119" s="76"/>
      <c r="V119" s="76"/>
      <c r="W119" s="309"/>
      <c r="X119" s="143" t="s">
        <v>1040</v>
      </c>
      <c r="Y119" s="187" t="e">
        <f>SUM(D119)/SUM(D$116:D$119)</f>
        <v>#DIV/0!</v>
      </c>
      <c r="Z119" s="187" t="e">
        <f t="shared" si="27"/>
        <v>#DIV/0!</v>
      </c>
      <c r="AA119" s="187" t="e">
        <f t="shared" si="27"/>
        <v>#DIV/0!</v>
      </c>
      <c r="AB119" s="187" t="e">
        <f t="shared" si="27"/>
        <v>#DIV/0!</v>
      </c>
      <c r="AC119" s="187" t="e">
        <f t="shared" si="27"/>
        <v>#DIV/0!</v>
      </c>
      <c r="AD119" s="187" t="e">
        <f t="shared" si="27"/>
        <v>#DIV/0!</v>
      </c>
      <c r="AE119" s="187" t="e">
        <f t="shared" si="27"/>
        <v>#DIV/0!</v>
      </c>
      <c r="AF119" s="187" t="e">
        <f t="shared" si="27"/>
        <v>#DIV/0!</v>
      </c>
      <c r="AG119" s="187" t="e">
        <f t="shared" si="27"/>
        <v>#DIV/0!</v>
      </c>
      <c r="AH119" s="187" t="e">
        <f t="shared" si="27"/>
        <v>#DIV/0!</v>
      </c>
      <c r="AI119" s="187" t="e">
        <f t="shared" si="27"/>
        <v>#DIV/0!</v>
      </c>
      <c r="AJ119" s="187" t="e">
        <f t="shared" si="27"/>
        <v>#DIV/0!</v>
      </c>
      <c r="AK119" s="187" t="e">
        <f t="shared" si="27"/>
        <v>#DIV/0!</v>
      </c>
      <c r="AL119" s="187" t="e">
        <f t="shared" si="27"/>
        <v>#DIV/0!</v>
      </c>
      <c r="AM119" s="187" t="e">
        <f t="shared" si="27"/>
        <v>#DIV/0!</v>
      </c>
      <c r="AN119" s="187" t="e">
        <f t="shared" si="27"/>
        <v>#DIV/0!</v>
      </c>
    </row>
    <row r="120" spans="2:40" x14ac:dyDescent="0.15">
      <c r="B120" s="303" t="s">
        <v>28</v>
      </c>
      <c r="C120" s="141" t="s">
        <v>1037</v>
      </c>
      <c r="D120" s="107" cm="1">
        <f t="array" ref="D120">SUM(SUMIFS('caseload data'!E:E,'caseload data'!$D:$D,"PO",'caseload data'!$A:$A,$B$120,'caseload data'!$B:$B,{"licence","community"}))</f>
        <v>0</v>
      </c>
      <c r="E120" s="107" cm="1">
        <f t="array" ref="E120">SUM(SUMIFS('caseload data'!F:F,'caseload data'!$D:$D,"PO",'caseload data'!$A:$A,$B$120,'caseload data'!$B:$B,{"licence","community"}))</f>
        <v>0</v>
      </c>
      <c r="F120" s="107" cm="1">
        <f t="array" ref="F120">SUM(SUMIFS('caseload data'!G:G,'caseload data'!$D:$D,"PO",'caseload data'!$A:$A,$B$120,'caseload data'!$B:$B,{"licence","community"}))</f>
        <v>0</v>
      </c>
      <c r="G120" s="107" cm="1">
        <f t="array" ref="G120">SUM(SUMIFS('caseload data'!H:H,'caseload data'!$D:$D,"PO",'caseload data'!$A:$A,$B$120,'caseload data'!$B:$B,{"licence","community"}))</f>
        <v>0</v>
      </c>
      <c r="H120" s="107" cm="1">
        <f t="array" ref="H120">SUM(SUMIFS('caseload data'!I:I,'caseload data'!$D:$D,"PO",'caseload data'!$A:$A,$B$120,'caseload data'!$B:$B,{"licence","community"}))</f>
        <v>0</v>
      </c>
      <c r="I120" s="107" cm="1">
        <f t="array" ref="I120">SUM(SUMIFS('caseload data'!J:J,'caseload data'!$D:$D,"PO",'caseload data'!$A:$A,$B$120,'caseload data'!$B:$B,{"licence","community"}))</f>
        <v>0</v>
      </c>
      <c r="J120" s="107" cm="1">
        <f t="array" ref="J120">SUM(SUMIFS('caseload data'!K:K,'caseload data'!$D:$D,"PO",'caseload data'!$A:$A,$B$120,'caseload data'!$B:$B,{"licence","community"}))</f>
        <v>0</v>
      </c>
      <c r="K120" s="107" cm="1">
        <f t="array" ref="K120">SUM(SUMIFS('caseload data'!L:L,'caseload data'!$D:$D,"PO",'caseload data'!$A:$A,$B$120,'caseload data'!$B:$B,{"licence","community"}))</f>
        <v>0</v>
      </c>
      <c r="L120" s="107" cm="1">
        <f t="array" ref="L120">SUM(SUMIFS('caseload data'!M:M,'caseload data'!$D:$D,"PO",'caseload data'!$A:$A,$B$120,'caseload data'!$B:$B,{"licence","community"}))</f>
        <v>0</v>
      </c>
      <c r="M120" s="107" cm="1">
        <f t="array" ref="M120">SUM(SUMIFS('caseload data'!N:N,'caseload data'!$D:$D,"PO",'caseload data'!$A:$A,$B$120,'caseload data'!$B:$B,{"licence","community"}))</f>
        <v>0</v>
      </c>
      <c r="N120" s="107" cm="1">
        <f t="array" ref="N120">SUM(SUMIFS('caseload data'!O:O,'caseload data'!$D:$D,"PO",'caseload data'!$A:$A,$B$120,'caseload data'!$B:$B,{"licence","community"}))</f>
        <v>0</v>
      </c>
      <c r="O120" s="107" cm="1">
        <f t="array" ref="O120">SUM(SUMIFS('caseload data'!P:P,'caseload data'!$D:$D,"PO",'caseload data'!$A:$A,$B$120,'caseload data'!$B:$B,{"licence","community"}))</f>
        <v>0</v>
      </c>
      <c r="P120" s="107" cm="1">
        <f t="array" ref="P120">SUM(SUMIFS('caseload data'!Q:Q,'caseload data'!$D:$D,"PO",'caseload data'!$A:$A,$B$120,'caseload data'!$B:$B,{"licence","community"}))</f>
        <v>0</v>
      </c>
      <c r="Q120" s="107" cm="1">
        <f t="array" ref="Q120">SUM(SUMIFS('caseload data'!R:R,'caseload data'!$D:$D,"PO",'caseload data'!$A:$A,$B$120,'caseload data'!$B:$B,{"licence","community"}))</f>
        <v>0</v>
      </c>
      <c r="R120" s="107" cm="1">
        <f t="array" ref="R120">SUM(SUMIFS('caseload data'!S:S,'caseload data'!$D:$D,"PO",'caseload data'!$A:$A,$B$120,'caseload data'!$B:$B,{"licence","community"}))</f>
        <v>0</v>
      </c>
      <c r="S120" s="107" cm="1">
        <f t="array" ref="S120">SUM(SUMIFS('caseload data'!T:T,'caseload data'!$D:$D,"PO",'caseload data'!$A:$A,$B$120,'caseload data'!$B:$B,{"licence","community"}))</f>
        <v>0</v>
      </c>
      <c r="T120" s="107">
        <f>SUM(SUMIFS('caseload data'!V:V,'caseload data'!D:D,"PO",'caseload data'!A:A,B120,'caseload data'!B:B,{"licence","community"}))</f>
        <v>0</v>
      </c>
      <c r="U120" s="76"/>
      <c r="V120" s="76"/>
      <c r="W120" s="303" t="s">
        <v>28</v>
      </c>
      <c r="X120" s="141" t="s">
        <v>1037</v>
      </c>
      <c r="Y120" s="187" t="e">
        <f>SUM(D120)/SUM(D$120:D$123)</f>
        <v>#DIV/0!</v>
      </c>
      <c r="Z120" s="187" t="e">
        <f t="shared" ref="Z120:AN123" si="28">SUM(E120)/SUM(E$120:E$123)</f>
        <v>#DIV/0!</v>
      </c>
      <c r="AA120" s="187" t="e">
        <f t="shared" si="28"/>
        <v>#DIV/0!</v>
      </c>
      <c r="AB120" s="187" t="e">
        <f t="shared" si="28"/>
        <v>#DIV/0!</v>
      </c>
      <c r="AC120" s="187" t="e">
        <f t="shared" si="28"/>
        <v>#DIV/0!</v>
      </c>
      <c r="AD120" s="187" t="e">
        <f t="shared" si="28"/>
        <v>#DIV/0!</v>
      </c>
      <c r="AE120" s="187" t="e">
        <f t="shared" si="28"/>
        <v>#DIV/0!</v>
      </c>
      <c r="AF120" s="187" t="e">
        <f t="shared" si="28"/>
        <v>#DIV/0!</v>
      </c>
      <c r="AG120" s="187" t="e">
        <f t="shared" si="28"/>
        <v>#DIV/0!</v>
      </c>
      <c r="AH120" s="187" t="e">
        <f t="shared" si="28"/>
        <v>#DIV/0!</v>
      </c>
      <c r="AI120" s="187" t="e">
        <f t="shared" si="28"/>
        <v>#DIV/0!</v>
      </c>
      <c r="AJ120" s="187" t="e">
        <f t="shared" si="28"/>
        <v>#DIV/0!</v>
      </c>
      <c r="AK120" s="187" t="e">
        <f t="shared" si="28"/>
        <v>#DIV/0!</v>
      </c>
      <c r="AL120" s="187" t="e">
        <f t="shared" si="28"/>
        <v>#DIV/0!</v>
      </c>
      <c r="AM120" s="187" t="e">
        <f t="shared" si="28"/>
        <v>#DIV/0!</v>
      </c>
      <c r="AN120" s="187" t="e">
        <f t="shared" si="28"/>
        <v>#DIV/0!</v>
      </c>
    </row>
    <row r="121" spans="2:40" x14ac:dyDescent="0.15">
      <c r="B121" s="304"/>
      <c r="C121" s="142" t="s">
        <v>1038</v>
      </c>
      <c r="D121" s="107" cm="1">
        <f t="array" ref="D121">SUM(SUMIFS('caseload data'!E:E,'caseload data'!$D:$D,"PSO",'caseload data'!$A:$A,"West Midlands Region",'caseload data'!$B:$B,{"licence","community"}))</f>
        <v>0</v>
      </c>
      <c r="E121" s="107" cm="1">
        <f t="array" ref="E121">SUM(SUMIFS('caseload data'!F:F,'caseload data'!$D:$D,"PSO",'caseload data'!$A:$A,"West Midlands Region",'caseload data'!$B:$B,{"licence","community"}))</f>
        <v>0</v>
      </c>
      <c r="F121" s="107" cm="1">
        <f t="array" ref="F121">SUM(SUMIFS('caseload data'!G:G,'caseload data'!$D:$D,"PSO",'caseload data'!$A:$A,"West Midlands Region",'caseload data'!$B:$B,{"licence","community"}))</f>
        <v>0</v>
      </c>
      <c r="G121" s="107" cm="1">
        <f t="array" ref="G121">SUM(SUMIFS('caseload data'!H:H,'caseload data'!$D:$D,"PSO",'caseload data'!$A:$A,"West Midlands Region",'caseload data'!$B:$B,{"licence","community"}))</f>
        <v>0</v>
      </c>
      <c r="H121" s="107" cm="1">
        <f t="array" ref="H121">SUM(SUMIFS('caseload data'!I:I,'caseload data'!$D:$D,"PSO",'caseload data'!$A:$A,"West Midlands Region",'caseload data'!$B:$B,{"licence","community"}))</f>
        <v>0</v>
      </c>
      <c r="I121" s="107" cm="1">
        <f t="array" ref="I121">SUM(SUMIFS('caseload data'!J:J,'caseload data'!$D:$D,"PSO",'caseload data'!$A:$A,"West Midlands Region",'caseload data'!$B:$B,{"licence","community"}))</f>
        <v>0</v>
      </c>
      <c r="J121" s="107" cm="1">
        <f t="array" ref="J121">SUM(SUMIFS('caseload data'!K:K,'caseload data'!$D:$D,"PSO",'caseload data'!$A:$A,"West Midlands Region",'caseload data'!$B:$B,{"licence","community"}))</f>
        <v>0</v>
      </c>
      <c r="K121" s="107" cm="1">
        <f t="array" ref="K121">SUM(SUMIFS('caseload data'!L:L,'caseload data'!$D:$D,"PSO",'caseload data'!$A:$A,"West Midlands Region",'caseload data'!$B:$B,{"licence","community"}))</f>
        <v>0</v>
      </c>
      <c r="L121" s="107" cm="1">
        <f t="array" ref="L121">SUM(SUMIFS('caseload data'!M:M,'caseload data'!$D:$D,"PSO",'caseload data'!$A:$A,"West Midlands Region",'caseload data'!$B:$B,{"licence","community"}))</f>
        <v>0</v>
      </c>
      <c r="M121" s="107" cm="1">
        <f t="array" ref="M121">SUM(SUMIFS('caseload data'!N:N,'caseload data'!$D:$D,"PSO",'caseload data'!$A:$A,"West Midlands Region",'caseload data'!$B:$B,{"licence","community"}))</f>
        <v>0</v>
      </c>
      <c r="N121" s="107" cm="1">
        <f t="array" ref="N121">SUM(SUMIFS('caseload data'!O:O,'caseload data'!$D:$D,"PSO",'caseload data'!$A:$A,"West Midlands Region",'caseload data'!$B:$B,{"licence","community"}))</f>
        <v>0</v>
      </c>
      <c r="O121" s="107" cm="1">
        <f t="array" ref="O121">SUM(SUMIFS('caseload data'!P:P,'caseload data'!$D:$D,"PSO",'caseload data'!$A:$A,"West Midlands Region",'caseload data'!$B:$B,{"licence","community"}))</f>
        <v>0</v>
      </c>
      <c r="P121" s="107" cm="1">
        <f t="array" ref="P121">SUM(SUMIFS('caseload data'!Q:Q,'caseload data'!$D:$D,"PSO",'caseload data'!$A:$A,"West Midlands Region",'caseload data'!$B:$B,{"licence","community"}))</f>
        <v>0</v>
      </c>
      <c r="Q121" s="107" cm="1">
        <f t="array" ref="Q121">SUM(SUMIFS('caseload data'!R:R,'caseload data'!$D:$D,"PSO",'caseload data'!$A:$A,"West Midlands Region",'caseload data'!$B:$B,{"licence","community"}))</f>
        <v>0</v>
      </c>
      <c r="R121" s="107" cm="1">
        <f t="array" ref="R121">SUM(SUMIFS('caseload data'!S:S,'caseload data'!$D:$D,"PSO",'caseload data'!$A:$A,"West Midlands Region",'caseload data'!$B:$B,{"licence","community"}))</f>
        <v>0</v>
      </c>
      <c r="S121" s="107" cm="1">
        <f t="array" ref="S121">SUM(SUMIFS('caseload data'!T:T,'caseload data'!$D:$D,"PSO",'caseload data'!$A:$A,"West Midlands Region",'caseload data'!$B:$B,{"licence","community"}))</f>
        <v>0</v>
      </c>
      <c r="T121" s="107" cm="1">
        <f t="array" ref="T121">SUM(SUMIFS('caseload data'!V:V,'caseload data'!$D:$D,"PSO",'caseload data'!$A:$A,"West Midlands Region",'caseload data'!$B:$B,{"licence","community"}))</f>
        <v>0</v>
      </c>
      <c r="U121" s="76"/>
      <c r="V121" s="76"/>
      <c r="W121" s="304"/>
      <c r="X121" s="142" t="s">
        <v>1038</v>
      </c>
      <c r="Y121" s="187" t="e">
        <f>SUM(D121)/SUM(D$120:D$123)</f>
        <v>#DIV/0!</v>
      </c>
      <c r="Z121" s="187" t="e">
        <f t="shared" si="28"/>
        <v>#DIV/0!</v>
      </c>
      <c r="AA121" s="187" t="e">
        <f t="shared" si="28"/>
        <v>#DIV/0!</v>
      </c>
      <c r="AB121" s="187" t="e">
        <f t="shared" si="28"/>
        <v>#DIV/0!</v>
      </c>
      <c r="AC121" s="187" t="e">
        <f t="shared" si="28"/>
        <v>#DIV/0!</v>
      </c>
      <c r="AD121" s="187" t="e">
        <f t="shared" si="28"/>
        <v>#DIV/0!</v>
      </c>
      <c r="AE121" s="187" t="e">
        <f t="shared" si="28"/>
        <v>#DIV/0!</v>
      </c>
      <c r="AF121" s="187" t="e">
        <f t="shared" si="28"/>
        <v>#DIV/0!</v>
      </c>
      <c r="AG121" s="187" t="e">
        <f t="shared" si="28"/>
        <v>#DIV/0!</v>
      </c>
      <c r="AH121" s="187" t="e">
        <f t="shared" si="28"/>
        <v>#DIV/0!</v>
      </c>
      <c r="AI121" s="187" t="e">
        <f t="shared" si="28"/>
        <v>#DIV/0!</v>
      </c>
      <c r="AJ121" s="187" t="e">
        <f t="shared" si="28"/>
        <v>#DIV/0!</v>
      </c>
      <c r="AK121" s="187" t="e">
        <f t="shared" si="28"/>
        <v>#DIV/0!</v>
      </c>
      <c r="AL121" s="187" t="e">
        <f t="shared" si="28"/>
        <v>#DIV/0!</v>
      </c>
      <c r="AM121" s="187" t="e">
        <f t="shared" si="28"/>
        <v>#DIV/0!</v>
      </c>
      <c r="AN121" s="187" t="e">
        <f t="shared" si="28"/>
        <v>#DIV/0!</v>
      </c>
    </row>
    <row r="122" spans="2:40" x14ac:dyDescent="0.15">
      <c r="B122" s="304"/>
      <c r="C122" s="142" t="s">
        <v>1039</v>
      </c>
      <c r="D122" s="107" cm="1">
        <f t="array" ref="D122">SUM(SUMIFS('caseload data'!E:E,'caseload data'!$D:$D,"TPO",'caseload data'!$A:$A,"West Midlands Region",'caseload data'!$B:$B,{"licence","community"}))</f>
        <v>0</v>
      </c>
      <c r="E122" s="107" cm="1">
        <f t="array" ref="E122">SUM(SUMIFS('caseload data'!F:F,'caseload data'!$D:$D,"TPO",'caseload data'!$A:$A,"West Midlands Region",'caseload data'!$B:$B,{"licence","community"}))</f>
        <v>0</v>
      </c>
      <c r="F122" s="107" cm="1">
        <f t="array" ref="F122">SUM(SUMIFS('caseload data'!G:G,'caseload data'!$D:$D,"TPO",'caseload data'!$A:$A,"West Midlands Region",'caseload data'!$B:$B,{"licence","community"}))</f>
        <v>0</v>
      </c>
      <c r="G122" s="107" cm="1">
        <f t="array" ref="G122">SUM(SUMIFS('caseload data'!H:H,'caseload data'!$D:$D,"TPO",'caseload data'!$A:$A,"West Midlands Region",'caseload data'!$B:$B,{"licence","community"}))</f>
        <v>0</v>
      </c>
      <c r="H122" s="107" cm="1">
        <f t="array" ref="H122">SUM(SUMIFS('caseload data'!I:I,'caseload data'!$D:$D,"TPO",'caseload data'!$A:$A,"West Midlands Region",'caseload data'!$B:$B,{"licence","community"}))</f>
        <v>0</v>
      </c>
      <c r="I122" s="107" cm="1">
        <f t="array" ref="I122">SUM(SUMIFS('caseload data'!J:J,'caseload data'!$D:$D,"TPO",'caseload data'!$A:$A,"West Midlands Region",'caseload data'!$B:$B,{"licence","community"}))</f>
        <v>0</v>
      </c>
      <c r="J122" s="107" cm="1">
        <f t="array" ref="J122">SUM(SUMIFS('caseload data'!K:K,'caseload data'!$D:$D,"TPO",'caseload data'!$A:$A,"West Midlands Region",'caseload data'!$B:$B,{"licence","community"}))</f>
        <v>0</v>
      </c>
      <c r="K122" s="107" cm="1">
        <f t="array" ref="K122">SUM(SUMIFS('caseload data'!L:L,'caseload data'!$D:$D,"TPO",'caseload data'!$A:$A,"West Midlands Region",'caseload data'!$B:$B,{"licence","community"}))</f>
        <v>0</v>
      </c>
      <c r="L122" s="107" cm="1">
        <f t="array" ref="L122">SUM(SUMIFS('caseload data'!M:M,'caseload data'!$D:$D,"TPO",'caseload data'!$A:$A,"West Midlands Region",'caseload data'!$B:$B,{"licence","community"}))</f>
        <v>0</v>
      </c>
      <c r="M122" s="107" cm="1">
        <f t="array" ref="M122">SUM(SUMIFS('caseload data'!N:N,'caseload data'!$D:$D,"TPO",'caseload data'!$A:$A,"West Midlands Region",'caseload data'!$B:$B,{"licence","community"}))</f>
        <v>0</v>
      </c>
      <c r="N122" s="107" cm="1">
        <f t="array" ref="N122">SUM(SUMIFS('caseload data'!O:O,'caseload data'!$D:$D,"TPO",'caseload data'!$A:$A,"West Midlands Region",'caseload data'!$B:$B,{"licence","community"}))</f>
        <v>0</v>
      </c>
      <c r="O122" s="107" cm="1">
        <f t="array" ref="O122">SUM(SUMIFS('caseload data'!P:P,'caseload data'!$D:$D,"TPO",'caseload data'!$A:$A,"West Midlands Region",'caseload data'!$B:$B,{"licence","community"}))</f>
        <v>0</v>
      </c>
      <c r="P122" s="107" cm="1">
        <f t="array" ref="P122">SUM(SUMIFS('caseload data'!Q:Q,'caseload data'!$D:$D,"TPO",'caseload data'!$A:$A,"West Midlands Region",'caseload data'!$B:$B,{"licence","community"}))</f>
        <v>0</v>
      </c>
      <c r="Q122" s="107" cm="1">
        <f t="array" ref="Q122">SUM(SUMIFS('caseload data'!R:R,'caseload data'!$D:$D,"TPO",'caseload data'!$A:$A,"West Midlands Region",'caseload data'!$B:$B,{"licence","community"}))</f>
        <v>0</v>
      </c>
      <c r="R122" s="107" cm="1">
        <f t="array" ref="R122">SUM(SUMIFS('caseload data'!S:S,'caseload data'!$D:$D,"TPO",'caseload data'!$A:$A,"West Midlands Region",'caseload data'!$B:$B,{"licence","community"}))</f>
        <v>0</v>
      </c>
      <c r="S122" s="107" cm="1">
        <f t="array" ref="S122">SUM(SUMIFS('caseload data'!T:T,'caseload data'!$D:$D,"TPO",'caseload data'!$A:$A,"West Midlands Region",'caseload data'!$B:$B,{"licence","community"}))</f>
        <v>0</v>
      </c>
      <c r="T122" s="107" cm="1">
        <f t="array" ref="T122">SUM(SUMIFS('caseload data'!V:V,'caseload data'!D:D,"TPO",'caseload data'!A:A,"West Midlands Region",'caseload data'!B:B,{"licence","community"}))</f>
        <v>0</v>
      </c>
      <c r="U122" s="76"/>
      <c r="V122" s="76"/>
      <c r="W122" s="304"/>
      <c r="X122" s="142" t="s">
        <v>1039</v>
      </c>
      <c r="Y122" s="187" t="e">
        <f>SUM(D122)/SUM(D$120:D$123)</f>
        <v>#DIV/0!</v>
      </c>
      <c r="Z122" s="187" t="e">
        <f t="shared" si="28"/>
        <v>#DIV/0!</v>
      </c>
      <c r="AA122" s="187" t="e">
        <f t="shared" si="28"/>
        <v>#DIV/0!</v>
      </c>
      <c r="AB122" s="187" t="e">
        <f t="shared" si="28"/>
        <v>#DIV/0!</v>
      </c>
      <c r="AC122" s="187" t="e">
        <f t="shared" si="28"/>
        <v>#DIV/0!</v>
      </c>
      <c r="AD122" s="187" t="e">
        <f t="shared" si="28"/>
        <v>#DIV/0!</v>
      </c>
      <c r="AE122" s="187" t="e">
        <f t="shared" si="28"/>
        <v>#DIV/0!</v>
      </c>
      <c r="AF122" s="187" t="e">
        <f t="shared" si="28"/>
        <v>#DIV/0!</v>
      </c>
      <c r="AG122" s="187" t="e">
        <f t="shared" si="28"/>
        <v>#DIV/0!</v>
      </c>
      <c r="AH122" s="187" t="e">
        <f t="shared" si="28"/>
        <v>#DIV/0!</v>
      </c>
      <c r="AI122" s="187" t="e">
        <f t="shared" si="28"/>
        <v>#DIV/0!</v>
      </c>
      <c r="AJ122" s="187" t="e">
        <f t="shared" si="28"/>
        <v>#DIV/0!</v>
      </c>
      <c r="AK122" s="187" t="e">
        <f t="shared" si="28"/>
        <v>#DIV/0!</v>
      </c>
      <c r="AL122" s="187" t="e">
        <f t="shared" si="28"/>
        <v>#DIV/0!</v>
      </c>
      <c r="AM122" s="187" t="e">
        <f t="shared" si="28"/>
        <v>#DIV/0!</v>
      </c>
      <c r="AN122" s="187" t="e">
        <f t="shared" si="28"/>
        <v>#DIV/0!</v>
      </c>
    </row>
    <row r="123" spans="2:40" x14ac:dyDescent="0.15">
      <c r="B123" s="309"/>
      <c r="C123" s="143" t="s">
        <v>1040</v>
      </c>
      <c r="D123" s="107" cm="1">
        <f t="array" ref="D123">SUM(SUMIFS('caseload data'!E:E,'caseload data'!$D:$D,"SPO",'caseload data'!$A:$A,"West Midlands Region",'caseload data'!$B:$B,{"licence","community"}))</f>
        <v>0</v>
      </c>
      <c r="E123" s="107" cm="1">
        <f t="array" ref="E123">SUM(SUMIFS('caseload data'!F:F,'caseload data'!$D:$D,"SPO",'caseload data'!$A:$A,"West Midlands Region",'caseload data'!$B:$B,{"licence","community"}))</f>
        <v>0</v>
      </c>
      <c r="F123" s="107" cm="1">
        <f t="array" ref="F123">SUM(SUMIFS('caseload data'!G:G,'caseload data'!$D:$D,"SPO",'caseload data'!$A:$A,"West Midlands Region",'caseload data'!$B:$B,{"licence","community"}))</f>
        <v>0</v>
      </c>
      <c r="G123" s="107" cm="1">
        <f t="array" ref="G123">SUM(SUMIFS('caseload data'!H:H,'caseload data'!$D:$D,"SPO",'caseload data'!$A:$A,"West Midlands Region",'caseload data'!$B:$B,{"licence","community"}))</f>
        <v>0</v>
      </c>
      <c r="H123" s="107" cm="1">
        <f t="array" ref="H123">SUM(SUMIFS('caseload data'!I:I,'caseload data'!$D:$D,"SPO",'caseload data'!$A:$A,"West Midlands Region",'caseload data'!$B:$B,{"licence","community"}))</f>
        <v>0</v>
      </c>
      <c r="I123" s="107" cm="1">
        <f t="array" ref="I123">SUM(SUMIFS('caseload data'!J:J,'caseload data'!$D:$D,"SPO",'caseload data'!$A:$A,"West Midlands Region",'caseload data'!$B:$B,{"licence","community"}))</f>
        <v>0</v>
      </c>
      <c r="J123" s="107" cm="1">
        <f t="array" ref="J123">SUM(SUMIFS('caseload data'!K:K,'caseload data'!$D:$D,"SPO",'caseload data'!$A:$A,"West Midlands Region",'caseload data'!$B:$B,{"licence","community"}))</f>
        <v>0</v>
      </c>
      <c r="K123" s="107" cm="1">
        <f t="array" ref="K123">SUM(SUMIFS('caseload data'!L:L,'caseload data'!$D:$D,"SPO",'caseload data'!$A:$A,"West Midlands Region",'caseload data'!$B:$B,{"licence","community"}))</f>
        <v>0</v>
      </c>
      <c r="L123" s="107" cm="1">
        <f t="array" ref="L123">SUM(SUMIFS('caseload data'!M:M,'caseload data'!$D:$D,"SPO",'caseload data'!$A:$A,"West Midlands Region",'caseload data'!$B:$B,{"licence","community"}))</f>
        <v>0</v>
      </c>
      <c r="M123" s="107" cm="1">
        <f t="array" ref="M123">SUM(SUMIFS('caseload data'!N:N,'caseload data'!$D:$D,"SPO",'caseload data'!$A:$A,"West Midlands Region",'caseload data'!$B:$B,{"licence","community"}))</f>
        <v>0</v>
      </c>
      <c r="N123" s="107" cm="1">
        <f t="array" ref="N123">SUM(SUMIFS('caseload data'!O:O,'caseload data'!$D:$D,"SPO",'caseload data'!$A:$A,"West Midlands Region",'caseload data'!$B:$B,{"licence","community"}))</f>
        <v>0</v>
      </c>
      <c r="O123" s="107" cm="1">
        <f t="array" ref="O123">SUM(SUMIFS('caseload data'!P:P,'caseload data'!$D:$D,"SPO",'caseload data'!$A:$A,"West Midlands Region",'caseload data'!$B:$B,{"licence","community"}))</f>
        <v>0</v>
      </c>
      <c r="P123" s="107" cm="1">
        <f t="array" ref="P123">SUM(SUMIFS('caseload data'!Q:Q,'caseload data'!$D:$D,"SPO",'caseload data'!$A:$A,"West Midlands Region",'caseload data'!$B:$B,{"licence","community"}))</f>
        <v>0</v>
      </c>
      <c r="Q123" s="107" cm="1">
        <f t="array" ref="Q123">SUM(SUMIFS('caseload data'!R:R,'caseload data'!$D:$D,"SPO",'caseload data'!$A:$A,"West Midlands Region",'caseload data'!$B:$B,{"licence","community"}))</f>
        <v>0</v>
      </c>
      <c r="R123" s="107" cm="1">
        <f t="array" ref="R123">SUM(SUMIFS('caseload data'!S:S,'caseload data'!$D:$D,"SPO",'caseload data'!$A:$A,"West Midlands Region",'caseload data'!$B:$B,{"licence","community"}))</f>
        <v>0</v>
      </c>
      <c r="S123" s="107" cm="1">
        <f t="array" ref="S123">SUM(SUMIFS('caseload data'!T:T,'caseload data'!$D:$D,"SPO",'caseload data'!$A:$A,"West Midlands Region",'caseload data'!$B:$B,{"licence","community"}))</f>
        <v>0</v>
      </c>
      <c r="T123" s="107" cm="1">
        <f t="array" ref="T123">SUM(SUMIFS('caseload data'!V:V,'caseload data'!$D:$D,"SPO",'caseload data'!$A:$A,"West Midlands Region",'caseload data'!$B:$B,{"licence","community"}))</f>
        <v>0</v>
      </c>
      <c r="U123" s="76"/>
      <c r="V123" s="76"/>
      <c r="W123" s="309"/>
      <c r="X123" s="143" t="s">
        <v>1040</v>
      </c>
      <c r="Y123" s="187" t="e">
        <f>SUM(D123)/SUM(D$120:D$123)</f>
        <v>#DIV/0!</v>
      </c>
      <c r="Z123" s="187" t="e">
        <f t="shared" si="28"/>
        <v>#DIV/0!</v>
      </c>
      <c r="AA123" s="187" t="e">
        <f t="shared" si="28"/>
        <v>#DIV/0!</v>
      </c>
      <c r="AB123" s="187" t="e">
        <f t="shared" si="28"/>
        <v>#DIV/0!</v>
      </c>
      <c r="AC123" s="187" t="e">
        <f t="shared" si="28"/>
        <v>#DIV/0!</v>
      </c>
      <c r="AD123" s="187" t="e">
        <f t="shared" si="28"/>
        <v>#DIV/0!</v>
      </c>
      <c r="AE123" s="187" t="e">
        <f t="shared" si="28"/>
        <v>#DIV/0!</v>
      </c>
      <c r="AF123" s="187" t="e">
        <f t="shared" si="28"/>
        <v>#DIV/0!</v>
      </c>
      <c r="AG123" s="187" t="e">
        <f t="shared" si="28"/>
        <v>#DIV/0!</v>
      </c>
      <c r="AH123" s="187" t="e">
        <f t="shared" si="28"/>
        <v>#DIV/0!</v>
      </c>
      <c r="AI123" s="187" t="e">
        <f t="shared" si="28"/>
        <v>#DIV/0!</v>
      </c>
      <c r="AJ123" s="187" t="e">
        <f t="shared" si="28"/>
        <v>#DIV/0!</v>
      </c>
      <c r="AK123" s="187" t="e">
        <f t="shared" si="28"/>
        <v>#DIV/0!</v>
      </c>
      <c r="AL123" s="187" t="e">
        <f t="shared" si="28"/>
        <v>#DIV/0!</v>
      </c>
      <c r="AM123" s="187" t="e">
        <f t="shared" si="28"/>
        <v>#DIV/0!</v>
      </c>
      <c r="AN123" s="187" t="e">
        <f t="shared" si="28"/>
        <v>#DIV/0!</v>
      </c>
    </row>
    <row r="124" spans="2:40" x14ac:dyDescent="0.15">
      <c r="B124" s="303" t="s">
        <v>1409</v>
      </c>
      <c r="C124" s="141" t="s">
        <v>1037</v>
      </c>
      <c r="D124" s="107" cm="1">
        <f t="array" ref="D124">SUM(SUMIFS('caseload data'!E:E,'caseload data'!$D:$D,"PO",'caseload data'!$A:$A,$B$124,'caseload data'!$B:$B,{"licence","community"}))</f>
        <v>0</v>
      </c>
      <c r="E124" s="107" cm="1">
        <f t="array" ref="E124">SUM(SUMIFS('caseload data'!F:F,'caseload data'!$D:$D,"PO",'caseload data'!$A:$A,$B$124,'caseload data'!$B:$B,{"licence","community"}))</f>
        <v>0</v>
      </c>
      <c r="F124" s="107" cm="1">
        <f t="array" ref="F124">SUM(SUMIFS('caseload data'!G:G,'caseload data'!$D:$D,"PO",'caseload data'!$A:$A,$B$124,'caseload data'!$B:$B,{"licence","community"}))</f>
        <v>0</v>
      </c>
      <c r="G124" s="107" cm="1">
        <f t="array" ref="G124">SUM(SUMIFS('caseload data'!H:H,'caseload data'!$D:$D,"PO",'caseload data'!$A:$A,$B$124,'caseload data'!$B:$B,{"licence","community"}))</f>
        <v>0</v>
      </c>
      <c r="H124" s="107" cm="1">
        <f t="array" ref="H124">SUM(SUMIFS('caseload data'!I:I,'caseload data'!$D:$D,"PO",'caseload data'!$A:$A,$B$124,'caseload data'!$B:$B,{"licence","community"}))</f>
        <v>0</v>
      </c>
      <c r="I124" s="107" cm="1">
        <f t="array" ref="I124">SUM(SUMIFS('caseload data'!J:J,'caseload data'!$D:$D,"PO",'caseload data'!$A:$A,$B$124,'caseload data'!$B:$B,{"licence","community"}))</f>
        <v>0</v>
      </c>
      <c r="J124" s="107" cm="1">
        <f t="array" ref="J124">SUM(SUMIFS('caseload data'!K:K,'caseload data'!$D:$D,"PO",'caseload data'!$A:$A,$B$124,'caseload data'!$B:$B,{"licence","community"}))</f>
        <v>0</v>
      </c>
      <c r="K124" s="107" cm="1">
        <f t="array" ref="K124">SUM(SUMIFS('caseload data'!L:L,'caseload data'!$D:$D,"PO",'caseload data'!$A:$A,$B$124,'caseload data'!$B:$B,{"licence","community"}))</f>
        <v>0</v>
      </c>
      <c r="L124" s="107" cm="1">
        <f t="array" ref="L124">SUM(SUMIFS('caseload data'!M:M,'caseload data'!$D:$D,"PO",'caseload data'!$A:$A,$B$124,'caseload data'!$B:$B,{"licence","community"}))</f>
        <v>0</v>
      </c>
      <c r="M124" s="107" cm="1">
        <f t="array" ref="M124">SUM(SUMIFS('caseload data'!N:N,'caseload data'!$D:$D,"PO",'caseload data'!$A:$A,$B$124,'caseload data'!$B:$B,{"licence","community"}))</f>
        <v>0</v>
      </c>
      <c r="N124" s="107" cm="1">
        <f t="array" ref="N124">SUM(SUMIFS('caseload data'!O:O,'caseload data'!$D:$D,"PO",'caseload data'!$A:$A,$B$124,'caseload data'!$B:$B,{"licence","community"}))</f>
        <v>0</v>
      </c>
      <c r="O124" s="107" cm="1">
        <f t="array" ref="O124">SUM(SUMIFS('caseload data'!P:P,'caseload data'!$D:$D,"PO",'caseload data'!$A:$A,$B$124,'caseload data'!$B:$B,{"licence","community"}))</f>
        <v>0</v>
      </c>
      <c r="P124" s="107" cm="1">
        <f t="array" ref="P124">SUM(SUMIFS('caseload data'!Q:Q,'caseload data'!$D:$D,"PO",'caseload data'!$A:$A,$B$124,'caseload data'!$B:$B,{"licence","community"}))</f>
        <v>0</v>
      </c>
      <c r="Q124" s="107" cm="1">
        <f t="array" ref="Q124">SUM(SUMIFS('caseload data'!R:R,'caseload data'!$D:$D,"PO",'caseload data'!$A:$A,$B$124,'caseload data'!$B:$B,{"licence","community"}))</f>
        <v>0</v>
      </c>
      <c r="R124" s="107" cm="1">
        <f t="array" ref="R124">SUM(SUMIFS('caseload data'!S:S,'caseload data'!$D:$D,"PO",'caseload data'!$A:$A,$B$124,'caseload data'!$B:$B,{"licence","community"}))</f>
        <v>0</v>
      </c>
      <c r="S124" s="107" cm="1">
        <f t="array" ref="S124">SUM(SUMIFS('caseload data'!T:T,'caseload data'!$D:$D,"PO",'caseload data'!$A:$A,$B$124,'caseload data'!$B:$B,{"licence","community"}))</f>
        <v>0</v>
      </c>
      <c r="T124" s="107">
        <f>SUM(SUMIFS('caseload data'!V:V,'caseload data'!D:D,"PO",'caseload data'!A:A,B124,'caseload data'!B:B,{"licence","community"}))</f>
        <v>0</v>
      </c>
      <c r="U124" s="76"/>
      <c r="V124" s="76"/>
      <c r="W124" s="303" t="s">
        <v>1409</v>
      </c>
      <c r="X124" s="141" t="s">
        <v>1037</v>
      </c>
      <c r="Y124" s="187" t="e">
        <f>SUM(D124)/SUM(D$124:D$127)</f>
        <v>#DIV/0!</v>
      </c>
      <c r="Z124" s="187" t="e">
        <f t="shared" ref="Z124:AN127" si="29">SUM(E124)/SUM(E$124:E$127)</f>
        <v>#DIV/0!</v>
      </c>
      <c r="AA124" s="187" t="e">
        <f t="shared" si="29"/>
        <v>#DIV/0!</v>
      </c>
      <c r="AB124" s="187" t="e">
        <f t="shared" si="29"/>
        <v>#DIV/0!</v>
      </c>
      <c r="AC124" s="187" t="e">
        <f t="shared" si="29"/>
        <v>#DIV/0!</v>
      </c>
      <c r="AD124" s="187" t="e">
        <f t="shared" si="29"/>
        <v>#DIV/0!</v>
      </c>
      <c r="AE124" s="187" t="e">
        <f t="shared" si="29"/>
        <v>#DIV/0!</v>
      </c>
      <c r="AF124" s="187" t="e">
        <f t="shared" si="29"/>
        <v>#DIV/0!</v>
      </c>
      <c r="AG124" s="187" t="e">
        <f t="shared" si="29"/>
        <v>#DIV/0!</v>
      </c>
      <c r="AH124" s="187" t="e">
        <f t="shared" si="29"/>
        <v>#DIV/0!</v>
      </c>
      <c r="AI124" s="187" t="e">
        <f t="shared" si="29"/>
        <v>#DIV/0!</v>
      </c>
      <c r="AJ124" s="187" t="e">
        <f t="shared" si="29"/>
        <v>#DIV/0!</v>
      </c>
      <c r="AK124" s="187" t="e">
        <f t="shared" si="29"/>
        <v>#DIV/0!</v>
      </c>
      <c r="AL124" s="187" t="e">
        <f t="shared" si="29"/>
        <v>#DIV/0!</v>
      </c>
      <c r="AM124" s="187" t="e">
        <f t="shared" si="29"/>
        <v>#DIV/0!</v>
      </c>
      <c r="AN124" s="187" t="e">
        <f t="shared" si="29"/>
        <v>#DIV/0!</v>
      </c>
    </row>
    <row r="125" spans="2:40" x14ac:dyDescent="0.15">
      <c r="B125" s="304"/>
      <c r="C125" s="142" t="s">
        <v>1038</v>
      </c>
      <c r="D125" s="107" cm="1">
        <f t="array" ref="D125">SUM(SUMIFS('caseload data'!E:E,'caseload data'!$D:$D,"PSO",'caseload data'!$A:$A,"Yorkshire and The Humber",'caseload data'!$B:$B,{"licence","community"}))</f>
        <v>0</v>
      </c>
      <c r="E125" s="107" cm="1">
        <f t="array" ref="E125">SUM(SUMIFS('caseload data'!F:F,'caseload data'!$D:$D,"PSO",'caseload data'!$A:$A,"Yorkshire and The Humber",'caseload data'!$B:$B,{"licence","community"}))</f>
        <v>0</v>
      </c>
      <c r="F125" s="107" cm="1">
        <f t="array" ref="F125">SUM(SUMIFS('caseload data'!G:G,'caseload data'!$D:$D,"PSO",'caseload data'!$A:$A,"Yorkshire and The Humber",'caseload data'!$B:$B,{"licence","community"}))</f>
        <v>0</v>
      </c>
      <c r="G125" s="107" cm="1">
        <f t="array" ref="G125">SUM(SUMIFS('caseload data'!H:H,'caseload data'!$D:$D,"PSO",'caseload data'!$A:$A,"Yorkshire and The Humber",'caseload data'!$B:$B,{"licence","community"}))</f>
        <v>0</v>
      </c>
      <c r="H125" s="107" cm="1">
        <f t="array" ref="H125">SUM(SUMIFS('caseload data'!I:I,'caseload data'!$D:$D,"PSO",'caseload data'!$A:$A,"Yorkshire and The Humber",'caseload data'!$B:$B,{"licence","community"}))</f>
        <v>0</v>
      </c>
      <c r="I125" s="107" cm="1">
        <f t="array" ref="I125">SUM(SUMIFS('caseload data'!J:J,'caseload data'!$D:$D,"PSO",'caseload data'!$A:$A,"Yorkshire and The Humber",'caseload data'!$B:$B,{"licence","community"}))</f>
        <v>0</v>
      </c>
      <c r="J125" s="107" cm="1">
        <f t="array" ref="J125">SUM(SUMIFS('caseload data'!K:K,'caseload data'!$D:$D,"PSO",'caseload data'!$A:$A,"Yorkshire and The Humber",'caseload data'!$B:$B,{"licence","community"}))</f>
        <v>0</v>
      </c>
      <c r="K125" s="107" cm="1">
        <f t="array" ref="K125">SUM(SUMIFS('caseload data'!L:L,'caseload data'!$D:$D,"PSO",'caseload data'!$A:$A,"Yorkshire and The Humber",'caseload data'!$B:$B,{"licence","community"}))</f>
        <v>0</v>
      </c>
      <c r="L125" s="107" cm="1">
        <f t="array" ref="L125">SUM(SUMIFS('caseload data'!M:M,'caseload data'!$D:$D,"PSO",'caseload data'!$A:$A,"Yorkshire and The Humber",'caseload data'!$B:$B,{"licence","community"}))</f>
        <v>0</v>
      </c>
      <c r="M125" s="107" cm="1">
        <f t="array" ref="M125">SUM(SUMIFS('caseload data'!N:N,'caseload data'!$D:$D,"PSO",'caseload data'!$A:$A,"Yorkshire and The Humber",'caseload data'!$B:$B,{"licence","community"}))</f>
        <v>0</v>
      </c>
      <c r="N125" s="107" cm="1">
        <f t="array" ref="N125">SUM(SUMIFS('caseload data'!O:O,'caseload data'!$D:$D,"PSO",'caseload data'!$A:$A,"Yorkshire and The Humber",'caseload data'!$B:$B,{"licence","community"}))</f>
        <v>0</v>
      </c>
      <c r="O125" s="107" cm="1">
        <f t="array" ref="O125">SUM(SUMIFS('caseload data'!P:P,'caseload data'!$D:$D,"PSO",'caseload data'!$A:$A,"Yorkshire and The Humber",'caseload data'!$B:$B,{"licence","community"}))</f>
        <v>0</v>
      </c>
      <c r="P125" s="107" cm="1">
        <f t="array" ref="P125">SUM(SUMIFS('caseload data'!Q:Q,'caseload data'!$D:$D,"PSO",'caseload data'!$A:$A,"Yorkshire and The Humber",'caseload data'!$B:$B,{"licence","community"}))</f>
        <v>0</v>
      </c>
      <c r="Q125" s="107" cm="1">
        <f t="array" ref="Q125">SUM(SUMIFS('caseload data'!R:R,'caseload data'!$D:$D,"PSO",'caseload data'!$A:$A,"Yorkshire and The Humber",'caseload data'!$B:$B,{"licence","community"}))</f>
        <v>0</v>
      </c>
      <c r="R125" s="107" cm="1">
        <f t="array" ref="R125">SUM(SUMIFS('caseload data'!S:S,'caseload data'!$D:$D,"PSO",'caseload data'!$A:$A,"Yorkshire and The Humber",'caseload data'!$B:$B,{"licence","community"}))</f>
        <v>0</v>
      </c>
      <c r="S125" s="107" cm="1">
        <f t="array" ref="S125">SUM(SUMIFS('caseload data'!T:T,'caseload data'!$D:$D,"PSO",'caseload data'!$A:$A,"Yorkshire and The Humber",'caseload data'!$B:$B,{"licence","community"}))</f>
        <v>0</v>
      </c>
      <c r="T125" s="107" cm="1">
        <f t="array" ref="T125">SUM(SUMIFS('caseload data'!V:V,'caseload data'!$D:$D,"PSO",'caseload data'!$A:$A,"Yorkshire and The Humber",'caseload data'!$B:$B,{"licence","community"}))</f>
        <v>0</v>
      </c>
      <c r="U125" s="76"/>
      <c r="V125" s="76"/>
      <c r="W125" s="304"/>
      <c r="X125" s="142" t="s">
        <v>1038</v>
      </c>
      <c r="Y125" s="187" t="e">
        <f>SUM(D125)/SUM(D$124:D$127)</f>
        <v>#DIV/0!</v>
      </c>
      <c r="Z125" s="187" t="e">
        <f t="shared" si="29"/>
        <v>#DIV/0!</v>
      </c>
      <c r="AA125" s="187" t="e">
        <f t="shared" si="29"/>
        <v>#DIV/0!</v>
      </c>
      <c r="AB125" s="187" t="e">
        <f t="shared" si="29"/>
        <v>#DIV/0!</v>
      </c>
      <c r="AC125" s="187" t="e">
        <f t="shared" si="29"/>
        <v>#DIV/0!</v>
      </c>
      <c r="AD125" s="187" t="e">
        <f t="shared" si="29"/>
        <v>#DIV/0!</v>
      </c>
      <c r="AE125" s="187" t="e">
        <f t="shared" si="29"/>
        <v>#DIV/0!</v>
      </c>
      <c r="AF125" s="187" t="e">
        <f t="shared" si="29"/>
        <v>#DIV/0!</v>
      </c>
      <c r="AG125" s="187" t="e">
        <f t="shared" si="29"/>
        <v>#DIV/0!</v>
      </c>
      <c r="AH125" s="187" t="e">
        <f t="shared" si="29"/>
        <v>#DIV/0!</v>
      </c>
      <c r="AI125" s="187" t="e">
        <f t="shared" si="29"/>
        <v>#DIV/0!</v>
      </c>
      <c r="AJ125" s="187" t="e">
        <f t="shared" si="29"/>
        <v>#DIV/0!</v>
      </c>
      <c r="AK125" s="187" t="e">
        <f t="shared" si="29"/>
        <v>#DIV/0!</v>
      </c>
      <c r="AL125" s="187" t="e">
        <f t="shared" si="29"/>
        <v>#DIV/0!</v>
      </c>
      <c r="AM125" s="187" t="e">
        <f t="shared" si="29"/>
        <v>#DIV/0!</v>
      </c>
      <c r="AN125" s="187" t="e">
        <f t="shared" si="29"/>
        <v>#DIV/0!</v>
      </c>
    </row>
    <row r="126" spans="2:40" x14ac:dyDescent="0.15">
      <c r="B126" s="304"/>
      <c r="C126" s="142" t="s">
        <v>1039</v>
      </c>
      <c r="D126" s="107" cm="1">
        <f t="array" ref="D126">SUM(SUMIFS('caseload data'!E:E,'caseload data'!$D:$D,"TPO",'caseload data'!$A:$A,"Yorkshire and The Humber",'caseload data'!$B:$B,{"licence","community"}))</f>
        <v>0</v>
      </c>
      <c r="E126" s="107" cm="1">
        <f t="array" ref="E126">SUM(SUMIFS('caseload data'!F:F,'caseload data'!$D:$D,"TPO",'caseload data'!$A:$A,"Yorkshire and The Humber",'caseload data'!$B:$B,{"licence","community"}))</f>
        <v>0</v>
      </c>
      <c r="F126" s="107" cm="1">
        <f t="array" ref="F126">SUM(SUMIFS('caseload data'!G:G,'caseload data'!$D:$D,"TPO",'caseload data'!$A:$A,"Yorkshire and The Humber",'caseload data'!$B:$B,{"licence","community"}))</f>
        <v>0</v>
      </c>
      <c r="G126" s="107" cm="1">
        <f t="array" ref="G126">SUM(SUMIFS('caseload data'!H:H,'caseload data'!$D:$D,"TPO",'caseload data'!$A:$A,"Yorkshire and The Humber",'caseload data'!$B:$B,{"licence","community"}))</f>
        <v>0</v>
      </c>
      <c r="H126" s="107" cm="1">
        <f t="array" ref="H126">SUM(SUMIFS('caseload data'!I:I,'caseload data'!$D:$D,"TPO",'caseload data'!$A:$A,"Yorkshire and The Humber",'caseload data'!$B:$B,{"licence","community"}))</f>
        <v>0</v>
      </c>
      <c r="I126" s="107" cm="1">
        <f t="array" ref="I126">SUM(SUMIFS('caseload data'!J:J,'caseload data'!$D:$D,"TPO",'caseload data'!$A:$A,"Yorkshire and The Humber",'caseload data'!$B:$B,{"licence","community"}))</f>
        <v>0</v>
      </c>
      <c r="J126" s="107" cm="1">
        <f t="array" ref="J126">SUM(SUMIFS('caseload data'!K:K,'caseload data'!$D:$D,"TPO",'caseload data'!$A:$A,"Yorkshire and The Humber",'caseload data'!$B:$B,{"licence","community"}))</f>
        <v>0</v>
      </c>
      <c r="K126" s="107" cm="1">
        <f t="array" ref="K126">SUM(SUMIFS('caseload data'!L:L,'caseload data'!$D:$D,"TPO",'caseload data'!$A:$A,"Yorkshire and The Humber",'caseload data'!$B:$B,{"licence","community"}))</f>
        <v>0</v>
      </c>
      <c r="L126" s="107" cm="1">
        <f t="array" ref="L126">SUM(SUMIFS('caseload data'!M:M,'caseload data'!$D:$D,"TPO",'caseload data'!$A:$A,"Yorkshire and The Humber",'caseload data'!$B:$B,{"licence","community"}))</f>
        <v>0</v>
      </c>
      <c r="M126" s="107" cm="1">
        <f t="array" ref="M126">SUM(SUMIFS('caseload data'!N:N,'caseload data'!$D:$D,"TPO",'caseload data'!$A:$A,"Yorkshire and The Humber",'caseload data'!$B:$B,{"licence","community"}))</f>
        <v>0</v>
      </c>
      <c r="N126" s="107" cm="1">
        <f t="array" ref="N126">SUM(SUMIFS('caseload data'!O:O,'caseload data'!$D:$D,"TPO",'caseload data'!$A:$A,"Yorkshire and The Humber",'caseload data'!$B:$B,{"licence","community"}))</f>
        <v>0</v>
      </c>
      <c r="O126" s="107" cm="1">
        <f t="array" ref="O126">SUM(SUMIFS('caseload data'!P:P,'caseload data'!$D:$D,"TPO",'caseload data'!$A:$A,"Yorkshire and The Humber",'caseload data'!$B:$B,{"licence","community"}))</f>
        <v>0</v>
      </c>
      <c r="P126" s="107" cm="1">
        <f t="array" ref="P126">SUM(SUMIFS('caseload data'!Q:Q,'caseload data'!$D:$D,"TPO",'caseload data'!$A:$A,"Yorkshire and The Humber",'caseload data'!$B:$B,{"licence","community"}))</f>
        <v>0</v>
      </c>
      <c r="Q126" s="107" cm="1">
        <f t="array" ref="Q126">SUM(SUMIFS('caseload data'!R:R,'caseload data'!$D:$D,"TPO",'caseload data'!$A:$A,"Yorkshire and The Humber",'caseload data'!$B:$B,{"licence","community"}))</f>
        <v>0</v>
      </c>
      <c r="R126" s="107" cm="1">
        <f t="array" ref="R126">SUM(SUMIFS('caseload data'!S:S,'caseload data'!$D:$D,"TPO",'caseload data'!$A:$A,"Yorkshire and The Humber",'caseload data'!$B:$B,{"licence","community"}))</f>
        <v>0</v>
      </c>
      <c r="S126" s="107" cm="1">
        <f t="array" ref="S126">SUM(SUMIFS('caseload data'!T:T,'caseload data'!$D:$D,"TPO",'caseload data'!$A:$A,"Yorkshire and The Humber",'caseload data'!$B:$B,{"licence","community"}))</f>
        <v>0</v>
      </c>
      <c r="T126" s="107" cm="1">
        <f t="array" ref="T126">SUM(SUMIFS('caseload data'!V:V,'caseload data'!D:D,"TPO",'caseload data'!A:A,"Yorkshire and The Humber",'caseload data'!B:B,{"licence","community"}))</f>
        <v>0</v>
      </c>
      <c r="U126" s="76"/>
      <c r="V126" s="76"/>
      <c r="W126" s="304"/>
      <c r="X126" s="142" t="s">
        <v>1039</v>
      </c>
      <c r="Y126" s="187" t="e">
        <f>SUM(D126)/SUM(D$124:D$127)</f>
        <v>#DIV/0!</v>
      </c>
      <c r="Z126" s="187" t="e">
        <f t="shared" si="29"/>
        <v>#DIV/0!</v>
      </c>
      <c r="AA126" s="187" t="e">
        <f t="shared" si="29"/>
        <v>#DIV/0!</v>
      </c>
      <c r="AB126" s="187" t="e">
        <f t="shared" si="29"/>
        <v>#DIV/0!</v>
      </c>
      <c r="AC126" s="187" t="e">
        <f t="shared" si="29"/>
        <v>#DIV/0!</v>
      </c>
      <c r="AD126" s="187" t="e">
        <f t="shared" si="29"/>
        <v>#DIV/0!</v>
      </c>
      <c r="AE126" s="187" t="e">
        <f t="shared" si="29"/>
        <v>#DIV/0!</v>
      </c>
      <c r="AF126" s="187" t="e">
        <f t="shared" si="29"/>
        <v>#DIV/0!</v>
      </c>
      <c r="AG126" s="187" t="e">
        <f t="shared" si="29"/>
        <v>#DIV/0!</v>
      </c>
      <c r="AH126" s="187" t="e">
        <f t="shared" si="29"/>
        <v>#DIV/0!</v>
      </c>
      <c r="AI126" s="187" t="e">
        <f t="shared" si="29"/>
        <v>#DIV/0!</v>
      </c>
      <c r="AJ126" s="187" t="e">
        <f t="shared" si="29"/>
        <v>#DIV/0!</v>
      </c>
      <c r="AK126" s="187" t="e">
        <f t="shared" si="29"/>
        <v>#DIV/0!</v>
      </c>
      <c r="AL126" s="187" t="e">
        <f t="shared" si="29"/>
        <v>#DIV/0!</v>
      </c>
      <c r="AM126" s="187" t="e">
        <f t="shared" si="29"/>
        <v>#DIV/0!</v>
      </c>
      <c r="AN126" s="187" t="e">
        <f t="shared" si="29"/>
        <v>#DIV/0!</v>
      </c>
    </row>
    <row r="127" spans="2:40" x14ac:dyDescent="0.15">
      <c r="B127" s="309"/>
      <c r="C127" s="143" t="s">
        <v>1040</v>
      </c>
      <c r="D127" s="107" cm="1">
        <f t="array" ref="D127">SUM(SUMIFS('caseload data'!E:E,'caseload data'!$D:$D,"SPO",'caseload data'!$A:$A,"Yorkshire and The Humber",'caseload data'!$B:$B,{"licence","community"}))</f>
        <v>0</v>
      </c>
      <c r="E127" s="107" cm="1">
        <f t="array" ref="E127">SUM(SUMIFS('caseload data'!F:F,'caseload data'!$D:$D,"SPO",'caseload data'!$A:$A,"Yorkshire and The Humber",'caseload data'!$B:$B,{"licence","community"}))</f>
        <v>0</v>
      </c>
      <c r="F127" s="107" cm="1">
        <f t="array" ref="F127">SUM(SUMIFS('caseload data'!G:G,'caseload data'!$D:$D,"SPO",'caseload data'!$A:$A,"Yorkshire and The Humber",'caseload data'!$B:$B,{"licence","community"}))</f>
        <v>0</v>
      </c>
      <c r="G127" s="107" cm="1">
        <f t="array" ref="G127">SUM(SUMIFS('caseload data'!H:H,'caseload data'!$D:$D,"SPO",'caseload data'!$A:$A,"Yorkshire and The Humber",'caseload data'!$B:$B,{"licence","community"}))</f>
        <v>0</v>
      </c>
      <c r="H127" s="107" cm="1">
        <f t="array" ref="H127">SUM(SUMIFS('caseload data'!I:I,'caseload data'!$D:$D,"SPO",'caseload data'!$A:$A,"Yorkshire and The Humber",'caseload data'!$B:$B,{"licence","community"}))</f>
        <v>0</v>
      </c>
      <c r="I127" s="107" cm="1">
        <f t="array" ref="I127">SUM(SUMIFS('caseload data'!J:J,'caseload data'!$D:$D,"SPO",'caseload data'!$A:$A,"Yorkshire and The Humber",'caseload data'!$B:$B,{"licence","community"}))</f>
        <v>0</v>
      </c>
      <c r="J127" s="107" cm="1">
        <f t="array" ref="J127">SUM(SUMIFS('caseload data'!K:K,'caseload data'!$D:$D,"SPO",'caseload data'!$A:$A,"Yorkshire and The Humber",'caseload data'!$B:$B,{"licence","community"}))</f>
        <v>0</v>
      </c>
      <c r="K127" s="107" cm="1">
        <f t="array" ref="K127">SUM(SUMIFS('caseload data'!L:L,'caseload data'!$D:$D,"SPO",'caseload data'!$A:$A,"Yorkshire and The Humber",'caseload data'!$B:$B,{"licence","community"}))</f>
        <v>0</v>
      </c>
      <c r="L127" s="107" cm="1">
        <f t="array" ref="L127">SUM(SUMIFS('caseload data'!M:M,'caseload data'!$D:$D,"SPO",'caseload data'!$A:$A,"Yorkshire and The Humber",'caseload data'!$B:$B,{"licence","community"}))</f>
        <v>0</v>
      </c>
      <c r="M127" s="107" cm="1">
        <f t="array" ref="M127">SUM(SUMIFS('caseload data'!N:N,'caseload data'!$D:$D,"SPO",'caseload data'!$A:$A,"Yorkshire and The Humber",'caseload data'!$B:$B,{"licence","community"}))</f>
        <v>0</v>
      </c>
      <c r="N127" s="107" cm="1">
        <f t="array" ref="N127">SUM(SUMIFS('caseload data'!O:O,'caseload data'!$D:$D,"SPO",'caseload data'!$A:$A,"Yorkshire and The Humber",'caseload data'!$B:$B,{"licence","community"}))</f>
        <v>0</v>
      </c>
      <c r="O127" s="107" cm="1">
        <f t="array" ref="O127">SUM(SUMIFS('caseload data'!P:P,'caseload data'!$D:$D,"SPO",'caseload data'!$A:$A,"Yorkshire and The Humber",'caseload data'!$B:$B,{"licence","community"}))</f>
        <v>0</v>
      </c>
      <c r="P127" s="107" cm="1">
        <f t="array" ref="P127">SUM(SUMIFS('caseload data'!Q:Q,'caseload data'!$D:$D,"SPO",'caseload data'!$A:$A,"Yorkshire and The Humber",'caseload data'!$B:$B,{"licence","community"}))</f>
        <v>0</v>
      </c>
      <c r="Q127" s="107" cm="1">
        <f t="array" ref="Q127">SUM(SUMIFS('caseload data'!R:R,'caseload data'!$D:$D,"SPO",'caseload data'!$A:$A,"Yorkshire and The Humber",'caseload data'!$B:$B,{"licence","community"}))</f>
        <v>0</v>
      </c>
      <c r="R127" s="107" cm="1">
        <f t="array" ref="R127">SUM(SUMIFS('caseload data'!S:S,'caseload data'!$D:$D,"SPO",'caseload data'!$A:$A,"Yorkshire and The Humber",'caseload data'!$B:$B,{"licence","community"}))</f>
        <v>0</v>
      </c>
      <c r="S127" s="107" cm="1">
        <f t="array" ref="S127">SUM(SUMIFS('caseload data'!T:T,'caseload data'!$D:$D,"SPO",'caseload data'!$A:$A,"Yorkshire and The Humber",'caseload data'!$B:$B,{"licence","community"}))</f>
        <v>0</v>
      </c>
      <c r="T127" s="107" cm="1">
        <f t="array" ref="T127">SUM(SUMIFS('caseload data'!V:V,'caseload data'!$D:$D,"SPO",'caseload data'!$A:$A,"Yorkshire and The Humber",'caseload data'!$B:$B,{"licence","community"}))</f>
        <v>0</v>
      </c>
      <c r="U127" s="76"/>
      <c r="V127" s="76"/>
      <c r="W127" s="309"/>
      <c r="X127" s="143" t="s">
        <v>1040</v>
      </c>
      <c r="Y127" s="187" t="e">
        <f>SUM(D127)/SUM(D$124:D$127)</f>
        <v>#DIV/0!</v>
      </c>
      <c r="Z127" s="187" t="e">
        <f t="shared" si="29"/>
        <v>#DIV/0!</v>
      </c>
      <c r="AA127" s="187" t="e">
        <f t="shared" si="29"/>
        <v>#DIV/0!</v>
      </c>
      <c r="AB127" s="187" t="e">
        <f t="shared" si="29"/>
        <v>#DIV/0!</v>
      </c>
      <c r="AC127" s="187" t="e">
        <f t="shared" si="29"/>
        <v>#DIV/0!</v>
      </c>
      <c r="AD127" s="187" t="e">
        <f t="shared" si="29"/>
        <v>#DIV/0!</v>
      </c>
      <c r="AE127" s="187" t="e">
        <f t="shared" si="29"/>
        <v>#DIV/0!</v>
      </c>
      <c r="AF127" s="187" t="e">
        <f t="shared" si="29"/>
        <v>#DIV/0!</v>
      </c>
      <c r="AG127" s="187" t="e">
        <f t="shared" si="29"/>
        <v>#DIV/0!</v>
      </c>
      <c r="AH127" s="187" t="e">
        <f t="shared" si="29"/>
        <v>#DIV/0!</v>
      </c>
      <c r="AI127" s="187" t="e">
        <f t="shared" si="29"/>
        <v>#DIV/0!</v>
      </c>
      <c r="AJ127" s="187" t="e">
        <f t="shared" si="29"/>
        <v>#DIV/0!</v>
      </c>
      <c r="AK127" s="187" t="e">
        <f t="shared" si="29"/>
        <v>#DIV/0!</v>
      </c>
      <c r="AL127" s="187" t="e">
        <f t="shared" si="29"/>
        <v>#DIV/0!</v>
      </c>
      <c r="AM127" s="187" t="e">
        <f t="shared" si="29"/>
        <v>#DIV/0!</v>
      </c>
      <c r="AN127" s="187" t="e">
        <f t="shared" si="29"/>
        <v>#DIV/0!</v>
      </c>
    </row>
    <row r="128" spans="2:40" x14ac:dyDescent="0.15">
      <c r="B128" s="303" t="s">
        <v>29</v>
      </c>
      <c r="C128" s="141" t="s">
        <v>1037</v>
      </c>
      <c r="D128" s="107" cm="1">
        <f t="array" ref="D128">SUM(SUMIFS('caseload data'!E:E,'caseload data'!$D:$D,"PO",'caseload data'!$A:$A,$B128,'caseload data'!$B:$B,{"licence","community"}))</f>
        <v>0</v>
      </c>
      <c r="E128" s="107" cm="1">
        <f t="array" ref="E128">SUM(SUMIFS('caseload data'!F:F,'caseload data'!$D:$D,"PO",'caseload data'!$A:$A,$B128,'caseload data'!$B:$B,{"licence","community"}))</f>
        <v>0</v>
      </c>
      <c r="F128" s="107" cm="1">
        <f t="array" ref="F128">SUM(SUMIFS('caseload data'!G:G,'caseload data'!$D:$D,"PO",'caseload data'!$A:$A,$B128,'caseload data'!$B:$B,{"licence","community"}))</f>
        <v>0</v>
      </c>
      <c r="G128" s="107" cm="1">
        <f t="array" ref="G128">SUM(SUMIFS('caseload data'!H:H,'caseload data'!$D:$D,"PO",'caseload data'!$A:$A,$B128,'caseload data'!$B:$B,{"licence","community"}))</f>
        <v>0</v>
      </c>
      <c r="H128" s="107" cm="1">
        <f t="array" ref="H128">SUM(SUMIFS('caseload data'!I:I,'caseload data'!$D:$D,"PO",'caseload data'!$A:$A,$B128,'caseload data'!$B:$B,{"licence","community"}))</f>
        <v>0</v>
      </c>
      <c r="I128" s="107" cm="1">
        <f t="array" ref="I128">SUM(SUMIFS('caseload data'!J:J,'caseload data'!$D:$D,"PO",'caseload data'!$A:$A,$B128,'caseload data'!$B:$B,{"licence","community"}))</f>
        <v>0</v>
      </c>
      <c r="J128" s="107" cm="1">
        <f t="array" ref="J128">SUM(SUMIFS('caseload data'!K:K,'caseload data'!$D:$D,"PO",'caseload data'!$A:$A,$B128,'caseload data'!$B:$B,{"licence","community"}))</f>
        <v>0</v>
      </c>
      <c r="K128" s="107" cm="1">
        <f t="array" ref="K128">SUM(SUMIFS('caseload data'!L:L,'caseload data'!$D:$D,"PO",'caseload data'!$A:$A,$B128,'caseload data'!$B:$B,{"licence","community"}))</f>
        <v>0</v>
      </c>
      <c r="L128" s="107" cm="1">
        <f t="array" ref="L128">SUM(SUMIFS('caseload data'!M:M,'caseload data'!$D:$D,"PO",'caseload data'!$A:$A,$B128,'caseload data'!$B:$B,{"licence","community"}))</f>
        <v>0</v>
      </c>
      <c r="M128" s="107" cm="1">
        <f t="array" ref="M128">SUM(SUMIFS('caseload data'!N:N,'caseload data'!$D:$D,"PO",'caseload data'!$A:$A,$B128,'caseload data'!$B:$B,{"licence","community"}))</f>
        <v>0</v>
      </c>
      <c r="N128" s="107" cm="1">
        <f t="array" ref="N128">SUM(SUMIFS('caseload data'!O:O,'caseload data'!$D:$D,"PO",'caseload data'!$A:$A,$B128,'caseload data'!$B:$B,{"licence","community"}))</f>
        <v>0</v>
      </c>
      <c r="O128" s="107" cm="1">
        <f t="array" ref="O128">SUM(SUMIFS('caseload data'!P:P,'caseload data'!$D:$D,"PO",'caseload data'!$A:$A,$B128,'caseload data'!$B:$B,{"licence","community"}))</f>
        <v>0</v>
      </c>
      <c r="P128" s="107" cm="1">
        <f t="array" ref="P128">SUM(SUMIFS('caseload data'!Q:Q,'caseload data'!$D:$D,"PO",'caseload data'!$A:$A,$B128,'caseload data'!$B:$B,{"licence","community"}))</f>
        <v>0</v>
      </c>
      <c r="Q128" s="107" cm="1">
        <f t="array" ref="Q128">SUM(SUMIFS('caseload data'!R:R,'caseload data'!$D:$D,"PO",'caseload data'!$A:$A,$B128,'caseload data'!$B:$B,{"licence","community"}))</f>
        <v>0</v>
      </c>
      <c r="R128" s="107" cm="1">
        <f t="array" ref="R128">SUM(SUMIFS('caseload data'!S:S,'caseload data'!$D:$D,"PO",'caseload data'!$A:$A,$B128,'caseload data'!$B:$B,{"licence","community"}))</f>
        <v>0</v>
      </c>
      <c r="S128" s="107" cm="1">
        <f t="array" ref="S128">SUM(SUMIFS('caseload data'!T:T,'caseload data'!$D:$D,"PO",'caseload data'!$A:$A,$B128,'caseload data'!$B:$B,{"licence","community"}))</f>
        <v>0</v>
      </c>
      <c r="T128" s="107" cm="1">
        <f t="array" ref="T128">SUM(SUMIFS('caseload data'!V:V,'caseload data'!$D:$D,"PO",'caseload data'!$A:$A,$B128,'caseload data'!$B:$B,{"licence","community"}))</f>
        <v>0</v>
      </c>
      <c r="U128" s="76"/>
      <c r="V128" s="76"/>
      <c r="W128" s="303" t="s">
        <v>29</v>
      </c>
      <c r="X128" s="141" t="s">
        <v>1037</v>
      </c>
      <c r="Y128" s="187" t="e">
        <f>SUM(D128)/SUM(D$128:D$131)</f>
        <v>#DIV/0!</v>
      </c>
      <c r="Z128" s="187" t="e">
        <f t="shared" ref="Z128:AN131" si="30">SUM(E128)/SUM(E$128:E$131)</f>
        <v>#DIV/0!</v>
      </c>
      <c r="AA128" s="187" t="e">
        <f t="shared" si="30"/>
        <v>#DIV/0!</v>
      </c>
      <c r="AB128" s="187" t="e">
        <f t="shared" si="30"/>
        <v>#DIV/0!</v>
      </c>
      <c r="AC128" s="187" t="e">
        <f t="shared" si="30"/>
        <v>#DIV/0!</v>
      </c>
      <c r="AD128" s="187" t="e">
        <f t="shared" si="30"/>
        <v>#DIV/0!</v>
      </c>
      <c r="AE128" s="187" t="e">
        <f t="shared" si="30"/>
        <v>#DIV/0!</v>
      </c>
      <c r="AF128" s="187" t="e">
        <f t="shared" si="30"/>
        <v>#DIV/0!</v>
      </c>
      <c r="AG128" s="187" t="e">
        <f t="shared" si="30"/>
        <v>#DIV/0!</v>
      </c>
      <c r="AH128" s="187" t="e">
        <f t="shared" si="30"/>
        <v>#DIV/0!</v>
      </c>
      <c r="AI128" s="187" t="e">
        <f t="shared" si="30"/>
        <v>#DIV/0!</v>
      </c>
      <c r="AJ128" s="187" t="e">
        <f t="shared" si="30"/>
        <v>#DIV/0!</v>
      </c>
      <c r="AK128" s="187" t="e">
        <f t="shared" si="30"/>
        <v>#DIV/0!</v>
      </c>
      <c r="AL128" s="187" t="e">
        <f t="shared" si="30"/>
        <v>#DIV/0!</v>
      </c>
      <c r="AM128" s="187" t="e">
        <f t="shared" si="30"/>
        <v>#DIV/0!</v>
      </c>
      <c r="AN128" s="187" t="e">
        <f t="shared" si="30"/>
        <v>#DIV/0!</v>
      </c>
    </row>
    <row r="129" spans="2:40" x14ac:dyDescent="0.15">
      <c r="B129" s="304"/>
      <c r="C129" s="142" t="s">
        <v>1038</v>
      </c>
      <c r="D129" s="107" cm="1">
        <f t="array" ref="D129">SUM(SUMIFS('caseload data'!E:E,'caseload data'!$D:$D,"PSO",'caseload data'!$A:$A,$B128,'caseload data'!$B:$B,{"licence","community"}))</f>
        <v>0</v>
      </c>
      <c r="E129" s="107" cm="1">
        <f t="array" ref="E129">SUM(SUMIFS('caseload data'!F:F,'caseload data'!$D:$D,"PSO",'caseload data'!$A:$A,$B128,'caseload data'!$B:$B,{"licence","community"}))</f>
        <v>0</v>
      </c>
      <c r="F129" s="107" cm="1">
        <f t="array" ref="F129">SUM(SUMIFS('caseload data'!G:G,'caseload data'!$D:$D,"PSO",'caseload data'!$A:$A,$B128,'caseload data'!$B:$B,{"licence","community"}))</f>
        <v>0</v>
      </c>
      <c r="G129" s="107" cm="1">
        <f t="array" ref="G129">SUM(SUMIFS('caseload data'!H:H,'caseload data'!$D:$D,"PSO",'caseload data'!$A:$A,$B128,'caseload data'!$B:$B,{"licence","community"}))</f>
        <v>0</v>
      </c>
      <c r="H129" s="107" cm="1">
        <f t="array" ref="H129">SUM(SUMIFS('caseload data'!I:I,'caseload data'!$D:$D,"PSO",'caseload data'!$A:$A,$B128,'caseload data'!$B:$B,{"licence","community"}))</f>
        <v>0</v>
      </c>
      <c r="I129" s="107" cm="1">
        <f t="array" ref="I129">SUM(SUMIFS('caseload data'!J:J,'caseload data'!$D:$D,"PSO",'caseload data'!$A:$A,$B128,'caseload data'!$B:$B,{"licence","community"}))</f>
        <v>0</v>
      </c>
      <c r="J129" s="107" cm="1">
        <f t="array" ref="J129">SUM(SUMIFS('caseload data'!K:K,'caseload data'!$D:$D,"PSO",'caseload data'!$A:$A,$B128,'caseload data'!$B:$B,{"licence","community"}))</f>
        <v>0</v>
      </c>
      <c r="K129" s="107" cm="1">
        <f t="array" ref="K129">SUM(SUMIFS('caseload data'!L:L,'caseload data'!$D:$D,"PSO",'caseload data'!$A:$A,$B128,'caseload data'!$B:$B,{"licence","community"}))</f>
        <v>0</v>
      </c>
      <c r="L129" s="107" cm="1">
        <f t="array" ref="L129">SUM(SUMIFS('caseload data'!M:M,'caseload data'!$D:$D,"PSO",'caseload data'!$A:$A,$B128,'caseload data'!$B:$B,{"licence","community"}))</f>
        <v>0</v>
      </c>
      <c r="M129" s="107" cm="1">
        <f t="array" ref="M129">SUM(SUMIFS('caseload data'!N:N,'caseload data'!$D:$D,"PSO",'caseload data'!$A:$A,$B128,'caseload data'!$B:$B,{"licence","community"}))</f>
        <v>0</v>
      </c>
      <c r="N129" s="107" cm="1">
        <f t="array" ref="N129">SUM(SUMIFS('caseload data'!O:O,'caseload data'!$D:$D,"PSO",'caseload data'!$A:$A,$B128,'caseload data'!$B:$B,{"licence","community"}))</f>
        <v>0</v>
      </c>
      <c r="O129" s="107" cm="1">
        <f t="array" ref="O129">SUM(SUMIFS('caseload data'!P:P,'caseload data'!$D:$D,"PSO",'caseload data'!$A:$A,$B128,'caseload data'!$B:$B,{"licence","community"}))</f>
        <v>0</v>
      </c>
      <c r="P129" s="107" cm="1">
        <f t="array" ref="P129">SUM(SUMIFS('caseload data'!Q:Q,'caseload data'!$D:$D,"PSO",'caseload data'!$A:$A,$B128,'caseload data'!$B:$B,{"licence","community"}))</f>
        <v>0</v>
      </c>
      <c r="Q129" s="107" cm="1">
        <f t="array" ref="Q129">SUM(SUMIFS('caseload data'!R:R,'caseload data'!$D:$D,"PSO",'caseload data'!$A:$A,$B128,'caseload data'!$B:$B,{"licence","community"}))</f>
        <v>0</v>
      </c>
      <c r="R129" s="107" cm="1">
        <f t="array" ref="R129">SUM(SUMIFS('caseload data'!S:S,'caseload data'!$D:$D,"PSO",'caseload data'!$A:$A,$B128,'caseload data'!$B:$B,{"licence","community"}))</f>
        <v>0</v>
      </c>
      <c r="S129" s="107" cm="1">
        <f t="array" ref="S129">SUM(SUMIFS('caseload data'!T:T,'caseload data'!$D:$D,"PSO",'caseload data'!$A:$A,$B128,'caseload data'!$B:$B,{"licence","community"}))</f>
        <v>0</v>
      </c>
      <c r="T129" s="107" cm="1">
        <f t="array" ref="T129">SUM(SUMIFS('caseload data'!V:V,'caseload data'!$D:$D,"PSO",'caseload data'!$A:$A,$B128,'caseload data'!$B:$B,{"licence","community"}))</f>
        <v>0</v>
      </c>
      <c r="U129" s="76"/>
      <c r="V129" s="76"/>
      <c r="W129" s="304"/>
      <c r="X129" s="142" t="s">
        <v>1038</v>
      </c>
      <c r="Y129" s="187" t="e">
        <f t="shared" ref="Y129:Y131" si="31">SUM(D129)/SUM(D$128:D$131)</f>
        <v>#DIV/0!</v>
      </c>
      <c r="Z129" s="187" t="e">
        <f t="shared" si="30"/>
        <v>#DIV/0!</v>
      </c>
      <c r="AA129" s="187" t="e">
        <f t="shared" si="30"/>
        <v>#DIV/0!</v>
      </c>
      <c r="AB129" s="187" t="e">
        <f t="shared" si="30"/>
        <v>#DIV/0!</v>
      </c>
      <c r="AC129" s="187" t="e">
        <f t="shared" si="30"/>
        <v>#DIV/0!</v>
      </c>
      <c r="AD129" s="187" t="e">
        <f t="shared" si="30"/>
        <v>#DIV/0!</v>
      </c>
      <c r="AE129" s="187" t="e">
        <f t="shared" si="30"/>
        <v>#DIV/0!</v>
      </c>
      <c r="AF129" s="187" t="e">
        <f t="shared" si="30"/>
        <v>#DIV/0!</v>
      </c>
      <c r="AG129" s="187" t="e">
        <f t="shared" si="30"/>
        <v>#DIV/0!</v>
      </c>
      <c r="AH129" s="187" t="e">
        <f t="shared" si="30"/>
        <v>#DIV/0!</v>
      </c>
      <c r="AI129" s="187" t="e">
        <f t="shared" si="30"/>
        <v>#DIV/0!</v>
      </c>
      <c r="AJ129" s="187" t="e">
        <f t="shared" si="30"/>
        <v>#DIV/0!</v>
      </c>
      <c r="AK129" s="187" t="e">
        <f t="shared" si="30"/>
        <v>#DIV/0!</v>
      </c>
      <c r="AL129" s="187" t="e">
        <f t="shared" si="30"/>
        <v>#DIV/0!</v>
      </c>
      <c r="AM129" s="187" t="e">
        <f t="shared" si="30"/>
        <v>#DIV/0!</v>
      </c>
      <c r="AN129" s="187" t="e">
        <f t="shared" si="30"/>
        <v>#DIV/0!</v>
      </c>
    </row>
    <row r="130" spans="2:40" x14ac:dyDescent="0.15">
      <c r="B130" s="304"/>
      <c r="C130" s="142" t="s">
        <v>1039</v>
      </c>
      <c r="D130" s="107" cm="1">
        <f t="array" ref="D130">SUM(SUMIFS('caseload data'!E:E,'caseload data'!$D:$D,"TPO",'caseload data'!$A:$A,$B128,'caseload data'!$B:$B,{"licence","community"}))</f>
        <v>0</v>
      </c>
      <c r="E130" s="107" cm="1">
        <f t="array" ref="E130">SUM(SUMIFS('caseload data'!F:F,'caseload data'!$D:$D,"TPO",'caseload data'!$A:$A,$B128,'caseload data'!$B:$B,{"licence","community"}))</f>
        <v>0</v>
      </c>
      <c r="F130" s="107" cm="1">
        <f t="array" ref="F130">SUM(SUMIFS('caseload data'!G:G,'caseload data'!$D:$D,"TPO",'caseload data'!$A:$A,$B128,'caseload data'!$B:$B,{"licence","community"}))</f>
        <v>0</v>
      </c>
      <c r="G130" s="107" cm="1">
        <f t="array" ref="G130">SUM(SUMIFS('caseload data'!H:H,'caseload data'!$D:$D,"TPO",'caseload data'!$A:$A,$B128,'caseload data'!$B:$B,{"licence","community"}))</f>
        <v>0</v>
      </c>
      <c r="H130" s="107" cm="1">
        <f t="array" ref="H130">SUM(SUMIFS('caseload data'!I:I,'caseload data'!$D:$D,"TPO",'caseload data'!$A:$A,$B128,'caseload data'!$B:$B,{"licence","community"}))</f>
        <v>0</v>
      </c>
      <c r="I130" s="107" cm="1">
        <f t="array" ref="I130">SUM(SUMIFS('caseload data'!J:J,'caseload data'!$D:$D,"TPO",'caseload data'!$A:$A,$B128,'caseload data'!$B:$B,{"licence","community"}))</f>
        <v>0</v>
      </c>
      <c r="J130" s="107" cm="1">
        <f t="array" ref="J130">SUM(SUMIFS('caseload data'!K:K,'caseload data'!$D:$D,"TPO",'caseload data'!$A:$A,$B128,'caseload data'!$B:$B,{"licence","community"}))</f>
        <v>0</v>
      </c>
      <c r="K130" s="107" cm="1">
        <f t="array" ref="K130">SUM(SUMIFS('caseload data'!L:L,'caseload data'!$D:$D,"TPO",'caseload data'!$A:$A,$B128,'caseload data'!$B:$B,{"licence","community"}))</f>
        <v>0</v>
      </c>
      <c r="L130" s="107" cm="1">
        <f t="array" ref="L130">SUM(SUMIFS('caseload data'!M:M,'caseload data'!$D:$D,"TPO",'caseload data'!$A:$A,$B128,'caseload data'!$B:$B,{"licence","community"}))</f>
        <v>0</v>
      </c>
      <c r="M130" s="107" cm="1">
        <f t="array" ref="M130">SUM(SUMIFS('caseload data'!N:N,'caseload data'!$D:$D,"TPO",'caseload data'!$A:$A,$B128,'caseload data'!$B:$B,{"licence","community"}))</f>
        <v>0</v>
      </c>
      <c r="N130" s="107" cm="1">
        <f t="array" ref="N130">SUM(SUMIFS('caseload data'!O:O,'caseload data'!$D:$D,"TPO",'caseload data'!$A:$A,$B128,'caseload data'!$B:$B,{"licence","community"}))</f>
        <v>0</v>
      </c>
      <c r="O130" s="107" cm="1">
        <f t="array" ref="O130">SUM(SUMIFS('caseload data'!P:P,'caseload data'!$D:$D,"TPO",'caseload data'!$A:$A,$B128,'caseload data'!$B:$B,{"licence","community"}))</f>
        <v>0</v>
      </c>
      <c r="P130" s="107" cm="1">
        <f t="array" ref="P130">SUM(SUMIFS('caseload data'!Q:Q,'caseload data'!$D:$D,"TPO",'caseload data'!$A:$A,$B128,'caseload data'!$B:$B,{"licence","community"}))</f>
        <v>0</v>
      </c>
      <c r="Q130" s="107" cm="1">
        <f t="array" ref="Q130">SUM(SUMIFS('caseload data'!R:R,'caseload data'!$D:$D,"TPO",'caseload data'!$A:$A,$B128,'caseload data'!$B:$B,{"licence","community"}))</f>
        <v>0</v>
      </c>
      <c r="R130" s="107" cm="1">
        <f t="array" ref="R130">SUM(SUMIFS('caseload data'!S:S,'caseload data'!$D:$D,"TPO",'caseload data'!$A:$A,$B128,'caseload data'!$B:$B,{"licence","community"}))</f>
        <v>0</v>
      </c>
      <c r="S130" s="107" cm="1">
        <f t="array" ref="S130">SUM(SUMIFS('caseload data'!T:T,'caseload data'!$D:$D,"TPO",'caseload data'!$A:$A,$B128,'caseload data'!$B:$B,{"licence","community"}))</f>
        <v>0</v>
      </c>
      <c r="T130" s="107" cm="1">
        <f t="array" ref="T130">SUM(SUMIFS('caseload data'!V:V,'caseload data'!$D:$D,"TPO",'caseload data'!$A:$A,$B128,'caseload data'!$B:$B,{"licence","community"}))</f>
        <v>0</v>
      </c>
      <c r="U130" s="76"/>
      <c r="V130" s="76"/>
      <c r="W130" s="304"/>
      <c r="X130" s="142" t="s">
        <v>1039</v>
      </c>
      <c r="Y130" s="187" t="e">
        <f t="shared" si="31"/>
        <v>#DIV/0!</v>
      </c>
      <c r="Z130" s="187" t="e">
        <f t="shared" si="30"/>
        <v>#DIV/0!</v>
      </c>
      <c r="AA130" s="187" t="e">
        <f t="shared" si="30"/>
        <v>#DIV/0!</v>
      </c>
      <c r="AB130" s="187" t="e">
        <f t="shared" si="30"/>
        <v>#DIV/0!</v>
      </c>
      <c r="AC130" s="187" t="e">
        <f t="shared" si="30"/>
        <v>#DIV/0!</v>
      </c>
      <c r="AD130" s="187" t="e">
        <f t="shared" si="30"/>
        <v>#DIV/0!</v>
      </c>
      <c r="AE130" s="187" t="e">
        <f t="shared" si="30"/>
        <v>#DIV/0!</v>
      </c>
      <c r="AF130" s="187" t="e">
        <f t="shared" si="30"/>
        <v>#DIV/0!</v>
      </c>
      <c r="AG130" s="187" t="e">
        <f t="shared" si="30"/>
        <v>#DIV/0!</v>
      </c>
      <c r="AH130" s="187" t="e">
        <f t="shared" si="30"/>
        <v>#DIV/0!</v>
      </c>
      <c r="AI130" s="187" t="e">
        <f t="shared" si="30"/>
        <v>#DIV/0!</v>
      </c>
      <c r="AJ130" s="187" t="e">
        <f t="shared" si="30"/>
        <v>#DIV/0!</v>
      </c>
      <c r="AK130" s="187" t="e">
        <f t="shared" si="30"/>
        <v>#DIV/0!</v>
      </c>
      <c r="AL130" s="187" t="e">
        <f t="shared" si="30"/>
        <v>#DIV/0!</v>
      </c>
      <c r="AM130" s="187" t="e">
        <f t="shared" si="30"/>
        <v>#DIV/0!</v>
      </c>
      <c r="AN130" s="187" t="e">
        <f t="shared" si="30"/>
        <v>#DIV/0!</v>
      </c>
    </row>
    <row r="131" spans="2:40" x14ac:dyDescent="0.15">
      <c r="B131" s="305"/>
      <c r="C131" s="143" t="s">
        <v>1040</v>
      </c>
      <c r="D131" s="107" cm="1">
        <f t="array" ref="D131">SUM(SUMIFS('caseload data'!E:E,'caseload data'!$D:$D,"SPO",'caseload data'!$A:$A,$B128,'caseload data'!$B:$B,{"licence","community"}))</f>
        <v>0</v>
      </c>
      <c r="E131" s="107" cm="1">
        <f t="array" ref="E131">SUM(SUMIFS('caseload data'!F:F,'caseload data'!$D:$D,"SPO",'caseload data'!$A:$A,$B128,'caseload data'!$B:$B,{"licence","community"}))</f>
        <v>0</v>
      </c>
      <c r="F131" s="107" cm="1">
        <f t="array" ref="F131">SUM(SUMIFS('caseload data'!G:G,'caseload data'!$D:$D,"SPO",'caseload data'!$A:$A,$B128,'caseload data'!$B:$B,{"licence","community"}))</f>
        <v>0</v>
      </c>
      <c r="G131" s="107" cm="1">
        <f t="array" ref="G131">SUM(SUMIFS('caseload data'!H:H,'caseload data'!$D:$D,"SPO",'caseload data'!$A:$A,$B128,'caseload data'!$B:$B,{"licence","community"}))</f>
        <v>0</v>
      </c>
      <c r="H131" s="107" cm="1">
        <f t="array" ref="H131">SUM(SUMIFS('caseload data'!I:I,'caseload data'!$D:$D,"SPO",'caseload data'!$A:$A,$B128,'caseload data'!$B:$B,{"licence","community"}))</f>
        <v>0</v>
      </c>
      <c r="I131" s="107" cm="1">
        <f t="array" ref="I131">SUM(SUMIFS('caseload data'!J:J,'caseload data'!$D:$D,"SPO",'caseload data'!$A:$A,$B128,'caseload data'!$B:$B,{"licence","community"}))</f>
        <v>0</v>
      </c>
      <c r="J131" s="107" cm="1">
        <f t="array" ref="J131">SUM(SUMIFS('caseload data'!K:K,'caseload data'!$D:$D,"SPO",'caseload data'!$A:$A,$B128,'caseload data'!$B:$B,{"licence","community"}))</f>
        <v>0</v>
      </c>
      <c r="K131" s="107" cm="1">
        <f t="array" ref="K131">SUM(SUMIFS('caseload data'!L:L,'caseload data'!$D:$D,"SPO",'caseload data'!$A:$A,$B128,'caseload data'!$B:$B,{"licence","community"}))</f>
        <v>0</v>
      </c>
      <c r="L131" s="107" cm="1">
        <f t="array" ref="L131">SUM(SUMIFS('caseload data'!M:M,'caseload data'!$D:$D,"SPO",'caseload data'!$A:$A,$B128,'caseload data'!$B:$B,{"licence","community"}))</f>
        <v>0</v>
      </c>
      <c r="M131" s="107" cm="1">
        <f t="array" ref="M131">SUM(SUMIFS('caseload data'!N:N,'caseload data'!$D:$D,"SPO",'caseload data'!$A:$A,$B128,'caseload data'!$B:$B,{"licence","community"}))</f>
        <v>0</v>
      </c>
      <c r="N131" s="107" cm="1">
        <f t="array" ref="N131">SUM(SUMIFS('caseload data'!O:O,'caseload data'!$D:$D,"SPO",'caseload data'!$A:$A,$B128,'caseload data'!$B:$B,{"licence","community"}))</f>
        <v>0</v>
      </c>
      <c r="O131" s="107" cm="1">
        <f t="array" ref="O131">SUM(SUMIFS('caseload data'!P:P,'caseload data'!$D:$D,"SPO",'caseload data'!$A:$A,$B128,'caseload data'!$B:$B,{"licence","community"}))</f>
        <v>0</v>
      </c>
      <c r="P131" s="107" cm="1">
        <f t="array" ref="P131">SUM(SUMIFS('caseload data'!Q:Q,'caseload data'!$D:$D,"SPO",'caseload data'!$A:$A,$B128,'caseload data'!$B:$B,{"licence","community"}))</f>
        <v>0</v>
      </c>
      <c r="Q131" s="107" cm="1">
        <f t="array" ref="Q131">SUM(SUMIFS('caseload data'!R:R,'caseload data'!$D:$D,"SPO",'caseload data'!$A:$A,$B128,'caseload data'!$B:$B,{"licence","community"}))</f>
        <v>0</v>
      </c>
      <c r="R131" s="107" cm="1">
        <f t="array" ref="R131">SUM(SUMIFS('caseload data'!S:S,'caseload data'!$D:$D,"SPO",'caseload data'!$A:$A,$B128,'caseload data'!$B:$B,{"licence","community"}))</f>
        <v>0</v>
      </c>
      <c r="S131" s="107" cm="1">
        <f t="array" ref="S131">SUM(SUMIFS('caseload data'!T:T,'caseload data'!$D:$D,"SPO",'caseload data'!$A:$A,$B128,'caseload data'!$B:$B,{"licence","community"}))</f>
        <v>0</v>
      </c>
      <c r="T131" s="107" cm="1">
        <f t="array" ref="T131">SUM(SUMIFS('caseload data'!V:V,'caseload data'!$D:$D,"SPO",'caseload data'!$A:$A,$B128,'caseload data'!$B:$B,{"licence","community"}))</f>
        <v>0</v>
      </c>
      <c r="U131" s="76"/>
      <c r="V131" s="76"/>
      <c r="W131" s="305"/>
      <c r="X131" s="143" t="s">
        <v>1040</v>
      </c>
      <c r="Y131" s="187" t="e">
        <f t="shared" si="31"/>
        <v>#DIV/0!</v>
      </c>
      <c r="Z131" s="187" t="e">
        <f t="shared" si="30"/>
        <v>#DIV/0!</v>
      </c>
      <c r="AA131" s="187" t="e">
        <f t="shared" si="30"/>
        <v>#DIV/0!</v>
      </c>
      <c r="AB131" s="187" t="e">
        <f t="shared" si="30"/>
        <v>#DIV/0!</v>
      </c>
      <c r="AC131" s="187" t="e">
        <f t="shared" si="30"/>
        <v>#DIV/0!</v>
      </c>
      <c r="AD131" s="187" t="e">
        <f t="shared" si="30"/>
        <v>#DIV/0!</v>
      </c>
      <c r="AE131" s="187" t="e">
        <f t="shared" si="30"/>
        <v>#DIV/0!</v>
      </c>
      <c r="AF131" s="187" t="e">
        <f t="shared" si="30"/>
        <v>#DIV/0!</v>
      </c>
      <c r="AG131" s="187" t="e">
        <f t="shared" si="30"/>
        <v>#DIV/0!</v>
      </c>
      <c r="AH131" s="187" t="e">
        <f t="shared" si="30"/>
        <v>#DIV/0!</v>
      </c>
      <c r="AI131" s="187" t="e">
        <f t="shared" si="30"/>
        <v>#DIV/0!</v>
      </c>
      <c r="AJ131" s="187" t="e">
        <f t="shared" si="30"/>
        <v>#DIV/0!</v>
      </c>
      <c r="AK131" s="187" t="e">
        <f t="shared" si="30"/>
        <v>#DIV/0!</v>
      </c>
      <c r="AL131" s="187" t="e">
        <f t="shared" si="30"/>
        <v>#DIV/0!</v>
      </c>
      <c r="AM131" s="187" t="e">
        <f t="shared" si="30"/>
        <v>#DIV/0!</v>
      </c>
      <c r="AN131" s="187" t="e">
        <f t="shared" si="30"/>
        <v>#DIV/0!</v>
      </c>
    </row>
    <row r="132" spans="2:40" x14ac:dyDescent="0.15">
      <c r="B132" s="303" t="s">
        <v>30</v>
      </c>
      <c r="C132" s="141" t="s">
        <v>1037</v>
      </c>
      <c r="D132" s="107" cm="1">
        <f t="array" ref="D132">SUM(SUMIFS('caseload data'!E:E,'caseload data'!$D:$D,"PO",'caseload data'!$A:$A,$B132,'caseload data'!$B:$B,{"licence","community"}))</f>
        <v>0</v>
      </c>
      <c r="E132" s="107" cm="1">
        <f t="array" ref="E132">SUM(SUMIFS('caseload data'!F:F,'caseload data'!$D:$D,"PO",'caseload data'!$A:$A,$B132,'caseload data'!$B:$B,{"licence","community"}))</f>
        <v>0</v>
      </c>
      <c r="F132" s="107" cm="1">
        <f t="array" ref="F132">SUM(SUMIFS('caseload data'!G:G,'caseload data'!$D:$D,"PO",'caseload data'!$A:$A,$B132,'caseload data'!$B:$B,{"licence","community"}))</f>
        <v>0</v>
      </c>
      <c r="G132" s="107" cm="1">
        <f t="array" ref="G132">SUM(SUMIFS('caseload data'!H:H,'caseload data'!$D:$D,"PO",'caseload data'!$A:$A,$B132,'caseload data'!$B:$B,{"licence","community"}))</f>
        <v>0</v>
      </c>
      <c r="H132" s="107" cm="1">
        <f t="array" ref="H132">SUM(SUMIFS('caseload data'!I:I,'caseload data'!$D:$D,"PO",'caseload data'!$A:$A,$B132,'caseload data'!$B:$B,{"licence","community"}))</f>
        <v>0</v>
      </c>
      <c r="I132" s="107" cm="1">
        <f t="array" ref="I132">SUM(SUMIFS('caseload data'!J:J,'caseload data'!$D:$D,"PO",'caseload data'!$A:$A,$B132,'caseload data'!$B:$B,{"licence","community"}))</f>
        <v>0</v>
      </c>
      <c r="J132" s="107" cm="1">
        <f t="array" ref="J132">SUM(SUMIFS('caseload data'!K:K,'caseload data'!$D:$D,"PO",'caseload data'!$A:$A,$B132,'caseload data'!$B:$B,{"licence","community"}))</f>
        <v>0</v>
      </c>
      <c r="K132" s="107" cm="1">
        <f t="array" ref="K132">SUM(SUMIFS('caseload data'!L:L,'caseload data'!$D:$D,"PO",'caseload data'!$A:$A,$B132,'caseload data'!$B:$B,{"licence","community"}))</f>
        <v>0</v>
      </c>
      <c r="L132" s="107" cm="1">
        <f t="array" ref="L132">SUM(SUMIFS('caseload data'!M:M,'caseload data'!$D:$D,"PO",'caseload data'!$A:$A,$B132,'caseload data'!$B:$B,{"licence","community"}))</f>
        <v>0</v>
      </c>
      <c r="M132" s="107" cm="1">
        <f t="array" ref="M132">SUM(SUMIFS('caseload data'!N:N,'caseload data'!$D:$D,"PO",'caseload data'!$A:$A,$B132,'caseload data'!$B:$B,{"licence","community"}))</f>
        <v>0</v>
      </c>
      <c r="N132" s="107" cm="1">
        <f t="array" ref="N132">SUM(SUMIFS('caseload data'!O:O,'caseload data'!$D:$D,"PO",'caseload data'!$A:$A,$B132,'caseload data'!$B:$B,{"licence","community"}))</f>
        <v>0</v>
      </c>
      <c r="O132" s="107" cm="1">
        <f t="array" ref="O132">SUM(SUMIFS('caseload data'!P:P,'caseload data'!$D:$D,"PO",'caseload data'!$A:$A,$B132,'caseload data'!$B:$B,{"licence","community"}))</f>
        <v>0</v>
      </c>
      <c r="P132" s="107" cm="1">
        <f t="array" ref="P132">SUM(SUMIFS('caseload data'!Q:Q,'caseload data'!$D:$D,"PO",'caseload data'!$A:$A,$B132,'caseload data'!$B:$B,{"licence","community"}))</f>
        <v>0</v>
      </c>
      <c r="Q132" s="107" cm="1">
        <f t="array" ref="Q132">SUM(SUMIFS('caseload data'!R:R,'caseload data'!$D:$D,"PO",'caseload data'!$A:$A,$B132,'caseload data'!$B:$B,{"licence","community"}))</f>
        <v>0</v>
      </c>
      <c r="R132" s="107" cm="1">
        <f t="array" ref="R132">SUM(SUMIFS('caseload data'!S:S,'caseload data'!$D:$D,"PO",'caseload data'!$A:$A,$B132,'caseload data'!$B:$B,{"licence","community"}))</f>
        <v>0</v>
      </c>
      <c r="S132" s="107" cm="1">
        <f t="array" ref="S132">SUM(SUMIFS('caseload data'!T:T,'caseload data'!$D:$D,"PO",'caseload data'!$A:$A,$B132,'caseload data'!$B:$B,{"licence","community"}))</f>
        <v>0</v>
      </c>
      <c r="T132" s="107" cm="1">
        <f t="array" ref="T132">SUM(SUMIFS('caseload data'!V:V,'caseload data'!$D:$D,"PO",'caseload data'!$A:$A,$B132,'caseload data'!$B:$B,{"licence","community"}))</f>
        <v>0</v>
      </c>
      <c r="U132" s="76"/>
      <c r="V132" s="76"/>
      <c r="W132" s="303" t="s">
        <v>30</v>
      </c>
      <c r="X132" s="141" t="s">
        <v>1037</v>
      </c>
      <c r="Y132" s="187" t="e">
        <f>SUM(D132)/SUM(D$132:D$135)</f>
        <v>#DIV/0!</v>
      </c>
      <c r="Z132" s="187" t="e">
        <f t="shared" ref="Z132:AN135" si="32">SUM(E132)/SUM(E$132:E$135)</f>
        <v>#DIV/0!</v>
      </c>
      <c r="AA132" s="187" t="e">
        <f t="shared" si="32"/>
        <v>#DIV/0!</v>
      </c>
      <c r="AB132" s="187" t="e">
        <f t="shared" si="32"/>
        <v>#DIV/0!</v>
      </c>
      <c r="AC132" s="187" t="e">
        <f t="shared" si="32"/>
        <v>#DIV/0!</v>
      </c>
      <c r="AD132" s="187" t="e">
        <f t="shared" si="32"/>
        <v>#DIV/0!</v>
      </c>
      <c r="AE132" s="187" t="e">
        <f t="shared" si="32"/>
        <v>#DIV/0!</v>
      </c>
      <c r="AF132" s="187" t="e">
        <f t="shared" si="32"/>
        <v>#DIV/0!</v>
      </c>
      <c r="AG132" s="187" t="e">
        <f t="shared" si="32"/>
        <v>#DIV/0!</v>
      </c>
      <c r="AH132" s="187" t="e">
        <f t="shared" si="32"/>
        <v>#DIV/0!</v>
      </c>
      <c r="AI132" s="187" t="e">
        <f t="shared" si="32"/>
        <v>#DIV/0!</v>
      </c>
      <c r="AJ132" s="187" t="e">
        <f t="shared" si="32"/>
        <v>#DIV/0!</v>
      </c>
      <c r="AK132" s="187" t="e">
        <f t="shared" si="32"/>
        <v>#DIV/0!</v>
      </c>
      <c r="AL132" s="187" t="e">
        <f t="shared" si="32"/>
        <v>#DIV/0!</v>
      </c>
      <c r="AM132" s="187" t="e">
        <f t="shared" si="32"/>
        <v>#DIV/0!</v>
      </c>
      <c r="AN132" s="187" t="e">
        <f t="shared" si="32"/>
        <v>#DIV/0!</v>
      </c>
    </row>
    <row r="133" spans="2:40" x14ac:dyDescent="0.15">
      <c r="B133" s="304"/>
      <c r="C133" s="142" t="s">
        <v>1038</v>
      </c>
      <c r="D133" s="107" cm="1">
        <f t="array" ref="D133">SUM(SUMIFS('caseload data'!E:E,'caseload data'!$D:$D,"PSO",'caseload data'!$A:$A,$B132,'caseload data'!$B:$B,{"licence","community"}))</f>
        <v>0</v>
      </c>
      <c r="E133" s="107" cm="1">
        <f t="array" ref="E133">SUM(SUMIFS('caseload data'!F:F,'caseload data'!$D:$D,"PSO",'caseload data'!$A:$A,$B132,'caseload data'!$B:$B,{"licence","community"}))</f>
        <v>0</v>
      </c>
      <c r="F133" s="107" cm="1">
        <f t="array" ref="F133">SUM(SUMIFS('caseload data'!G:G,'caseload data'!$D:$D,"PSO",'caseload data'!$A:$A,$B132,'caseload data'!$B:$B,{"licence","community"}))</f>
        <v>0</v>
      </c>
      <c r="G133" s="107" cm="1">
        <f t="array" ref="G133">SUM(SUMIFS('caseload data'!H:H,'caseload data'!$D:$D,"PSO",'caseload data'!$A:$A,$B132,'caseload data'!$B:$B,{"licence","community"}))</f>
        <v>0</v>
      </c>
      <c r="H133" s="107" cm="1">
        <f t="array" ref="H133">SUM(SUMIFS('caseload data'!I:I,'caseload data'!$D:$D,"PSO",'caseload data'!$A:$A,$B132,'caseload data'!$B:$B,{"licence","community"}))</f>
        <v>0</v>
      </c>
      <c r="I133" s="107" cm="1">
        <f t="array" ref="I133">SUM(SUMIFS('caseload data'!J:J,'caseload data'!$D:$D,"PSO",'caseload data'!$A:$A,$B132,'caseload data'!$B:$B,{"licence","community"}))</f>
        <v>0</v>
      </c>
      <c r="J133" s="107" cm="1">
        <f t="array" ref="J133">SUM(SUMIFS('caseload data'!K:K,'caseload data'!$D:$D,"PSO",'caseload data'!$A:$A,$B132,'caseload data'!$B:$B,{"licence","community"}))</f>
        <v>0</v>
      </c>
      <c r="K133" s="107" cm="1">
        <f t="array" ref="K133">SUM(SUMIFS('caseload data'!L:L,'caseload data'!$D:$D,"PSO",'caseload data'!$A:$A,$B132,'caseload data'!$B:$B,{"licence","community"}))</f>
        <v>0</v>
      </c>
      <c r="L133" s="107" cm="1">
        <f t="array" ref="L133">SUM(SUMIFS('caseload data'!M:M,'caseload data'!$D:$D,"PSO",'caseload data'!$A:$A,$B132,'caseload data'!$B:$B,{"licence","community"}))</f>
        <v>0</v>
      </c>
      <c r="M133" s="107" cm="1">
        <f t="array" ref="M133">SUM(SUMIFS('caseload data'!N:N,'caseload data'!$D:$D,"PSO",'caseload data'!$A:$A,$B132,'caseload data'!$B:$B,{"licence","community"}))</f>
        <v>0</v>
      </c>
      <c r="N133" s="107" cm="1">
        <f t="array" ref="N133">SUM(SUMIFS('caseload data'!O:O,'caseload data'!$D:$D,"PSO",'caseload data'!$A:$A,$B132,'caseload data'!$B:$B,{"licence","community"}))</f>
        <v>0</v>
      </c>
      <c r="O133" s="107" cm="1">
        <f t="array" ref="O133">SUM(SUMIFS('caseload data'!P:P,'caseload data'!$D:$D,"PSO",'caseload data'!$A:$A,$B132,'caseload data'!$B:$B,{"licence","community"}))</f>
        <v>0</v>
      </c>
      <c r="P133" s="107" cm="1">
        <f t="array" ref="P133">SUM(SUMIFS('caseload data'!Q:Q,'caseload data'!$D:$D,"PSO",'caseload data'!$A:$A,$B132,'caseload data'!$B:$B,{"licence","community"}))</f>
        <v>0</v>
      </c>
      <c r="Q133" s="107" cm="1">
        <f t="array" ref="Q133">SUM(SUMIFS('caseload data'!R:R,'caseload data'!$D:$D,"PSO",'caseload data'!$A:$A,$B132,'caseload data'!$B:$B,{"licence","community"}))</f>
        <v>0</v>
      </c>
      <c r="R133" s="107" cm="1">
        <f t="array" ref="R133">SUM(SUMIFS('caseload data'!S:S,'caseload data'!$D:$D,"PSO",'caseload data'!$A:$A,$B132,'caseload data'!$B:$B,{"licence","community"}))</f>
        <v>0</v>
      </c>
      <c r="S133" s="107" cm="1">
        <f t="array" ref="S133">SUM(SUMIFS('caseload data'!T:T,'caseload data'!$D:$D,"PSO",'caseload data'!$A:$A,$B132,'caseload data'!$B:$B,{"licence","community"}))</f>
        <v>0</v>
      </c>
      <c r="T133" s="107" cm="1">
        <f t="array" ref="T133">SUM(SUMIFS('caseload data'!V:V,'caseload data'!$D:$D,"PSO",'caseload data'!$A:$A,$B132,'caseload data'!$B:$B,{"licence","community"}))</f>
        <v>0</v>
      </c>
      <c r="U133" s="76"/>
      <c r="V133" s="76"/>
      <c r="W133" s="304"/>
      <c r="X133" s="142" t="s">
        <v>1038</v>
      </c>
      <c r="Y133" s="187" t="e">
        <f t="shared" ref="Y133:Y135" si="33">SUM(D133)/SUM(D$132:D$135)</f>
        <v>#DIV/0!</v>
      </c>
      <c r="Z133" s="187" t="e">
        <f t="shared" si="32"/>
        <v>#DIV/0!</v>
      </c>
      <c r="AA133" s="187" t="e">
        <f t="shared" si="32"/>
        <v>#DIV/0!</v>
      </c>
      <c r="AB133" s="187" t="e">
        <f t="shared" si="32"/>
        <v>#DIV/0!</v>
      </c>
      <c r="AC133" s="187" t="e">
        <f t="shared" si="32"/>
        <v>#DIV/0!</v>
      </c>
      <c r="AD133" s="187" t="e">
        <f t="shared" si="32"/>
        <v>#DIV/0!</v>
      </c>
      <c r="AE133" s="187" t="e">
        <f t="shared" si="32"/>
        <v>#DIV/0!</v>
      </c>
      <c r="AF133" s="187" t="e">
        <f t="shared" si="32"/>
        <v>#DIV/0!</v>
      </c>
      <c r="AG133" s="187" t="e">
        <f t="shared" si="32"/>
        <v>#DIV/0!</v>
      </c>
      <c r="AH133" s="187" t="e">
        <f t="shared" si="32"/>
        <v>#DIV/0!</v>
      </c>
      <c r="AI133" s="187" t="e">
        <f t="shared" si="32"/>
        <v>#DIV/0!</v>
      </c>
      <c r="AJ133" s="187" t="e">
        <f t="shared" si="32"/>
        <v>#DIV/0!</v>
      </c>
      <c r="AK133" s="187" t="e">
        <f t="shared" si="32"/>
        <v>#DIV/0!</v>
      </c>
      <c r="AL133" s="187" t="e">
        <f t="shared" si="32"/>
        <v>#DIV/0!</v>
      </c>
      <c r="AM133" s="187" t="e">
        <f t="shared" si="32"/>
        <v>#DIV/0!</v>
      </c>
      <c r="AN133" s="187" t="e">
        <f t="shared" si="32"/>
        <v>#DIV/0!</v>
      </c>
    </row>
    <row r="134" spans="2:40" x14ac:dyDescent="0.15">
      <c r="B134" s="304"/>
      <c r="C134" s="142" t="s">
        <v>1039</v>
      </c>
      <c r="D134" s="107" cm="1">
        <f t="array" ref="D134">SUM(SUMIFS('caseload data'!E:E,'caseload data'!$D:$D,"TPO",'caseload data'!$A:$A,$B132,'caseload data'!$B:$B,{"licence","community"}))</f>
        <v>0</v>
      </c>
      <c r="E134" s="107" cm="1">
        <f t="array" ref="E134">SUM(SUMIFS('caseload data'!F:F,'caseload data'!$D:$D,"TPO",'caseload data'!$A:$A,$B132,'caseload data'!$B:$B,{"licence","community"}))</f>
        <v>0</v>
      </c>
      <c r="F134" s="107" cm="1">
        <f t="array" ref="F134">SUM(SUMIFS('caseload data'!G:G,'caseload data'!$D:$D,"TPO",'caseload data'!$A:$A,$B132,'caseload data'!$B:$B,{"licence","community"}))</f>
        <v>0</v>
      </c>
      <c r="G134" s="107" cm="1">
        <f t="array" ref="G134">SUM(SUMIFS('caseload data'!H:H,'caseload data'!$D:$D,"TPO",'caseload data'!$A:$A,$B132,'caseload data'!$B:$B,{"licence","community"}))</f>
        <v>0</v>
      </c>
      <c r="H134" s="107" cm="1">
        <f t="array" ref="H134">SUM(SUMIFS('caseload data'!I:I,'caseload data'!$D:$D,"TPO",'caseload data'!$A:$A,$B132,'caseload data'!$B:$B,{"licence","community"}))</f>
        <v>0</v>
      </c>
      <c r="I134" s="107" cm="1">
        <f t="array" ref="I134">SUM(SUMIFS('caseload data'!J:J,'caseload data'!$D:$D,"TPO",'caseload data'!$A:$A,$B132,'caseload data'!$B:$B,{"licence","community"}))</f>
        <v>0</v>
      </c>
      <c r="J134" s="107" cm="1">
        <f t="array" ref="J134">SUM(SUMIFS('caseload data'!K:K,'caseload data'!$D:$D,"TPO",'caseload data'!$A:$A,$B132,'caseload data'!$B:$B,{"licence","community"}))</f>
        <v>0</v>
      </c>
      <c r="K134" s="107" cm="1">
        <f t="array" ref="K134">SUM(SUMIFS('caseload data'!L:L,'caseload data'!$D:$D,"TPO",'caseload data'!$A:$A,$B132,'caseload data'!$B:$B,{"licence","community"}))</f>
        <v>0</v>
      </c>
      <c r="L134" s="107" cm="1">
        <f t="array" ref="L134">SUM(SUMIFS('caseload data'!M:M,'caseload data'!$D:$D,"TPO",'caseload data'!$A:$A,$B132,'caseload data'!$B:$B,{"licence","community"}))</f>
        <v>0</v>
      </c>
      <c r="M134" s="107" cm="1">
        <f t="array" ref="M134">SUM(SUMIFS('caseload data'!N:N,'caseload data'!$D:$D,"TPO",'caseload data'!$A:$A,$B132,'caseload data'!$B:$B,{"licence","community"}))</f>
        <v>0</v>
      </c>
      <c r="N134" s="107" cm="1">
        <f t="array" ref="N134">SUM(SUMIFS('caseload data'!O:O,'caseload data'!$D:$D,"TPO",'caseload data'!$A:$A,$B132,'caseload data'!$B:$B,{"licence","community"}))</f>
        <v>0</v>
      </c>
      <c r="O134" s="107" cm="1">
        <f t="array" ref="O134">SUM(SUMIFS('caseload data'!P:P,'caseload data'!$D:$D,"TPO",'caseload data'!$A:$A,$B132,'caseload data'!$B:$B,{"licence","community"}))</f>
        <v>0</v>
      </c>
      <c r="P134" s="107" cm="1">
        <f t="array" ref="P134">SUM(SUMIFS('caseload data'!Q:Q,'caseload data'!$D:$D,"TPO",'caseload data'!$A:$A,$B132,'caseload data'!$B:$B,{"licence","community"}))</f>
        <v>0</v>
      </c>
      <c r="Q134" s="107" cm="1">
        <f t="array" ref="Q134">SUM(SUMIFS('caseload data'!R:R,'caseload data'!$D:$D,"TPO",'caseload data'!$A:$A,$B132,'caseload data'!$B:$B,{"licence","community"}))</f>
        <v>0</v>
      </c>
      <c r="R134" s="107" cm="1">
        <f t="array" ref="R134">SUM(SUMIFS('caseload data'!S:S,'caseload data'!$D:$D,"TPO",'caseload data'!$A:$A,$B132,'caseload data'!$B:$B,{"licence","community"}))</f>
        <v>0</v>
      </c>
      <c r="S134" s="107" cm="1">
        <f t="array" ref="S134">SUM(SUMIFS('caseload data'!T:T,'caseload data'!$D:$D,"TPO",'caseload data'!$A:$A,$B132,'caseload data'!$B:$B,{"licence","community"}))</f>
        <v>0</v>
      </c>
      <c r="T134" s="107" cm="1">
        <f t="array" ref="T134">SUM(SUMIFS('caseload data'!V:V,'caseload data'!$D:$D,"TPO",'caseload data'!$A:$A,$B132,'caseload data'!$B:$B,{"licence","community"}))</f>
        <v>0</v>
      </c>
      <c r="U134" s="76"/>
      <c r="V134" s="76"/>
      <c r="W134" s="304"/>
      <c r="X134" s="142" t="s">
        <v>1039</v>
      </c>
      <c r="Y134" s="187" t="e">
        <f t="shared" si="33"/>
        <v>#DIV/0!</v>
      </c>
      <c r="Z134" s="187" t="e">
        <f t="shared" si="32"/>
        <v>#DIV/0!</v>
      </c>
      <c r="AA134" s="187" t="e">
        <f t="shared" si="32"/>
        <v>#DIV/0!</v>
      </c>
      <c r="AB134" s="187" t="e">
        <f t="shared" si="32"/>
        <v>#DIV/0!</v>
      </c>
      <c r="AC134" s="187" t="e">
        <f t="shared" si="32"/>
        <v>#DIV/0!</v>
      </c>
      <c r="AD134" s="187" t="e">
        <f t="shared" si="32"/>
        <v>#DIV/0!</v>
      </c>
      <c r="AE134" s="187" t="e">
        <f t="shared" si="32"/>
        <v>#DIV/0!</v>
      </c>
      <c r="AF134" s="187" t="e">
        <f t="shared" si="32"/>
        <v>#DIV/0!</v>
      </c>
      <c r="AG134" s="187" t="e">
        <f t="shared" si="32"/>
        <v>#DIV/0!</v>
      </c>
      <c r="AH134" s="187" t="e">
        <f t="shared" si="32"/>
        <v>#DIV/0!</v>
      </c>
      <c r="AI134" s="187" t="e">
        <f t="shared" si="32"/>
        <v>#DIV/0!</v>
      </c>
      <c r="AJ134" s="187" t="e">
        <f t="shared" si="32"/>
        <v>#DIV/0!</v>
      </c>
      <c r="AK134" s="187" t="e">
        <f t="shared" si="32"/>
        <v>#DIV/0!</v>
      </c>
      <c r="AL134" s="187" t="e">
        <f t="shared" si="32"/>
        <v>#DIV/0!</v>
      </c>
      <c r="AM134" s="187" t="e">
        <f t="shared" si="32"/>
        <v>#DIV/0!</v>
      </c>
      <c r="AN134" s="187" t="e">
        <f t="shared" si="32"/>
        <v>#DIV/0!</v>
      </c>
    </row>
    <row r="135" spans="2:40" x14ac:dyDescent="0.15">
      <c r="B135" s="305"/>
      <c r="C135" s="143" t="s">
        <v>1040</v>
      </c>
      <c r="D135" s="107" cm="1">
        <f t="array" ref="D135">SUM(SUMIFS('caseload data'!E:E,'caseload data'!$D:$D,"SPO",'caseload data'!$A:$A,$B132,'caseload data'!$B:$B,{"licence","community"}))</f>
        <v>0</v>
      </c>
      <c r="E135" s="107" cm="1">
        <f t="array" ref="E135">SUM(SUMIFS('caseload data'!F:F,'caseload data'!$D:$D,"SPO",'caseload data'!$A:$A,$B132,'caseload data'!$B:$B,{"licence","community"}))</f>
        <v>0</v>
      </c>
      <c r="F135" s="107" cm="1">
        <f t="array" ref="F135">SUM(SUMIFS('caseload data'!G:G,'caseload data'!$D:$D,"SPO",'caseload data'!$A:$A,$B132,'caseload data'!$B:$B,{"licence","community"}))</f>
        <v>0</v>
      </c>
      <c r="G135" s="107" cm="1">
        <f t="array" ref="G135">SUM(SUMIFS('caseload data'!H:H,'caseload data'!$D:$D,"SPO",'caseload data'!$A:$A,$B132,'caseload data'!$B:$B,{"licence","community"}))</f>
        <v>0</v>
      </c>
      <c r="H135" s="107" cm="1">
        <f t="array" ref="H135">SUM(SUMIFS('caseload data'!I:I,'caseload data'!$D:$D,"SPO",'caseload data'!$A:$A,$B132,'caseload data'!$B:$B,{"licence","community"}))</f>
        <v>0</v>
      </c>
      <c r="I135" s="107" cm="1">
        <f t="array" ref="I135">SUM(SUMIFS('caseload data'!J:J,'caseload data'!$D:$D,"SPO",'caseload data'!$A:$A,$B132,'caseload data'!$B:$B,{"licence","community"}))</f>
        <v>0</v>
      </c>
      <c r="J135" s="107" cm="1">
        <f t="array" ref="J135">SUM(SUMIFS('caseload data'!K:K,'caseload data'!$D:$D,"SPO",'caseload data'!$A:$A,$B132,'caseload data'!$B:$B,{"licence","community"}))</f>
        <v>0</v>
      </c>
      <c r="K135" s="107" cm="1">
        <f t="array" ref="K135">SUM(SUMIFS('caseload data'!L:L,'caseload data'!$D:$D,"SPO",'caseload data'!$A:$A,$B132,'caseload data'!$B:$B,{"licence","community"}))</f>
        <v>0</v>
      </c>
      <c r="L135" s="107" cm="1">
        <f t="array" ref="L135">SUM(SUMIFS('caseload data'!M:M,'caseload data'!$D:$D,"SPO",'caseload data'!$A:$A,$B132,'caseload data'!$B:$B,{"licence","community"}))</f>
        <v>0</v>
      </c>
      <c r="M135" s="107" cm="1">
        <f t="array" ref="M135">SUM(SUMIFS('caseload data'!N:N,'caseload data'!$D:$D,"SPO",'caseload data'!$A:$A,$B132,'caseload data'!$B:$B,{"licence","community"}))</f>
        <v>0</v>
      </c>
      <c r="N135" s="107" cm="1">
        <f t="array" ref="N135">SUM(SUMIFS('caseload data'!O:O,'caseload data'!$D:$D,"SPO",'caseload data'!$A:$A,$B132,'caseload data'!$B:$B,{"licence","community"}))</f>
        <v>0</v>
      </c>
      <c r="O135" s="107" cm="1">
        <f t="array" ref="O135">SUM(SUMIFS('caseload data'!P:P,'caseload data'!$D:$D,"SPO",'caseload data'!$A:$A,$B132,'caseload data'!$B:$B,{"licence","community"}))</f>
        <v>0</v>
      </c>
      <c r="P135" s="107" cm="1">
        <f t="array" ref="P135">SUM(SUMIFS('caseload data'!Q:Q,'caseload data'!$D:$D,"SPO",'caseload data'!$A:$A,$B132,'caseload data'!$B:$B,{"licence","community"}))</f>
        <v>0</v>
      </c>
      <c r="Q135" s="107" cm="1">
        <f t="array" ref="Q135">SUM(SUMIFS('caseload data'!R:R,'caseload data'!$D:$D,"SPO",'caseload data'!$A:$A,$B132,'caseload data'!$B:$B,{"licence","community"}))</f>
        <v>0</v>
      </c>
      <c r="R135" s="107" cm="1">
        <f t="array" ref="R135">SUM(SUMIFS('caseload data'!S:S,'caseload data'!$D:$D,"SPO",'caseload data'!$A:$A,$B132,'caseload data'!$B:$B,{"licence","community"}))</f>
        <v>0</v>
      </c>
      <c r="S135" s="107" cm="1">
        <f t="array" ref="S135">SUM(SUMIFS('caseload data'!T:T,'caseload data'!$D:$D,"SPO",'caseload data'!$A:$A,$B132,'caseload data'!$B:$B,{"licence","community"}))</f>
        <v>0</v>
      </c>
      <c r="T135" s="107" cm="1">
        <f t="array" ref="T135">SUM(SUMIFS('caseload data'!V:V,'caseload data'!$D:$D,"SPO",'caseload data'!$A:$A,$B132,'caseload data'!$B:$B,{"licence","community"}))</f>
        <v>0</v>
      </c>
      <c r="U135" s="76"/>
      <c r="V135" s="76"/>
      <c r="W135" s="305"/>
      <c r="X135" s="143" t="s">
        <v>1040</v>
      </c>
      <c r="Y135" s="187" t="e">
        <f t="shared" si="33"/>
        <v>#DIV/0!</v>
      </c>
      <c r="Z135" s="187" t="e">
        <f t="shared" si="32"/>
        <v>#DIV/0!</v>
      </c>
      <c r="AA135" s="187" t="e">
        <f t="shared" si="32"/>
        <v>#DIV/0!</v>
      </c>
      <c r="AB135" s="187" t="e">
        <f t="shared" si="32"/>
        <v>#DIV/0!</v>
      </c>
      <c r="AC135" s="187" t="e">
        <f t="shared" si="32"/>
        <v>#DIV/0!</v>
      </c>
      <c r="AD135" s="187" t="e">
        <f t="shared" si="32"/>
        <v>#DIV/0!</v>
      </c>
      <c r="AE135" s="187" t="e">
        <f t="shared" si="32"/>
        <v>#DIV/0!</v>
      </c>
      <c r="AF135" s="187" t="e">
        <f t="shared" si="32"/>
        <v>#DIV/0!</v>
      </c>
      <c r="AG135" s="187" t="e">
        <f t="shared" si="32"/>
        <v>#DIV/0!</v>
      </c>
      <c r="AH135" s="187" t="e">
        <f t="shared" si="32"/>
        <v>#DIV/0!</v>
      </c>
      <c r="AI135" s="187" t="e">
        <f t="shared" si="32"/>
        <v>#DIV/0!</v>
      </c>
      <c r="AJ135" s="187" t="e">
        <f t="shared" si="32"/>
        <v>#DIV/0!</v>
      </c>
      <c r="AK135" s="187" t="e">
        <f t="shared" si="32"/>
        <v>#DIV/0!</v>
      </c>
      <c r="AL135" s="187" t="e">
        <f t="shared" si="32"/>
        <v>#DIV/0!</v>
      </c>
      <c r="AM135" s="187" t="e">
        <f t="shared" si="32"/>
        <v>#DIV/0!</v>
      </c>
      <c r="AN135" s="187" t="e">
        <f t="shared" si="32"/>
        <v>#DIV/0!</v>
      </c>
    </row>
    <row r="136" spans="2:40" x14ac:dyDescent="0.15">
      <c r="B136" s="303" t="s">
        <v>34</v>
      </c>
      <c r="C136" s="141" t="s">
        <v>1037</v>
      </c>
      <c r="D136" s="107" cm="1">
        <f t="array" ref="D136">SUM(SUMIFS('caseload data'!E:E,'caseload data'!$D:$D,"PO",'caseload data'!$A:$A,$B136,'caseload data'!$B:$B,{"licence","community"}))</f>
        <v>0</v>
      </c>
      <c r="E136" s="107" cm="1">
        <f t="array" ref="E136">SUM(SUMIFS('caseload data'!F:F,'caseload data'!$D:$D,"PO",'caseload data'!$A:$A,$B136,'caseload data'!$B:$B,{"licence","community"}))</f>
        <v>0</v>
      </c>
      <c r="F136" s="107" cm="1">
        <f t="array" ref="F136">SUM(SUMIFS('caseload data'!G:G,'caseload data'!$D:$D,"PO",'caseload data'!$A:$A,$B136,'caseload data'!$B:$B,{"licence","community"}))</f>
        <v>0</v>
      </c>
      <c r="G136" s="107" cm="1">
        <f t="array" ref="G136">SUM(SUMIFS('caseload data'!H:H,'caseload data'!$D:$D,"PO",'caseload data'!$A:$A,$B136,'caseload data'!$B:$B,{"licence","community"}))</f>
        <v>0</v>
      </c>
      <c r="H136" s="107" cm="1">
        <f t="array" ref="H136">SUM(SUMIFS('caseload data'!I:I,'caseload data'!$D:$D,"PO",'caseload data'!$A:$A,$B136,'caseload data'!$B:$B,{"licence","community"}))</f>
        <v>0</v>
      </c>
      <c r="I136" s="107" cm="1">
        <f t="array" ref="I136">SUM(SUMIFS('caseload data'!J:J,'caseload data'!$D:$D,"PO",'caseload data'!$A:$A,$B136,'caseload data'!$B:$B,{"licence","community"}))</f>
        <v>0</v>
      </c>
      <c r="J136" s="107" cm="1">
        <f t="array" ref="J136">SUM(SUMIFS('caseload data'!K:K,'caseload data'!$D:$D,"PO",'caseload data'!$A:$A,$B136,'caseload data'!$B:$B,{"licence","community"}))</f>
        <v>0</v>
      </c>
      <c r="K136" s="107" cm="1">
        <f t="array" ref="K136">SUM(SUMIFS('caseload data'!L:L,'caseload data'!$D:$D,"PO",'caseload data'!$A:$A,$B136,'caseload data'!$B:$B,{"licence","community"}))</f>
        <v>0</v>
      </c>
      <c r="L136" s="107" cm="1">
        <f t="array" ref="L136">SUM(SUMIFS('caseload data'!M:M,'caseload data'!$D:$D,"PO",'caseload data'!$A:$A,$B136,'caseload data'!$B:$B,{"licence","community"}))</f>
        <v>0</v>
      </c>
      <c r="M136" s="107" cm="1">
        <f t="array" ref="M136">SUM(SUMIFS('caseload data'!N:N,'caseload data'!$D:$D,"PO",'caseload data'!$A:$A,$B136,'caseload data'!$B:$B,{"licence","community"}))</f>
        <v>0</v>
      </c>
      <c r="N136" s="107" cm="1">
        <f t="array" ref="N136">SUM(SUMIFS('caseload data'!O:O,'caseload data'!$D:$D,"PO",'caseload data'!$A:$A,$B136,'caseload data'!$B:$B,{"licence","community"}))</f>
        <v>0</v>
      </c>
      <c r="O136" s="107" cm="1">
        <f t="array" ref="O136">SUM(SUMIFS('caseload data'!P:P,'caseload data'!$D:$D,"PO",'caseload data'!$A:$A,$B136,'caseload data'!$B:$B,{"licence","community"}))</f>
        <v>0</v>
      </c>
      <c r="P136" s="107" cm="1">
        <f t="array" ref="P136">SUM(SUMIFS('caseload data'!Q:Q,'caseload data'!$D:$D,"PO",'caseload data'!$A:$A,$B136,'caseload data'!$B:$B,{"licence","community"}))</f>
        <v>0</v>
      </c>
      <c r="Q136" s="107" cm="1">
        <f t="array" ref="Q136">SUM(SUMIFS('caseload data'!R:R,'caseload data'!$D:$D,"PO",'caseload data'!$A:$A,$B136,'caseload data'!$B:$B,{"licence","community"}))</f>
        <v>0</v>
      </c>
      <c r="R136" s="107" cm="1">
        <f t="array" ref="R136">SUM(SUMIFS('caseload data'!S:S,'caseload data'!$D:$D,"PO",'caseload data'!$A:$A,$B136,'caseload data'!$B:$B,{"licence","community"}))</f>
        <v>0</v>
      </c>
      <c r="S136" s="107" cm="1">
        <f t="array" ref="S136">SUM(SUMIFS('caseload data'!T:T,'caseload data'!$D:$D,"PO",'caseload data'!$A:$A,$B136,'caseload data'!$B:$B,{"licence","community"}))</f>
        <v>0</v>
      </c>
      <c r="T136" s="107" cm="1">
        <f t="array" ref="T136">SUM(SUMIFS('caseload data'!V:V,'caseload data'!$D:$D,"PO",'caseload data'!$A:$A,$B136,'caseload data'!$B:$B,{"licence","community"}))</f>
        <v>0</v>
      </c>
      <c r="U136" s="76"/>
      <c r="V136" s="76"/>
      <c r="W136" s="303" t="s">
        <v>34</v>
      </c>
      <c r="X136" s="141" t="s">
        <v>1037</v>
      </c>
      <c r="Y136" s="187" t="e">
        <f>SUM(D136)/SUM(D$136:D$139)</f>
        <v>#DIV/0!</v>
      </c>
      <c r="Z136" s="187" t="e">
        <f t="shared" ref="Z136:AN139" si="34">SUM(E136)/SUM(E$136:E$139)</f>
        <v>#DIV/0!</v>
      </c>
      <c r="AA136" s="187" t="e">
        <f t="shared" si="34"/>
        <v>#DIV/0!</v>
      </c>
      <c r="AB136" s="187" t="e">
        <f t="shared" si="34"/>
        <v>#DIV/0!</v>
      </c>
      <c r="AC136" s="187" t="e">
        <f t="shared" si="34"/>
        <v>#DIV/0!</v>
      </c>
      <c r="AD136" s="187" t="e">
        <f t="shared" si="34"/>
        <v>#DIV/0!</v>
      </c>
      <c r="AE136" s="187" t="e">
        <f t="shared" si="34"/>
        <v>#DIV/0!</v>
      </c>
      <c r="AF136" s="187" t="e">
        <f t="shared" si="34"/>
        <v>#DIV/0!</v>
      </c>
      <c r="AG136" s="187" t="e">
        <f t="shared" si="34"/>
        <v>#DIV/0!</v>
      </c>
      <c r="AH136" s="187" t="e">
        <f t="shared" si="34"/>
        <v>#DIV/0!</v>
      </c>
      <c r="AI136" s="187" t="e">
        <f t="shared" si="34"/>
        <v>#DIV/0!</v>
      </c>
      <c r="AJ136" s="187" t="e">
        <f t="shared" si="34"/>
        <v>#DIV/0!</v>
      </c>
      <c r="AK136" s="187" t="e">
        <f t="shared" si="34"/>
        <v>#DIV/0!</v>
      </c>
      <c r="AL136" s="187" t="e">
        <f t="shared" si="34"/>
        <v>#DIV/0!</v>
      </c>
      <c r="AM136" s="187" t="e">
        <f t="shared" si="34"/>
        <v>#DIV/0!</v>
      </c>
      <c r="AN136" s="187" t="e">
        <f t="shared" si="34"/>
        <v>#DIV/0!</v>
      </c>
    </row>
    <row r="137" spans="2:40" x14ac:dyDescent="0.15">
      <c r="B137" s="304"/>
      <c r="C137" s="142" t="s">
        <v>1038</v>
      </c>
      <c r="D137" s="107" cm="1">
        <f t="array" ref="D137">SUM(SUMIFS('caseload data'!E:E,'caseload data'!$D:$D,"PSO",'caseload data'!$A:$A,$B136,'caseload data'!$B:$B,{"licence","community"}))</f>
        <v>0</v>
      </c>
      <c r="E137" s="107" cm="1">
        <f t="array" ref="E137">SUM(SUMIFS('caseload data'!F:F,'caseload data'!$D:$D,"PSO",'caseload data'!$A:$A,$B136,'caseload data'!$B:$B,{"licence","community"}))</f>
        <v>0</v>
      </c>
      <c r="F137" s="107" cm="1">
        <f t="array" ref="F137">SUM(SUMIFS('caseload data'!G:G,'caseload data'!$D:$D,"PSO",'caseload data'!$A:$A,$B136,'caseload data'!$B:$B,{"licence","community"}))</f>
        <v>0</v>
      </c>
      <c r="G137" s="107" cm="1">
        <f t="array" ref="G137">SUM(SUMIFS('caseload data'!H:H,'caseload data'!$D:$D,"PSO",'caseload data'!$A:$A,$B136,'caseload data'!$B:$B,{"licence","community"}))</f>
        <v>0</v>
      </c>
      <c r="H137" s="107" cm="1">
        <f t="array" ref="H137">SUM(SUMIFS('caseload data'!I:I,'caseload data'!$D:$D,"PSO",'caseload data'!$A:$A,$B136,'caseload data'!$B:$B,{"licence","community"}))</f>
        <v>0</v>
      </c>
      <c r="I137" s="107" cm="1">
        <f t="array" ref="I137">SUM(SUMIFS('caseload data'!J:J,'caseload data'!$D:$D,"PSO",'caseload data'!$A:$A,$B136,'caseload data'!$B:$B,{"licence","community"}))</f>
        <v>0</v>
      </c>
      <c r="J137" s="107" cm="1">
        <f t="array" ref="J137">SUM(SUMIFS('caseload data'!K:K,'caseload data'!$D:$D,"PSO",'caseload data'!$A:$A,$B136,'caseload data'!$B:$B,{"licence","community"}))</f>
        <v>0</v>
      </c>
      <c r="K137" s="107" cm="1">
        <f t="array" ref="K137">SUM(SUMIFS('caseload data'!L:L,'caseload data'!$D:$D,"PSO",'caseload data'!$A:$A,$B136,'caseload data'!$B:$B,{"licence","community"}))</f>
        <v>0</v>
      </c>
      <c r="L137" s="107" cm="1">
        <f t="array" ref="L137">SUM(SUMIFS('caseload data'!M:M,'caseload data'!$D:$D,"PSO",'caseload data'!$A:$A,$B136,'caseload data'!$B:$B,{"licence","community"}))</f>
        <v>0</v>
      </c>
      <c r="M137" s="107" cm="1">
        <f t="array" ref="M137">SUM(SUMIFS('caseload data'!N:N,'caseload data'!$D:$D,"PSO",'caseload data'!$A:$A,$B136,'caseload data'!$B:$B,{"licence","community"}))</f>
        <v>0</v>
      </c>
      <c r="N137" s="107" cm="1">
        <f t="array" ref="N137">SUM(SUMIFS('caseload data'!O:O,'caseload data'!$D:$D,"PSO",'caseload data'!$A:$A,$B136,'caseload data'!$B:$B,{"licence","community"}))</f>
        <v>0</v>
      </c>
      <c r="O137" s="107" cm="1">
        <f t="array" ref="O137">SUM(SUMIFS('caseload data'!P:P,'caseload data'!$D:$D,"PSO",'caseload data'!$A:$A,$B136,'caseload data'!$B:$B,{"licence","community"}))</f>
        <v>0</v>
      </c>
      <c r="P137" s="107" cm="1">
        <f t="array" ref="P137">SUM(SUMIFS('caseload data'!Q:Q,'caseload data'!$D:$D,"PSO",'caseload data'!$A:$A,$B136,'caseload data'!$B:$B,{"licence","community"}))</f>
        <v>0</v>
      </c>
      <c r="Q137" s="107" cm="1">
        <f t="array" ref="Q137">SUM(SUMIFS('caseload data'!R:R,'caseload data'!$D:$D,"PSO",'caseload data'!$A:$A,$B136,'caseload data'!$B:$B,{"licence","community"}))</f>
        <v>0</v>
      </c>
      <c r="R137" s="107" cm="1">
        <f t="array" ref="R137">SUM(SUMIFS('caseload data'!S:S,'caseload data'!$D:$D,"PSO",'caseload data'!$A:$A,$B136,'caseload data'!$B:$B,{"licence","community"}))</f>
        <v>0</v>
      </c>
      <c r="S137" s="107" cm="1">
        <f t="array" ref="S137">SUM(SUMIFS('caseload data'!T:T,'caseload data'!$D:$D,"PSO",'caseload data'!$A:$A,$B136,'caseload data'!$B:$B,{"licence","community"}))</f>
        <v>0</v>
      </c>
      <c r="T137" s="107" cm="1">
        <f t="array" ref="T137">SUM(SUMIFS('caseload data'!V:V,'caseload data'!$D:$D,"PSO",'caseload data'!$A:$A,$B136,'caseload data'!$B:$B,{"licence","community"}))</f>
        <v>0</v>
      </c>
      <c r="U137" s="76"/>
      <c r="V137" s="76"/>
      <c r="W137" s="304"/>
      <c r="X137" s="142" t="s">
        <v>1038</v>
      </c>
      <c r="Y137" s="187" t="e">
        <f t="shared" ref="Y137:Y139" si="35">SUM(D137)/SUM(D$136:D$139)</f>
        <v>#DIV/0!</v>
      </c>
      <c r="Z137" s="187" t="e">
        <f t="shared" si="34"/>
        <v>#DIV/0!</v>
      </c>
      <c r="AA137" s="187" t="e">
        <f t="shared" si="34"/>
        <v>#DIV/0!</v>
      </c>
      <c r="AB137" s="187" t="e">
        <f t="shared" si="34"/>
        <v>#DIV/0!</v>
      </c>
      <c r="AC137" s="187" t="e">
        <f t="shared" si="34"/>
        <v>#DIV/0!</v>
      </c>
      <c r="AD137" s="187" t="e">
        <f t="shared" si="34"/>
        <v>#DIV/0!</v>
      </c>
      <c r="AE137" s="187" t="e">
        <f t="shared" si="34"/>
        <v>#DIV/0!</v>
      </c>
      <c r="AF137" s="187" t="e">
        <f t="shared" si="34"/>
        <v>#DIV/0!</v>
      </c>
      <c r="AG137" s="187" t="e">
        <f t="shared" si="34"/>
        <v>#DIV/0!</v>
      </c>
      <c r="AH137" s="187" t="e">
        <f t="shared" si="34"/>
        <v>#DIV/0!</v>
      </c>
      <c r="AI137" s="187" t="e">
        <f t="shared" si="34"/>
        <v>#DIV/0!</v>
      </c>
      <c r="AJ137" s="187" t="e">
        <f t="shared" si="34"/>
        <v>#DIV/0!</v>
      </c>
      <c r="AK137" s="187" t="e">
        <f t="shared" si="34"/>
        <v>#DIV/0!</v>
      </c>
      <c r="AL137" s="187" t="e">
        <f t="shared" si="34"/>
        <v>#DIV/0!</v>
      </c>
      <c r="AM137" s="187" t="e">
        <f t="shared" si="34"/>
        <v>#DIV/0!</v>
      </c>
      <c r="AN137" s="187" t="e">
        <f t="shared" si="34"/>
        <v>#DIV/0!</v>
      </c>
    </row>
    <row r="138" spans="2:40" x14ac:dyDescent="0.15">
      <c r="B138" s="304"/>
      <c r="C138" s="142" t="s">
        <v>1039</v>
      </c>
      <c r="D138" s="107" cm="1">
        <f t="array" ref="D138">SUM(SUMIFS('caseload data'!E:E,'caseload data'!$D:$D,"TPO",'caseload data'!$A:$A,$B136,'caseload data'!$B:$B,{"licence","community"}))</f>
        <v>0</v>
      </c>
      <c r="E138" s="107" cm="1">
        <f t="array" ref="E138">SUM(SUMIFS('caseload data'!F:F,'caseload data'!$D:$D,"TPO",'caseload data'!$A:$A,$B136,'caseload data'!$B:$B,{"licence","community"}))</f>
        <v>0</v>
      </c>
      <c r="F138" s="107" cm="1">
        <f t="array" ref="F138">SUM(SUMIFS('caseload data'!G:G,'caseload data'!$D:$D,"TPO",'caseload data'!$A:$A,$B136,'caseload data'!$B:$B,{"licence","community"}))</f>
        <v>0</v>
      </c>
      <c r="G138" s="107" cm="1">
        <f t="array" ref="G138">SUM(SUMIFS('caseload data'!H:H,'caseload data'!$D:$D,"TPO",'caseload data'!$A:$A,$B136,'caseload data'!$B:$B,{"licence","community"}))</f>
        <v>0</v>
      </c>
      <c r="H138" s="107" cm="1">
        <f t="array" ref="H138">SUM(SUMIFS('caseload data'!I:I,'caseload data'!$D:$D,"TPO",'caseload data'!$A:$A,$B136,'caseload data'!$B:$B,{"licence","community"}))</f>
        <v>0</v>
      </c>
      <c r="I138" s="107" cm="1">
        <f t="array" ref="I138">SUM(SUMIFS('caseload data'!J:J,'caseload data'!$D:$D,"TPO",'caseload data'!$A:$A,$B136,'caseload data'!$B:$B,{"licence","community"}))</f>
        <v>0</v>
      </c>
      <c r="J138" s="107" cm="1">
        <f t="array" ref="J138">SUM(SUMIFS('caseload data'!K:K,'caseload data'!$D:$D,"TPO",'caseload data'!$A:$A,$B136,'caseload data'!$B:$B,{"licence","community"}))</f>
        <v>0</v>
      </c>
      <c r="K138" s="107" cm="1">
        <f t="array" ref="K138">SUM(SUMIFS('caseload data'!L:L,'caseload data'!$D:$D,"TPO",'caseload data'!$A:$A,$B136,'caseload data'!$B:$B,{"licence","community"}))</f>
        <v>0</v>
      </c>
      <c r="L138" s="107" cm="1">
        <f t="array" ref="L138">SUM(SUMIFS('caseload data'!M:M,'caseload data'!$D:$D,"TPO",'caseload data'!$A:$A,$B136,'caseload data'!$B:$B,{"licence","community"}))</f>
        <v>0</v>
      </c>
      <c r="M138" s="107" cm="1">
        <f t="array" ref="M138">SUM(SUMIFS('caseload data'!N:N,'caseload data'!$D:$D,"TPO",'caseload data'!$A:$A,$B136,'caseload data'!$B:$B,{"licence","community"}))</f>
        <v>0</v>
      </c>
      <c r="N138" s="107" cm="1">
        <f t="array" ref="N138">SUM(SUMIFS('caseload data'!O:O,'caseload data'!$D:$D,"TPO",'caseload data'!$A:$A,$B136,'caseload data'!$B:$B,{"licence","community"}))</f>
        <v>0</v>
      </c>
      <c r="O138" s="107" cm="1">
        <f t="array" ref="O138">SUM(SUMIFS('caseload data'!P:P,'caseload data'!$D:$D,"TPO",'caseload data'!$A:$A,$B136,'caseload data'!$B:$B,{"licence","community"}))</f>
        <v>0</v>
      </c>
      <c r="P138" s="107" cm="1">
        <f t="array" ref="P138">SUM(SUMIFS('caseload data'!Q:Q,'caseload data'!$D:$D,"TPO",'caseload data'!$A:$A,$B136,'caseload data'!$B:$B,{"licence","community"}))</f>
        <v>0</v>
      </c>
      <c r="Q138" s="107" cm="1">
        <f t="array" ref="Q138">SUM(SUMIFS('caseload data'!R:R,'caseload data'!$D:$D,"TPO",'caseload data'!$A:$A,$B136,'caseload data'!$B:$B,{"licence","community"}))</f>
        <v>0</v>
      </c>
      <c r="R138" s="107" cm="1">
        <f t="array" ref="R138">SUM(SUMIFS('caseload data'!S:S,'caseload data'!$D:$D,"TPO",'caseload data'!$A:$A,$B136,'caseload data'!$B:$B,{"licence","community"}))</f>
        <v>0</v>
      </c>
      <c r="S138" s="107" cm="1">
        <f t="array" ref="S138">SUM(SUMIFS('caseload data'!T:T,'caseload data'!$D:$D,"TPO",'caseload data'!$A:$A,$B136,'caseload data'!$B:$B,{"licence","community"}))</f>
        <v>0</v>
      </c>
      <c r="T138" s="107" cm="1">
        <f t="array" ref="T138">SUM(SUMIFS('caseload data'!V:V,'caseload data'!$D:$D,"TPO",'caseload data'!$A:$A,$B136,'caseload data'!$B:$B,{"licence","community"}))</f>
        <v>0</v>
      </c>
      <c r="U138" s="76"/>
      <c r="V138" s="76"/>
      <c r="W138" s="304"/>
      <c r="X138" s="142" t="s">
        <v>1039</v>
      </c>
      <c r="Y138" s="187" t="e">
        <f t="shared" si="35"/>
        <v>#DIV/0!</v>
      </c>
      <c r="Z138" s="187" t="e">
        <f t="shared" si="34"/>
        <v>#DIV/0!</v>
      </c>
      <c r="AA138" s="187" t="e">
        <f t="shared" si="34"/>
        <v>#DIV/0!</v>
      </c>
      <c r="AB138" s="187" t="e">
        <f t="shared" si="34"/>
        <v>#DIV/0!</v>
      </c>
      <c r="AC138" s="187" t="e">
        <f t="shared" si="34"/>
        <v>#DIV/0!</v>
      </c>
      <c r="AD138" s="187" t="e">
        <f t="shared" si="34"/>
        <v>#DIV/0!</v>
      </c>
      <c r="AE138" s="187" t="e">
        <f t="shared" si="34"/>
        <v>#DIV/0!</v>
      </c>
      <c r="AF138" s="187" t="e">
        <f t="shared" si="34"/>
        <v>#DIV/0!</v>
      </c>
      <c r="AG138" s="187" t="e">
        <f t="shared" si="34"/>
        <v>#DIV/0!</v>
      </c>
      <c r="AH138" s="187" t="e">
        <f t="shared" si="34"/>
        <v>#DIV/0!</v>
      </c>
      <c r="AI138" s="187" t="e">
        <f t="shared" si="34"/>
        <v>#DIV/0!</v>
      </c>
      <c r="AJ138" s="187" t="e">
        <f t="shared" si="34"/>
        <v>#DIV/0!</v>
      </c>
      <c r="AK138" s="187" t="e">
        <f t="shared" si="34"/>
        <v>#DIV/0!</v>
      </c>
      <c r="AL138" s="187" t="e">
        <f t="shared" si="34"/>
        <v>#DIV/0!</v>
      </c>
      <c r="AM138" s="187" t="e">
        <f t="shared" si="34"/>
        <v>#DIV/0!</v>
      </c>
      <c r="AN138" s="187" t="e">
        <f t="shared" si="34"/>
        <v>#DIV/0!</v>
      </c>
    </row>
    <row r="139" spans="2:40" ht="15" thickBot="1" x14ac:dyDescent="0.2">
      <c r="B139" s="305"/>
      <c r="C139" s="143" t="s">
        <v>1040</v>
      </c>
      <c r="D139" s="107" cm="1">
        <f t="array" ref="D139">SUM(SUMIFS('caseload data'!E:E,'caseload data'!$D:$D,"SPO",'caseload data'!$A:$A,$B136,'caseload data'!$B:$B,{"licence","community"}))</f>
        <v>0</v>
      </c>
      <c r="E139" s="107" cm="1">
        <f t="array" ref="E139">SUM(SUMIFS('caseload data'!F:F,'caseload data'!$D:$D,"SPO",'caseload data'!$A:$A,$B136,'caseload data'!$B:$B,{"licence","community"}))</f>
        <v>0</v>
      </c>
      <c r="F139" s="107" cm="1">
        <f t="array" ref="F139">SUM(SUMIFS('caseload data'!G:G,'caseload data'!$D:$D,"SPO",'caseload data'!$A:$A,$B136,'caseload data'!$B:$B,{"licence","community"}))</f>
        <v>0</v>
      </c>
      <c r="G139" s="107" cm="1">
        <f t="array" ref="G139">SUM(SUMIFS('caseload data'!H:H,'caseload data'!$D:$D,"SPO",'caseload data'!$A:$A,$B136,'caseload data'!$B:$B,{"licence","community"}))</f>
        <v>0</v>
      </c>
      <c r="H139" s="107" cm="1">
        <f t="array" ref="H139">SUM(SUMIFS('caseload data'!I:I,'caseload data'!$D:$D,"SPO",'caseload data'!$A:$A,$B136,'caseload data'!$B:$B,{"licence","community"}))</f>
        <v>0</v>
      </c>
      <c r="I139" s="107" cm="1">
        <f t="array" ref="I139">SUM(SUMIFS('caseload data'!J:J,'caseload data'!$D:$D,"SPO",'caseload data'!$A:$A,$B136,'caseload data'!$B:$B,{"licence","community"}))</f>
        <v>0</v>
      </c>
      <c r="J139" s="107" cm="1">
        <f t="array" ref="J139">SUM(SUMIFS('caseload data'!K:K,'caseload data'!$D:$D,"SPO",'caseload data'!$A:$A,$B136,'caseload data'!$B:$B,{"licence","community"}))</f>
        <v>0</v>
      </c>
      <c r="K139" s="107" cm="1">
        <f t="array" ref="K139">SUM(SUMIFS('caseload data'!L:L,'caseload data'!$D:$D,"SPO",'caseload data'!$A:$A,$B136,'caseload data'!$B:$B,{"licence","community"}))</f>
        <v>0</v>
      </c>
      <c r="L139" s="107" cm="1">
        <f t="array" ref="L139">SUM(SUMIFS('caseload data'!M:M,'caseload data'!$D:$D,"SPO",'caseload data'!$A:$A,$B136,'caseload data'!$B:$B,{"licence","community"}))</f>
        <v>0</v>
      </c>
      <c r="M139" s="107" cm="1">
        <f t="array" ref="M139">SUM(SUMIFS('caseload data'!N:N,'caseload data'!$D:$D,"SPO",'caseload data'!$A:$A,$B136,'caseload data'!$B:$B,{"licence","community"}))</f>
        <v>0</v>
      </c>
      <c r="N139" s="107" cm="1">
        <f t="array" ref="N139">SUM(SUMIFS('caseload data'!O:O,'caseload data'!$D:$D,"SPO",'caseload data'!$A:$A,$B136,'caseload data'!$B:$B,{"licence","community"}))</f>
        <v>0</v>
      </c>
      <c r="O139" s="107" cm="1">
        <f t="array" ref="O139">SUM(SUMIFS('caseload data'!P:P,'caseload data'!$D:$D,"SPO",'caseload data'!$A:$A,$B136,'caseload data'!$B:$B,{"licence","community"}))</f>
        <v>0</v>
      </c>
      <c r="P139" s="107" cm="1">
        <f t="array" ref="P139">SUM(SUMIFS('caseload data'!Q:Q,'caseload data'!$D:$D,"SPO",'caseload data'!$A:$A,$B136,'caseload data'!$B:$B,{"licence","community"}))</f>
        <v>0</v>
      </c>
      <c r="Q139" s="107" cm="1">
        <f t="array" ref="Q139">SUM(SUMIFS('caseload data'!R:R,'caseload data'!$D:$D,"SPO",'caseload data'!$A:$A,$B136,'caseload data'!$B:$B,{"licence","community"}))</f>
        <v>0</v>
      </c>
      <c r="R139" s="107" cm="1">
        <f t="array" ref="R139">SUM(SUMIFS('caseload data'!S:S,'caseload data'!$D:$D,"SPO",'caseload data'!$A:$A,$B136,'caseload data'!$B:$B,{"licence","community"}))</f>
        <v>0</v>
      </c>
      <c r="S139" s="107" cm="1">
        <f t="array" ref="S139">SUM(SUMIFS('caseload data'!T:T,'caseload data'!$D:$D,"SPO",'caseload data'!$A:$A,$B136,'caseload data'!$B:$B,{"licence","community"}))</f>
        <v>0</v>
      </c>
      <c r="T139" s="107" cm="1">
        <f t="array" ref="T139">SUM(SUMIFS('caseload data'!V:V,'caseload data'!$D:$D,"SPO",'caseload data'!$A:$A,$B136,'caseload data'!$B:$B,{"licence","community"}))</f>
        <v>0</v>
      </c>
      <c r="U139" s="76"/>
      <c r="V139" s="76"/>
      <c r="W139" s="305"/>
      <c r="X139" s="143" t="s">
        <v>1040</v>
      </c>
      <c r="Y139" s="187" t="e">
        <f t="shared" si="35"/>
        <v>#DIV/0!</v>
      </c>
      <c r="Z139" s="187" t="e">
        <f t="shared" si="34"/>
        <v>#DIV/0!</v>
      </c>
      <c r="AA139" s="187" t="e">
        <f t="shared" si="34"/>
        <v>#DIV/0!</v>
      </c>
      <c r="AB139" s="187" t="e">
        <f t="shared" si="34"/>
        <v>#DIV/0!</v>
      </c>
      <c r="AC139" s="187" t="e">
        <f t="shared" si="34"/>
        <v>#DIV/0!</v>
      </c>
      <c r="AD139" s="187" t="e">
        <f t="shared" si="34"/>
        <v>#DIV/0!</v>
      </c>
      <c r="AE139" s="187" t="e">
        <f t="shared" si="34"/>
        <v>#DIV/0!</v>
      </c>
      <c r="AF139" s="187" t="e">
        <f t="shared" si="34"/>
        <v>#DIV/0!</v>
      </c>
      <c r="AG139" s="187" t="e">
        <f t="shared" si="34"/>
        <v>#DIV/0!</v>
      </c>
      <c r="AH139" s="187" t="e">
        <f t="shared" si="34"/>
        <v>#DIV/0!</v>
      </c>
      <c r="AI139" s="187" t="e">
        <f t="shared" si="34"/>
        <v>#DIV/0!</v>
      </c>
      <c r="AJ139" s="187" t="e">
        <f t="shared" si="34"/>
        <v>#DIV/0!</v>
      </c>
      <c r="AK139" s="187" t="e">
        <f t="shared" si="34"/>
        <v>#DIV/0!</v>
      </c>
      <c r="AL139" s="187" t="e">
        <f t="shared" si="34"/>
        <v>#DIV/0!</v>
      </c>
      <c r="AM139" s="187" t="e">
        <f t="shared" si="34"/>
        <v>#DIV/0!</v>
      </c>
      <c r="AN139" s="187" t="e">
        <f t="shared" si="34"/>
        <v>#DIV/0!</v>
      </c>
    </row>
    <row r="140" spans="2:40" x14ac:dyDescent="0.15">
      <c r="B140" s="327" t="s">
        <v>1240</v>
      </c>
      <c r="C140" s="150" t="s">
        <v>1037</v>
      </c>
      <c r="D140" s="151" cm="1">
        <f t="array" ref="D140">SUM(SUMIFS('caseload data'!E:E,'caseload data'!$D:$D,"PO",'caseload data'!$B:$B,{"licence","community"}))</f>
        <v>0</v>
      </c>
      <c r="E140" s="151" cm="1">
        <f t="array" ref="E140">SUM(SUMIFS('caseload data'!F:F,'caseload data'!$D:$D,"PO",'caseload data'!$B:$B,{"licence","community"}))</f>
        <v>0</v>
      </c>
      <c r="F140" s="151" cm="1">
        <f t="array" ref="F140">SUM(SUMIFS('caseload data'!G:G,'caseload data'!$D:$D,"PO",'caseload data'!$B:$B,{"licence","community"}))</f>
        <v>0</v>
      </c>
      <c r="G140" s="151" cm="1">
        <f t="array" ref="G140">SUM(SUMIFS('caseload data'!H:H,'caseload data'!$D:$D,"PO",'caseload data'!$B:$B,{"licence","community"}))</f>
        <v>0</v>
      </c>
      <c r="H140" s="151" cm="1">
        <f t="array" ref="H140">SUM(SUMIFS('caseload data'!I:I,'caseload data'!$D:$D,"PO",'caseload data'!$B:$B,{"licence","community"}))</f>
        <v>0</v>
      </c>
      <c r="I140" s="151" cm="1">
        <f t="array" ref="I140">SUM(SUMIFS('caseload data'!J:J,'caseload data'!$D:$D,"PO",'caseload data'!$B:$B,{"licence","community"}))</f>
        <v>0</v>
      </c>
      <c r="J140" s="151" cm="1">
        <f t="array" ref="J140">SUM(SUMIFS('caseload data'!K:K,'caseload data'!$D:$D,"PO",'caseload data'!$B:$B,{"licence","community"}))</f>
        <v>0</v>
      </c>
      <c r="K140" s="151" cm="1">
        <f t="array" ref="K140">SUM(SUMIFS('caseload data'!L:L,'caseload data'!$D:$D,"PO",'caseload data'!$B:$B,{"licence","community"}))</f>
        <v>0</v>
      </c>
      <c r="L140" s="151" cm="1">
        <f t="array" ref="L140">SUM(SUMIFS('caseload data'!M:M,'caseload data'!$D:$D,"PO",'caseload data'!$B:$B,{"licence","community"}))</f>
        <v>0</v>
      </c>
      <c r="M140" s="151" cm="1">
        <f t="array" ref="M140">SUM(SUMIFS('caseload data'!N:N,'caseload data'!$D:$D,"PO",'caseload data'!$B:$B,{"licence","community"}))</f>
        <v>0</v>
      </c>
      <c r="N140" s="151" cm="1">
        <f t="array" ref="N140">SUM(SUMIFS('caseload data'!O:O,'caseload data'!$D:$D,"PO",'caseload data'!$B:$B,{"licence","community"}))</f>
        <v>0</v>
      </c>
      <c r="O140" s="151" cm="1">
        <f t="array" ref="O140">SUM(SUMIFS('caseload data'!P:P,'caseload data'!$D:$D,"PO",'caseload data'!$B:$B,{"licence","community"}))</f>
        <v>0</v>
      </c>
      <c r="P140" s="151" cm="1">
        <f t="array" ref="P140">SUM(SUMIFS('caseload data'!Q:Q,'caseload data'!$D:$D,"PO",'caseload data'!$B:$B,{"licence","community"}))</f>
        <v>0</v>
      </c>
      <c r="Q140" s="151" cm="1">
        <f t="array" ref="Q140">SUM(SUMIFS('caseload data'!R:R,'caseload data'!$D:$D,"PO",'caseload data'!$B:$B,{"licence","community"}))</f>
        <v>0</v>
      </c>
      <c r="R140" s="151" cm="1">
        <f t="array" ref="R140">SUM(SUMIFS('caseload data'!S:S,'caseload data'!$D:$D,"PO",'caseload data'!$B:$B,{"licence","community"}))</f>
        <v>0</v>
      </c>
      <c r="S140" s="151" cm="1">
        <f t="array" ref="S140">SUM(SUMIFS('caseload data'!T:T,'caseload data'!$D:$D,"PO",'caseload data'!$B:$B,{"licence","community"}))</f>
        <v>0</v>
      </c>
      <c r="T140" s="152">
        <f>SUM(SUMIFS('caseload data'!V:V,'caseload data'!D:D,"PO",'caseload data'!B:B,{"licence","community"}))</f>
        <v>0</v>
      </c>
      <c r="U140" s="76"/>
      <c r="V140" s="76"/>
      <c r="W140" s="319" t="s">
        <v>1240</v>
      </c>
      <c r="X140" s="150" t="s">
        <v>1037</v>
      </c>
      <c r="Y140" s="154" t="e">
        <f>SUM(D140)/SUM(D$140:D$143)</f>
        <v>#DIV/0!</v>
      </c>
      <c r="Z140" s="154" t="e">
        <f t="shared" ref="Z140:AN143" si="36">SUM(E140)/SUM(E$140:E$143)</f>
        <v>#DIV/0!</v>
      </c>
      <c r="AA140" s="154" t="e">
        <f t="shared" si="36"/>
        <v>#DIV/0!</v>
      </c>
      <c r="AB140" s="154" t="e">
        <f t="shared" si="36"/>
        <v>#DIV/0!</v>
      </c>
      <c r="AC140" s="154" t="e">
        <f t="shared" si="36"/>
        <v>#DIV/0!</v>
      </c>
      <c r="AD140" s="154" t="e">
        <f t="shared" si="36"/>
        <v>#DIV/0!</v>
      </c>
      <c r="AE140" s="154" t="e">
        <f t="shared" si="36"/>
        <v>#DIV/0!</v>
      </c>
      <c r="AF140" s="154" t="e">
        <f t="shared" si="36"/>
        <v>#DIV/0!</v>
      </c>
      <c r="AG140" s="154" t="e">
        <f t="shared" si="36"/>
        <v>#DIV/0!</v>
      </c>
      <c r="AH140" s="154" t="e">
        <f t="shared" si="36"/>
        <v>#DIV/0!</v>
      </c>
      <c r="AI140" s="154" t="e">
        <f t="shared" si="36"/>
        <v>#DIV/0!</v>
      </c>
      <c r="AJ140" s="154" t="e">
        <f t="shared" si="36"/>
        <v>#DIV/0!</v>
      </c>
      <c r="AK140" s="154" t="e">
        <f t="shared" si="36"/>
        <v>#DIV/0!</v>
      </c>
      <c r="AL140" s="154" t="e">
        <f t="shared" si="36"/>
        <v>#DIV/0!</v>
      </c>
      <c r="AM140" s="154" t="e">
        <f t="shared" si="36"/>
        <v>#DIV/0!</v>
      </c>
      <c r="AN140" s="154" t="e">
        <f t="shared" si="36"/>
        <v>#DIV/0!</v>
      </c>
    </row>
    <row r="141" spans="2:40" x14ac:dyDescent="0.15">
      <c r="B141" s="325"/>
      <c r="C141" s="153" t="s">
        <v>1038</v>
      </c>
      <c r="D141" s="151" cm="1">
        <f t="array" ref="D141">SUM(SUMIFS('caseload data'!E:E,'caseload data'!$D:$D,"PSO",'caseload data'!$B:$B,{"licence","community"}))</f>
        <v>0</v>
      </c>
      <c r="E141" s="151" cm="1">
        <f t="array" ref="E141">SUM(SUMIFS('caseload data'!F:F,'caseload data'!$D:$D,"PSO",'caseload data'!$B:$B,{"licence","community"}))</f>
        <v>0</v>
      </c>
      <c r="F141" s="151" cm="1">
        <f t="array" ref="F141">SUM(SUMIFS('caseload data'!G:G,'caseload data'!$D:$D,"PSO",'caseload data'!$B:$B,{"licence","community"}))</f>
        <v>0</v>
      </c>
      <c r="G141" s="151" cm="1">
        <f t="array" ref="G141">SUM(SUMIFS('caseload data'!H:H,'caseload data'!$D:$D,"PSO",'caseload data'!$B:$B,{"licence","community"}))</f>
        <v>0</v>
      </c>
      <c r="H141" s="151" cm="1">
        <f t="array" ref="H141">SUM(SUMIFS('caseload data'!I:I,'caseload data'!$D:$D,"PSO",'caseload data'!$B:$B,{"licence","community"}))</f>
        <v>0</v>
      </c>
      <c r="I141" s="151" cm="1">
        <f t="array" ref="I141">SUM(SUMIFS('caseload data'!J:J,'caseload data'!$D:$D,"PSO",'caseload data'!$B:$B,{"licence","community"}))</f>
        <v>0</v>
      </c>
      <c r="J141" s="151" cm="1">
        <f t="array" ref="J141">SUM(SUMIFS('caseload data'!K:K,'caseload data'!$D:$D,"PSO",'caseload data'!$B:$B,{"licence","community"}))</f>
        <v>0</v>
      </c>
      <c r="K141" s="151" cm="1">
        <f t="array" ref="K141">SUM(SUMIFS('caseload data'!L:L,'caseload data'!$D:$D,"PSO",'caseload data'!$B:$B,{"licence","community"}))</f>
        <v>0</v>
      </c>
      <c r="L141" s="151" cm="1">
        <f t="array" ref="L141">SUM(SUMIFS('caseload data'!M:M,'caseload data'!$D:$D,"PSO",'caseload data'!$B:$B,{"licence","community"}))</f>
        <v>0</v>
      </c>
      <c r="M141" s="151" cm="1">
        <f t="array" ref="M141">SUM(SUMIFS('caseload data'!N:N,'caseload data'!$D:$D,"PSO",'caseload data'!$B:$B,{"licence","community"}))</f>
        <v>0</v>
      </c>
      <c r="N141" s="151" cm="1">
        <f t="array" ref="N141">SUM(SUMIFS('caseload data'!O:O,'caseload data'!$D:$D,"PSO",'caseload data'!$B:$B,{"licence","community"}))</f>
        <v>0</v>
      </c>
      <c r="O141" s="151" cm="1">
        <f t="array" ref="O141">SUM(SUMIFS('caseload data'!P:P,'caseload data'!$D:$D,"PSO",'caseload data'!$B:$B,{"licence","community"}))</f>
        <v>0</v>
      </c>
      <c r="P141" s="151" cm="1">
        <f t="array" ref="P141">SUM(SUMIFS('caseload data'!Q:Q,'caseload data'!$D:$D,"PSO",'caseload data'!$B:$B,{"licence","community"}))</f>
        <v>0</v>
      </c>
      <c r="Q141" s="151" cm="1">
        <f t="array" ref="Q141">SUM(SUMIFS('caseload data'!R:R,'caseload data'!$D:$D,"PSO",'caseload data'!$B:$B,{"licence","community"}))</f>
        <v>0</v>
      </c>
      <c r="R141" s="151" cm="1">
        <f t="array" ref="R141">SUM(SUMIFS('caseload data'!S:S,'caseload data'!$D:$D,"PSO",'caseload data'!$B:$B,{"licence","community"}))</f>
        <v>0</v>
      </c>
      <c r="S141" s="151" cm="1">
        <f t="array" ref="S141">SUM(SUMIFS('caseload data'!T:T,'caseload data'!$D:$D,"PSO",'caseload data'!$B:$B,{"licence","community"}))</f>
        <v>0</v>
      </c>
      <c r="T141" s="152">
        <f>SUM(SUMIFS('caseload data'!V:V,'caseload data'!D:D,"PSO",'caseload data'!B:B,{"licence","community"}))</f>
        <v>0</v>
      </c>
      <c r="U141" s="76"/>
      <c r="V141" s="76"/>
      <c r="W141" s="320"/>
      <c r="X141" s="153" t="s">
        <v>1038</v>
      </c>
      <c r="Y141" s="154" t="e">
        <f>SUM(D141)/SUM(D$140:D$143)</f>
        <v>#DIV/0!</v>
      </c>
      <c r="Z141" s="154" t="e">
        <f t="shared" si="36"/>
        <v>#DIV/0!</v>
      </c>
      <c r="AA141" s="154" t="e">
        <f t="shared" si="36"/>
        <v>#DIV/0!</v>
      </c>
      <c r="AB141" s="154" t="e">
        <f t="shared" si="36"/>
        <v>#DIV/0!</v>
      </c>
      <c r="AC141" s="154" t="e">
        <f t="shared" si="36"/>
        <v>#DIV/0!</v>
      </c>
      <c r="AD141" s="154" t="e">
        <f t="shared" si="36"/>
        <v>#DIV/0!</v>
      </c>
      <c r="AE141" s="154" t="e">
        <f t="shared" si="36"/>
        <v>#DIV/0!</v>
      </c>
      <c r="AF141" s="154" t="e">
        <f t="shared" si="36"/>
        <v>#DIV/0!</v>
      </c>
      <c r="AG141" s="154" t="e">
        <f t="shared" si="36"/>
        <v>#DIV/0!</v>
      </c>
      <c r="AH141" s="154" t="e">
        <f t="shared" si="36"/>
        <v>#DIV/0!</v>
      </c>
      <c r="AI141" s="154" t="e">
        <f t="shared" si="36"/>
        <v>#DIV/0!</v>
      </c>
      <c r="AJ141" s="154" t="e">
        <f t="shared" si="36"/>
        <v>#DIV/0!</v>
      </c>
      <c r="AK141" s="154" t="e">
        <f t="shared" si="36"/>
        <v>#DIV/0!</v>
      </c>
      <c r="AL141" s="154" t="e">
        <f t="shared" si="36"/>
        <v>#DIV/0!</v>
      </c>
      <c r="AM141" s="154" t="e">
        <f t="shared" si="36"/>
        <v>#DIV/0!</v>
      </c>
      <c r="AN141" s="154" t="e">
        <f t="shared" si="36"/>
        <v>#DIV/0!</v>
      </c>
    </row>
    <row r="142" spans="2:40" x14ac:dyDescent="0.15">
      <c r="B142" s="325"/>
      <c r="C142" s="153" t="s">
        <v>1039</v>
      </c>
      <c r="D142" s="151" cm="1">
        <f t="array" ref="D142">SUM(SUMIFS('caseload data'!E:E,'caseload data'!$D:$D,"TPO",'caseload data'!$B:$B,{"licence","community"}))</f>
        <v>0</v>
      </c>
      <c r="E142" s="151" cm="1">
        <f t="array" ref="E142">SUM(SUMIFS('caseload data'!F:F,'caseload data'!$D:$D,"TPO",'caseload data'!$B:$B,{"licence","community"}))</f>
        <v>0</v>
      </c>
      <c r="F142" s="151" cm="1">
        <f t="array" ref="F142">SUM(SUMIFS('caseload data'!G:G,'caseload data'!$D:$D,"TPO",'caseload data'!$B:$B,{"licence","community"}))</f>
        <v>0</v>
      </c>
      <c r="G142" s="151" cm="1">
        <f t="array" ref="G142">SUM(SUMIFS('caseload data'!H:H,'caseload data'!$D:$D,"TPO",'caseload data'!$B:$B,{"licence","community"}))</f>
        <v>0</v>
      </c>
      <c r="H142" s="151" cm="1">
        <f t="array" ref="H142">SUM(SUMIFS('caseload data'!I:I,'caseload data'!$D:$D,"TPO",'caseload data'!$B:$B,{"licence","community"}))</f>
        <v>0</v>
      </c>
      <c r="I142" s="151" cm="1">
        <f t="array" ref="I142">SUM(SUMIFS('caseload data'!J:J,'caseload data'!$D:$D,"TPO",'caseload data'!$B:$B,{"licence","community"}))</f>
        <v>0</v>
      </c>
      <c r="J142" s="151" cm="1">
        <f t="array" ref="J142">SUM(SUMIFS('caseload data'!K:K,'caseload data'!$D:$D,"TPO",'caseload data'!$B:$B,{"licence","community"}))</f>
        <v>0</v>
      </c>
      <c r="K142" s="151" cm="1">
        <f t="array" ref="K142">SUM(SUMIFS('caseload data'!L:L,'caseload data'!$D:$D,"TPO",'caseload data'!$B:$B,{"licence","community"}))</f>
        <v>0</v>
      </c>
      <c r="L142" s="151" cm="1">
        <f t="array" ref="L142">SUM(SUMIFS('caseload data'!M:M,'caseload data'!$D:$D,"TPO",'caseload data'!$B:$B,{"licence","community"}))</f>
        <v>0</v>
      </c>
      <c r="M142" s="151" cm="1">
        <f t="array" ref="M142">SUM(SUMIFS('caseload data'!N:N,'caseload data'!$D:$D,"TPO",'caseload data'!$B:$B,{"licence","community"}))</f>
        <v>0</v>
      </c>
      <c r="N142" s="151" cm="1">
        <f t="array" ref="N142">SUM(SUMIFS('caseload data'!O:O,'caseload data'!$D:$D,"TPO",'caseload data'!$B:$B,{"licence","community"}))</f>
        <v>0</v>
      </c>
      <c r="O142" s="151" cm="1">
        <f t="array" ref="O142">SUM(SUMIFS('caseload data'!P:P,'caseload data'!$D:$D,"TPO",'caseload data'!$B:$B,{"licence","community"}))</f>
        <v>0</v>
      </c>
      <c r="P142" s="151" cm="1">
        <f t="array" ref="P142">SUM(SUMIFS('caseload data'!Q:Q,'caseload data'!$D:$D,"TPO",'caseload data'!$B:$B,{"licence","community"}))</f>
        <v>0</v>
      </c>
      <c r="Q142" s="151" cm="1">
        <f t="array" ref="Q142">SUM(SUMIFS('caseload data'!R:R,'caseload data'!$D:$D,"TPO",'caseload data'!$B:$B,{"licence","community"}))</f>
        <v>0</v>
      </c>
      <c r="R142" s="151" cm="1">
        <f t="array" ref="R142">SUM(SUMIFS('caseload data'!S:S,'caseload data'!$D:$D,"TPO",'caseload data'!$B:$B,{"licence","community"}))</f>
        <v>0</v>
      </c>
      <c r="S142" s="151" cm="1">
        <f t="array" ref="S142">SUM(SUMIFS('caseload data'!T:T,'caseload data'!$D:$D,"TPO",'caseload data'!$B:$B,{"licence","community"}))</f>
        <v>0</v>
      </c>
      <c r="T142" s="152">
        <f>SUM(SUMIFS('caseload data'!V:V,'caseload data'!D:D,"TPO",'caseload data'!B:B,{"licence","community"}))</f>
        <v>0</v>
      </c>
      <c r="U142" s="76"/>
      <c r="V142" s="76"/>
      <c r="W142" s="320"/>
      <c r="X142" s="153" t="s">
        <v>1039</v>
      </c>
      <c r="Y142" s="154" t="e">
        <f>SUM(D142)/SUM(D$140:D$143)</f>
        <v>#DIV/0!</v>
      </c>
      <c r="Z142" s="154" t="e">
        <f t="shared" si="36"/>
        <v>#DIV/0!</v>
      </c>
      <c r="AA142" s="154" t="e">
        <f t="shared" si="36"/>
        <v>#DIV/0!</v>
      </c>
      <c r="AB142" s="154" t="e">
        <f t="shared" si="36"/>
        <v>#DIV/0!</v>
      </c>
      <c r="AC142" s="154" t="e">
        <f t="shared" si="36"/>
        <v>#DIV/0!</v>
      </c>
      <c r="AD142" s="154" t="e">
        <f t="shared" si="36"/>
        <v>#DIV/0!</v>
      </c>
      <c r="AE142" s="154" t="e">
        <f t="shared" si="36"/>
        <v>#DIV/0!</v>
      </c>
      <c r="AF142" s="154" t="e">
        <f t="shared" si="36"/>
        <v>#DIV/0!</v>
      </c>
      <c r="AG142" s="154" t="e">
        <f t="shared" si="36"/>
        <v>#DIV/0!</v>
      </c>
      <c r="AH142" s="154" t="e">
        <f t="shared" si="36"/>
        <v>#DIV/0!</v>
      </c>
      <c r="AI142" s="154" t="e">
        <f t="shared" si="36"/>
        <v>#DIV/0!</v>
      </c>
      <c r="AJ142" s="154" t="e">
        <f t="shared" si="36"/>
        <v>#DIV/0!</v>
      </c>
      <c r="AK142" s="154" t="e">
        <f t="shared" si="36"/>
        <v>#DIV/0!</v>
      </c>
      <c r="AL142" s="154" t="e">
        <f t="shared" si="36"/>
        <v>#DIV/0!</v>
      </c>
      <c r="AM142" s="154" t="e">
        <f t="shared" si="36"/>
        <v>#DIV/0!</v>
      </c>
      <c r="AN142" s="154" t="e">
        <f t="shared" si="36"/>
        <v>#DIV/0!</v>
      </c>
    </row>
    <row r="143" spans="2:40" ht="15" thickBot="1" x14ac:dyDescent="0.2">
      <c r="B143" s="325"/>
      <c r="C143" s="153" t="s">
        <v>1040</v>
      </c>
      <c r="D143" s="151">
        <f>SUM(SUMIFS('caseload data'!E:E,'caseload data'!$D:$D,"SPO",'caseload data'!$B:$B,{"licence","community"}))</f>
        <v>0</v>
      </c>
      <c r="E143" s="151">
        <f>SUM(SUMIFS('caseload data'!F:F,'caseload data'!$D:$D,"SPO",'caseload data'!$B:$B,{"licence","community"}))</f>
        <v>0</v>
      </c>
      <c r="F143" s="151">
        <f>SUM(SUMIFS('caseload data'!G:G,'caseload data'!$D:$D,"SPO",'caseload data'!$B:$B,{"licence","community"}))</f>
        <v>0</v>
      </c>
      <c r="G143" s="151">
        <f>SUM(SUMIFS('caseload data'!H:H,'caseload data'!$D:$D,"SPO",'caseload data'!$B:$B,{"licence","community"}))</f>
        <v>0</v>
      </c>
      <c r="H143" s="151">
        <f>SUM(SUMIFS('caseload data'!I:I,'caseload data'!$D:$D,"SPO",'caseload data'!$B:$B,{"licence","community"}))</f>
        <v>0</v>
      </c>
      <c r="I143" s="151">
        <f>SUM(SUMIFS('caseload data'!J:J,'caseload data'!$D:$D,"SPO",'caseload data'!$B:$B,{"licence","community"}))</f>
        <v>0</v>
      </c>
      <c r="J143" s="151">
        <f>SUM(SUMIFS('caseload data'!K:K,'caseload data'!$D:$D,"SPO",'caseload data'!$B:$B,{"licence","community"}))</f>
        <v>0</v>
      </c>
      <c r="K143" s="151">
        <f>SUM(SUMIFS('caseload data'!L:L,'caseload data'!$D:$D,"SPO",'caseload data'!$B:$B,{"licence","community"}))</f>
        <v>0</v>
      </c>
      <c r="L143" s="151">
        <f>SUM(SUMIFS('caseload data'!M:M,'caseload data'!$D:$D,"SPO",'caseload data'!$B:$B,{"licence","community"}))</f>
        <v>0</v>
      </c>
      <c r="M143" s="151">
        <f>SUM(SUMIFS('caseload data'!N:N,'caseload data'!$D:$D,"SPO",'caseload data'!$B:$B,{"licence","community"}))</f>
        <v>0</v>
      </c>
      <c r="N143" s="151">
        <f>SUM(SUMIFS('caseload data'!O:O,'caseload data'!$D:$D,"SPO",'caseload data'!$B:$B,{"licence","community"}))</f>
        <v>0</v>
      </c>
      <c r="O143" s="151">
        <f>SUM(SUMIFS('caseload data'!P:P,'caseload data'!$D:$D,"SPO",'caseload data'!$B:$B,{"licence","community"}))</f>
        <v>0</v>
      </c>
      <c r="P143" s="151">
        <f>SUM(SUMIFS('caseload data'!Q:Q,'caseload data'!$D:$D,"SPO",'caseload data'!$B:$B,{"licence","community"}))</f>
        <v>0</v>
      </c>
      <c r="Q143" s="151">
        <f>SUM(SUMIFS('caseload data'!R:R,'caseload data'!$D:$D,"SPO",'caseload data'!$B:$B,{"licence","community"}))</f>
        <v>0</v>
      </c>
      <c r="R143" s="151">
        <f>SUM(SUMIFS('caseload data'!S:S,'caseload data'!$D:$D,"SPO",'caseload data'!$B:$B,{"licence","community"}))</f>
        <v>0</v>
      </c>
      <c r="S143" s="151">
        <f>SUM(SUMIFS('caseload data'!T:T,'caseload data'!$D:$D,"SPO",'caseload data'!$B:$B,{"licence","community"}))</f>
        <v>0</v>
      </c>
      <c r="T143" s="152">
        <f>SUM(SUMIFS('caseload data'!V:V,'caseload data'!$D:$D,"SPO",'caseload data'!$B:$B,{"licence","community"}))</f>
        <v>0</v>
      </c>
      <c r="U143" s="76"/>
      <c r="V143" s="76"/>
      <c r="W143" s="321"/>
      <c r="X143" s="155" t="s">
        <v>1040</v>
      </c>
      <c r="Y143" s="154" t="e">
        <f>SUM(D143)/SUM(D$140:D$143)</f>
        <v>#DIV/0!</v>
      </c>
      <c r="Z143" s="154" t="e">
        <f t="shared" si="36"/>
        <v>#DIV/0!</v>
      </c>
      <c r="AA143" s="154" t="e">
        <f t="shared" si="36"/>
        <v>#DIV/0!</v>
      </c>
      <c r="AB143" s="154" t="e">
        <f t="shared" si="36"/>
        <v>#DIV/0!</v>
      </c>
      <c r="AC143" s="154" t="e">
        <f t="shared" si="36"/>
        <v>#DIV/0!</v>
      </c>
      <c r="AD143" s="154" t="e">
        <f t="shared" si="36"/>
        <v>#DIV/0!</v>
      </c>
      <c r="AE143" s="154" t="e">
        <f t="shared" si="36"/>
        <v>#DIV/0!</v>
      </c>
      <c r="AF143" s="154" t="e">
        <f t="shared" si="36"/>
        <v>#DIV/0!</v>
      </c>
      <c r="AG143" s="154" t="e">
        <f t="shared" si="36"/>
        <v>#DIV/0!</v>
      </c>
      <c r="AH143" s="154" t="e">
        <f t="shared" si="36"/>
        <v>#DIV/0!</v>
      </c>
      <c r="AI143" s="154" t="e">
        <f t="shared" si="36"/>
        <v>#DIV/0!</v>
      </c>
      <c r="AJ143" s="154" t="e">
        <f t="shared" si="36"/>
        <v>#DIV/0!</v>
      </c>
      <c r="AK143" s="154" t="e">
        <f t="shared" si="36"/>
        <v>#DIV/0!</v>
      </c>
      <c r="AL143" s="154" t="e">
        <f t="shared" si="36"/>
        <v>#DIV/0!</v>
      </c>
      <c r="AM143" s="154" t="e">
        <f t="shared" si="36"/>
        <v>#DIV/0!</v>
      </c>
      <c r="AN143" s="154" t="e">
        <f t="shared" si="36"/>
        <v>#DIV/0!</v>
      </c>
    </row>
    <row r="144" spans="2:40" ht="30" customHeight="1" thickBot="1" x14ac:dyDescent="0.2">
      <c r="B144" s="326"/>
      <c r="C144" s="147" t="s">
        <v>1241</v>
      </c>
      <c r="D144" s="148" cm="1">
        <f t="array" ref="D144">SUM(SUMIF('caseload data'!$B:$B,{"licence","community"},'caseload data'!E:E))</f>
        <v>0</v>
      </c>
      <c r="E144" s="148" cm="1">
        <f t="array" ref="E144">SUM(SUMIF('caseload data'!$B:$B,{"licence","community"},'caseload data'!F:F))</f>
        <v>0</v>
      </c>
      <c r="F144" s="148" cm="1">
        <f t="array" ref="F144">SUM(SUMIF('caseload data'!$B:$B,{"licence","community"},'caseload data'!G:G))</f>
        <v>0</v>
      </c>
      <c r="G144" s="148" cm="1">
        <f t="array" ref="G144">SUM(SUMIF('caseload data'!$B:$B,{"licence","community"},'caseload data'!H:H))</f>
        <v>0</v>
      </c>
      <c r="H144" s="148" cm="1">
        <f t="array" ref="H144">SUM(SUMIF('caseload data'!$B:$B,{"licence","community"},'caseload data'!I:I))</f>
        <v>0</v>
      </c>
      <c r="I144" s="148" cm="1">
        <f t="array" ref="I144">SUM(SUMIF('caseload data'!$B:$B,{"licence","community"},'caseload data'!J:J))</f>
        <v>0</v>
      </c>
      <c r="J144" s="148" cm="1">
        <f t="array" ref="J144">SUM(SUMIF('caseload data'!$B:$B,{"licence","community"},'caseload data'!K:K))</f>
        <v>0</v>
      </c>
      <c r="K144" s="148" cm="1">
        <f t="array" ref="K144">SUM(SUMIF('caseload data'!$B:$B,{"licence","community"},'caseload data'!L:L))</f>
        <v>0</v>
      </c>
      <c r="L144" s="148" cm="1">
        <f t="array" ref="L144">SUM(SUMIF('caseload data'!$B:$B,{"licence","community"},'caseload data'!M:M))</f>
        <v>0</v>
      </c>
      <c r="M144" s="148" cm="1">
        <f t="array" ref="M144">SUM(SUMIF('caseload data'!$B:$B,{"licence","community"},'caseload data'!N:N))</f>
        <v>0</v>
      </c>
      <c r="N144" s="148" cm="1">
        <f t="array" ref="N144">SUM(SUMIF('caseload data'!$B:$B,{"licence","community"},'caseload data'!O:O))</f>
        <v>0</v>
      </c>
      <c r="O144" s="148" cm="1">
        <f t="array" ref="O144">SUM(SUMIF('caseload data'!$B:$B,{"licence","community"},'caseload data'!P:P))</f>
        <v>0</v>
      </c>
      <c r="P144" s="148" cm="1">
        <f t="array" ref="P144">SUM(SUMIF('caseload data'!$B:$B,{"licence","community"},'caseload data'!Q:Q))</f>
        <v>0</v>
      </c>
      <c r="Q144" s="148" cm="1">
        <f t="array" ref="Q144">SUM(SUMIF('caseload data'!$B:$B,{"licence","community"},'caseload data'!R:R))</f>
        <v>0</v>
      </c>
      <c r="R144" s="148" cm="1">
        <f t="array" ref="R144">SUM(SUMIF('caseload data'!$B:$B,{"licence","community"},'caseload data'!S:S))</f>
        <v>0</v>
      </c>
      <c r="S144" s="148" cm="1">
        <f t="array" ref="S144">SUM(SUMIF('caseload data'!$B:$B,{"licence","community"},'caseload data'!T:T))</f>
        <v>0</v>
      </c>
      <c r="T144" s="149">
        <f>SUM(SUMIF('caseload data'!B:B,{"licence","community"},'caseload data'!V:V))</f>
        <v>0</v>
      </c>
      <c r="U144" s="76"/>
      <c r="V144" s="76"/>
      <c r="W144" s="144"/>
      <c r="X144" s="145"/>
      <c r="Y144" s="146"/>
      <c r="Z144" s="146"/>
      <c r="AA144" s="146"/>
      <c r="AB144" s="146"/>
      <c r="AC144" s="146"/>
      <c r="AD144" s="146"/>
      <c r="AE144" s="146"/>
    </row>
    <row r="146" spans="2:40" ht="15" thickBot="1" x14ac:dyDescent="0.2"/>
    <row r="147" spans="2:40" ht="17" thickBot="1" x14ac:dyDescent="0.25">
      <c r="B147" s="1"/>
      <c r="C147" s="2"/>
      <c r="D147" s="310" t="s">
        <v>1244</v>
      </c>
      <c r="E147" s="311"/>
      <c r="F147" s="311"/>
      <c r="G147" s="311"/>
      <c r="H147" s="311"/>
      <c r="I147" s="311"/>
      <c r="J147" s="311"/>
      <c r="K147" s="311"/>
      <c r="L147" s="311"/>
      <c r="M147" s="311"/>
      <c r="N147" s="311"/>
      <c r="O147" s="311"/>
      <c r="P147" s="311"/>
      <c r="Q147" s="311"/>
      <c r="R147" s="311"/>
      <c r="S147" s="311"/>
      <c r="T147" s="312"/>
      <c r="W147" s="1"/>
      <c r="X147" s="2"/>
      <c r="Y147" s="322" t="s">
        <v>1245</v>
      </c>
      <c r="Z147" s="323"/>
      <c r="AA147" s="323"/>
      <c r="AB147" s="323"/>
      <c r="AC147" s="323"/>
      <c r="AD147" s="323"/>
      <c r="AE147" s="323"/>
      <c r="AF147" s="323"/>
      <c r="AG147" s="323"/>
      <c r="AH147" s="323"/>
      <c r="AI147" s="323"/>
      <c r="AJ147" s="323"/>
      <c r="AK147" s="323"/>
      <c r="AL147" s="323"/>
      <c r="AM147" s="323"/>
      <c r="AN147" s="323"/>
    </row>
    <row r="148" spans="2:40" x14ac:dyDescent="0.15">
      <c r="B148" s="137" t="s">
        <v>1238</v>
      </c>
      <c r="C148" s="139" t="s">
        <v>1239</v>
      </c>
      <c r="D148" s="42" t="s">
        <v>1019</v>
      </c>
      <c r="E148" s="42" t="s">
        <v>1020</v>
      </c>
      <c r="F148" s="42" t="s">
        <v>1021</v>
      </c>
      <c r="G148" s="42" t="s">
        <v>1022</v>
      </c>
      <c r="H148" s="42" t="s">
        <v>1023</v>
      </c>
      <c r="I148" s="42" t="s">
        <v>1024</v>
      </c>
      <c r="J148" s="42" t="s">
        <v>1025</v>
      </c>
      <c r="K148" s="42" t="s">
        <v>1026</v>
      </c>
      <c r="L148" s="42" t="s">
        <v>1027</v>
      </c>
      <c r="M148" s="42" t="s">
        <v>1028</v>
      </c>
      <c r="N148" s="42" t="s">
        <v>1029</v>
      </c>
      <c r="O148" s="42" t="s">
        <v>1030</v>
      </c>
      <c r="P148" s="42" t="s">
        <v>1031</v>
      </c>
      <c r="Q148" s="42" t="s">
        <v>1032</v>
      </c>
      <c r="R148" s="42" t="s">
        <v>1033</v>
      </c>
      <c r="S148" s="42" t="s">
        <v>1034</v>
      </c>
      <c r="T148" s="139" t="s">
        <v>1036</v>
      </c>
      <c r="U148" s="76"/>
      <c r="V148" s="76"/>
      <c r="W148" s="137" t="s">
        <v>1238</v>
      </c>
      <c r="X148" s="139" t="s">
        <v>1239</v>
      </c>
      <c r="Y148" s="42" t="s">
        <v>1019</v>
      </c>
      <c r="Z148" s="42" t="s">
        <v>1020</v>
      </c>
      <c r="AA148" s="42" t="s">
        <v>1021</v>
      </c>
      <c r="AB148" s="42" t="s">
        <v>1022</v>
      </c>
      <c r="AC148" s="42" t="s">
        <v>1023</v>
      </c>
      <c r="AD148" s="42" t="s">
        <v>1024</v>
      </c>
      <c r="AE148" s="42" t="s">
        <v>1025</v>
      </c>
      <c r="AF148" s="42" t="s">
        <v>1026</v>
      </c>
      <c r="AG148" s="42" t="s">
        <v>1027</v>
      </c>
      <c r="AH148" s="42" t="s">
        <v>1028</v>
      </c>
      <c r="AI148" s="42" t="s">
        <v>1029</v>
      </c>
      <c r="AJ148" s="42" t="s">
        <v>1030</v>
      </c>
      <c r="AK148" s="42" t="s">
        <v>1031</v>
      </c>
      <c r="AL148" s="42" t="s">
        <v>1032</v>
      </c>
      <c r="AM148" s="42" t="s">
        <v>1033</v>
      </c>
      <c r="AN148" s="42" t="s">
        <v>1034</v>
      </c>
    </row>
    <row r="149" spans="2:40" x14ac:dyDescent="0.15">
      <c r="B149" s="306" t="s">
        <v>1355</v>
      </c>
      <c r="C149" s="141" t="s">
        <v>1037</v>
      </c>
      <c r="D149" s="107">
        <f>SUMIFS('caseload data'!E:E,'caseload data'!$D:$D,"PO",'caseload data'!$A:$A,'national caseload'!$B$149:$B$151,'caseload data'!$B:$B,"custody")</f>
        <v>0</v>
      </c>
      <c r="E149" s="107">
        <f>SUMIFS('caseload data'!F:F,'caseload data'!$D:$D,"PO",'caseload data'!$A:$A,'national caseload'!$B$149:$B$151,'caseload data'!$B:$B,"custody")</f>
        <v>0</v>
      </c>
      <c r="F149" s="107">
        <f>SUMIFS('caseload data'!G:G,'caseload data'!$D:$D,"PO",'caseload data'!$A:$A,'national caseload'!$B$149:$B$151,'caseload data'!$B:$B,"custody")</f>
        <v>0</v>
      </c>
      <c r="G149" s="107">
        <f>SUMIFS('caseload data'!H:H,'caseload data'!$D:$D,"PO",'caseload data'!$A:$A,'national caseload'!$B$149:$B$151,'caseload data'!$B:$B,"custody")</f>
        <v>0</v>
      </c>
      <c r="H149" s="107">
        <f>SUMIFS('caseload data'!I:I,'caseload data'!$D:$D,"PO",'caseload data'!$A:$A,'national caseload'!$B$149:$B$151,'caseload data'!$B:$B,"custody")</f>
        <v>0</v>
      </c>
      <c r="I149" s="107">
        <f>SUMIFS('caseload data'!J:J,'caseload data'!$D:$D,"PO",'caseload data'!$A:$A,'national caseload'!$B$149:$B$151,'caseload data'!$B:$B,"custody")</f>
        <v>0</v>
      </c>
      <c r="J149" s="107">
        <f>SUMIFS('caseload data'!K:K,'caseload data'!$D:$D,"PO",'caseload data'!$A:$A,'national caseload'!$B$149:$B$151,'caseload data'!$B:$B,"custody")</f>
        <v>0</v>
      </c>
      <c r="K149" s="107">
        <f>SUMIFS('caseload data'!L:L,'caseload data'!$D:$D,"PO",'caseload data'!$A:$A,'national caseload'!$B$149:$B$151,'caseload data'!$B:$B,"custody")</f>
        <v>0</v>
      </c>
      <c r="L149" s="107">
        <f>SUMIFS('caseload data'!M:M,'caseload data'!$D:$D,"PO",'caseload data'!$A:$A,'national caseload'!$B$149:$B$151,'caseload data'!$B:$B,"custody")</f>
        <v>0</v>
      </c>
      <c r="M149" s="107">
        <f>SUMIFS('caseload data'!N:N,'caseload data'!$D:$D,"PO",'caseload data'!$A:$A,'national caseload'!$B$149:$B$151,'caseload data'!$B:$B,"custody")</f>
        <v>0</v>
      </c>
      <c r="N149" s="107">
        <f>SUMIFS('caseload data'!O:O,'caseload data'!$D:$D,"PO",'caseload data'!$A:$A,'national caseload'!$B$149:$B$151,'caseload data'!$B:$B,"custody")</f>
        <v>0</v>
      </c>
      <c r="O149" s="107">
        <f>SUMIFS('caseload data'!P:P,'caseload data'!$D:$D,"PO",'caseload data'!$A:$A,'national caseload'!$B$149:$B$151,'caseload data'!$B:$B,"custody")</f>
        <v>0</v>
      </c>
      <c r="P149" s="107">
        <f>SUMIFS('caseload data'!Q:Q,'caseload data'!$D:$D,"PO",'caseload data'!$A:$A,'national caseload'!$B$149:$B$151,'caseload data'!$B:$B,"custody")</f>
        <v>0</v>
      </c>
      <c r="Q149" s="107">
        <f>SUMIFS('caseload data'!R:R,'caseload data'!$D:$D,"PO",'caseload data'!$A:$A,'national caseload'!$B$149:$B$151,'caseload data'!$B:$B,"custody")</f>
        <v>0</v>
      </c>
      <c r="R149" s="107">
        <f>SUMIFS('caseload data'!S:S,'caseload data'!$D:$D,"PO",'caseload data'!$A:$A,'national caseload'!$B$149:$B$151,'caseload data'!$B:$B,"custody")</f>
        <v>0</v>
      </c>
      <c r="S149" s="107">
        <f>SUMIFS('caseload data'!T:T,'caseload data'!$D:$D,"PO",'caseload data'!$A:$A,'national caseload'!$B$149:$B$151,'caseload data'!$B:$B,"custody")</f>
        <v>0</v>
      </c>
      <c r="T149" s="107">
        <f>SUMIFS('caseload data'!V:V,'caseload data'!D:D,"PO",'caseload data'!A:A,'national caseload'!B149:B151,'caseload data'!B:B,"custody")</f>
        <v>0</v>
      </c>
      <c r="U149" s="76"/>
      <c r="V149" s="76"/>
      <c r="W149" s="306" t="s">
        <v>1355</v>
      </c>
      <c r="X149" s="141" t="s">
        <v>1037</v>
      </c>
      <c r="Y149" s="187" t="e">
        <f>SUM(D149)/SUM(D$149:D$152)</f>
        <v>#DIV/0!</v>
      </c>
      <c r="Z149" s="187" t="e">
        <f t="shared" ref="Z149:AN152" si="37">SUM(E149)/SUM(E$149:E$152)</f>
        <v>#DIV/0!</v>
      </c>
      <c r="AA149" s="187" t="e">
        <f t="shared" si="37"/>
        <v>#DIV/0!</v>
      </c>
      <c r="AB149" s="187" t="e">
        <f t="shared" si="37"/>
        <v>#DIV/0!</v>
      </c>
      <c r="AC149" s="187" t="e">
        <f t="shared" si="37"/>
        <v>#DIV/0!</v>
      </c>
      <c r="AD149" s="187" t="e">
        <f t="shared" si="37"/>
        <v>#DIV/0!</v>
      </c>
      <c r="AE149" s="187" t="e">
        <f t="shared" si="37"/>
        <v>#DIV/0!</v>
      </c>
      <c r="AF149" s="187" t="e">
        <f t="shared" si="37"/>
        <v>#DIV/0!</v>
      </c>
      <c r="AG149" s="187" t="e">
        <f t="shared" si="37"/>
        <v>#DIV/0!</v>
      </c>
      <c r="AH149" s="187" t="e">
        <f t="shared" si="37"/>
        <v>#DIV/0!</v>
      </c>
      <c r="AI149" s="187" t="e">
        <f t="shared" si="37"/>
        <v>#DIV/0!</v>
      </c>
      <c r="AJ149" s="187" t="e">
        <f t="shared" si="37"/>
        <v>#DIV/0!</v>
      </c>
      <c r="AK149" s="187" t="e">
        <f t="shared" si="37"/>
        <v>#DIV/0!</v>
      </c>
      <c r="AL149" s="187" t="e">
        <f t="shared" si="37"/>
        <v>#DIV/0!</v>
      </c>
      <c r="AM149" s="187" t="e">
        <f t="shared" si="37"/>
        <v>#DIV/0!</v>
      </c>
      <c r="AN149" s="187" t="e">
        <f t="shared" si="37"/>
        <v>#DIV/0!</v>
      </c>
    </row>
    <row r="150" spans="2:40" x14ac:dyDescent="0.15">
      <c r="B150" s="307"/>
      <c r="C150" s="142" t="s">
        <v>1038</v>
      </c>
      <c r="D150" s="107">
        <f>SUMIFS('caseload data'!E:E,'caseload data'!$D:$D,"PSO",'caseload data'!$A:$A,"East Midlands Region",'caseload data'!$B:$B,"custody")</f>
        <v>0</v>
      </c>
      <c r="E150" s="107">
        <f>SUMIFS('caseload data'!F:F,'caseload data'!$D:$D,"PSO",'caseload data'!$A:$A,"East Midlands Region",'caseload data'!$B:$B,"custody")</f>
        <v>0</v>
      </c>
      <c r="F150" s="107">
        <f>SUMIFS('caseload data'!G:G,'caseload data'!$D:$D,"PSO",'caseload data'!$A:$A,"East Midlands Region",'caseload data'!$B:$B,"custody")</f>
        <v>0</v>
      </c>
      <c r="G150" s="107">
        <f>SUMIFS('caseload data'!H:H,'caseload data'!$D:$D,"PSO",'caseload data'!$A:$A,"East Midlands Region",'caseload data'!$B:$B,"custody")</f>
        <v>0</v>
      </c>
      <c r="H150" s="107">
        <f>SUMIFS('caseload data'!I:I,'caseload data'!$D:$D,"PSO",'caseload data'!$A:$A,"East Midlands Region",'caseload data'!$B:$B,"custody")</f>
        <v>0</v>
      </c>
      <c r="I150" s="107">
        <f>SUMIFS('caseload data'!J:J,'caseload data'!$D:$D,"PSO",'caseload data'!$A:$A,"East Midlands Region",'caseload data'!$B:$B,"custody")</f>
        <v>0</v>
      </c>
      <c r="J150" s="107">
        <f>SUMIFS('caseload data'!K:K,'caseload data'!$D:$D,"PSO",'caseload data'!$A:$A,"East Midlands Region",'caseload data'!$B:$B,"custody")</f>
        <v>0</v>
      </c>
      <c r="K150" s="107">
        <f>SUMIFS('caseload data'!L:L,'caseload data'!$D:$D,"PSO",'caseload data'!$A:$A,"East Midlands Region",'caseload data'!$B:$B,"custody")</f>
        <v>0</v>
      </c>
      <c r="L150" s="107">
        <f>SUMIFS('caseload data'!M:M,'caseload data'!$D:$D,"PSO",'caseload data'!$A:$A,"East Midlands Region",'caseload data'!$B:$B,"custody")</f>
        <v>0</v>
      </c>
      <c r="M150" s="107">
        <f>SUMIFS('caseload data'!N:N,'caseload data'!$D:$D,"PSO",'caseload data'!$A:$A,"East Midlands Region",'caseload data'!$B:$B,"custody")</f>
        <v>0</v>
      </c>
      <c r="N150" s="107">
        <f>SUMIFS('caseload data'!O:O,'caseload data'!$D:$D,"PSO",'caseload data'!$A:$A,"East Midlands Region",'caseload data'!$B:$B,"custody")</f>
        <v>0</v>
      </c>
      <c r="O150" s="107">
        <f>SUMIFS('caseload data'!P:P,'caseload data'!$D:$D,"PSO",'caseload data'!$A:$A,"East Midlands Region",'caseload data'!$B:$B,"custody")</f>
        <v>0</v>
      </c>
      <c r="P150" s="107">
        <f>SUMIFS('caseload data'!Q:Q,'caseload data'!$D:$D,"PSO",'caseload data'!$A:$A,"East Midlands Region",'caseload data'!$B:$B,"custody")</f>
        <v>0</v>
      </c>
      <c r="Q150" s="107">
        <f>SUMIFS('caseload data'!R:R,'caseload data'!$D:$D,"PSO",'caseload data'!$A:$A,"East Midlands Region",'caseload data'!$B:$B,"custody")</f>
        <v>0</v>
      </c>
      <c r="R150" s="107">
        <f>SUMIFS('caseload data'!S:S,'caseload data'!$D:$D,"PSO",'caseload data'!$A:$A,"East Midlands Region",'caseload data'!$B:$B,"custody")</f>
        <v>0</v>
      </c>
      <c r="S150" s="107">
        <f>SUMIFS('caseload data'!T:T,'caseload data'!$D:$D,"PSO",'caseload data'!$A:$A,"East Midlands Region",'caseload data'!$B:$B,"custody")</f>
        <v>0</v>
      </c>
      <c r="T150" s="107">
        <f>SUMIFS('caseload data'!V:V,'caseload data'!D:D,"PSO",'caseload data'!A:A,"East Midlands Region",'caseload data'!B:B,"custody")</f>
        <v>0</v>
      </c>
      <c r="U150" s="76"/>
      <c r="V150" s="76"/>
      <c r="W150" s="307"/>
      <c r="X150" s="142" t="s">
        <v>1038</v>
      </c>
      <c r="Y150" s="187" t="e">
        <f>SUM(D150)/SUM(D$149:D$152)</f>
        <v>#DIV/0!</v>
      </c>
      <c r="Z150" s="187" t="e">
        <f t="shared" si="37"/>
        <v>#DIV/0!</v>
      </c>
      <c r="AA150" s="187" t="e">
        <f t="shared" si="37"/>
        <v>#DIV/0!</v>
      </c>
      <c r="AB150" s="187" t="e">
        <f t="shared" si="37"/>
        <v>#DIV/0!</v>
      </c>
      <c r="AC150" s="187" t="e">
        <f t="shared" si="37"/>
        <v>#DIV/0!</v>
      </c>
      <c r="AD150" s="187" t="e">
        <f t="shared" si="37"/>
        <v>#DIV/0!</v>
      </c>
      <c r="AE150" s="187" t="e">
        <f t="shared" si="37"/>
        <v>#DIV/0!</v>
      </c>
      <c r="AF150" s="187" t="e">
        <f t="shared" si="37"/>
        <v>#DIV/0!</v>
      </c>
      <c r="AG150" s="187" t="e">
        <f t="shared" si="37"/>
        <v>#DIV/0!</v>
      </c>
      <c r="AH150" s="187" t="e">
        <f t="shared" si="37"/>
        <v>#DIV/0!</v>
      </c>
      <c r="AI150" s="187" t="e">
        <f t="shared" si="37"/>
        <v>#DIV/0!</v>
      </c>
      <c r="AJ150" s="187" t="e">
        <f t="shared" si="37"/>
        <v>#DIV/0!</v>
      </c>
      <c r="AK150" s="187" t="e">
        <f t="shared" si="37"/>
        <v>#DIV/0!</v>
      </c>
      <c r="AL150" s="187" t="e">
        <f t="shared" si="37"/>
        <v>#DIV/0!</v>
      </c>
      <c r="AM150" s="187" t="e">
        <f t="shared" si="37"/>
        <v>#DIV/0!</v>
      </c>
      <c r="AN150" s="187" t="e">
        <f t="shared" si="37"/>
        <v>#DIV/0!</v>
      </c>
    </row>
    <row r="151" spans="2:40" x14ac:dyDescent="0.15">
      <c r="B151" s="307"/>
      <c r="C151" s="142" t="s">
        <v>1039</v>
      </c>
      <c r="D151" s="107">
        <f>SUMIFS('caseload data'!E:E,'caseload data'!$D:$D,"TPO",'caseload data'!$A:$A,"East Midlands Region",'caseload data'!$B:$B,"custody")</f>
        <v>0</v>
      </c>
      <c r="E151" s="107">
        <f>SUMIFS('caseload data'!F:F,'caseload data'!$D:$D,"TPO",'caseload data'!$A:$A,"East Midlands Region",'caseload data'!$B:$B,"custody")</f>
        <v>0</v>
      </c>
      <c r="F151" s="107">
        <f>SUMIFS('caseload data'!G:G,'caseload data'!$D:$D,"TPO",'caseload data'!$A:$A,"East Midlands Region",'caseload data'!$B:$B,"custody")</f>
        <v>0</v>
      </c>
      <c r="G151" s="107">
        <f>SUMIFS('caseload data'!H:H,'caseload data'!$D:$D,"TPO",'caseload data'!$A:$A,"East Midlands Region",'caseload data'!$B:$B,"custody")</f>
        <v>0</v>
      </c>
      <c r="H151" s="107">
        <f>SUMIFS('caseload data'!I:I,'caseload data'!$D:$D,"TPO",'caseload data'!$A:$A,"East Midlands Region",'caseload data'!$B:$B,"custody")</f>
        <v>0</v>
      </c>
      <c r="I151" s="107">
        <f>SUMIFS('caseload data'!J:J,'caseload data'!$D:$D,"TPO",'caseload data'!$A:$A,"East Midlands Region",'caseload data'!$B:$B,"custody")</f>
        <v>0</v>
      </c>
      <c r="J151" s="107">
        <f>SUMIFS('caseload data'!K:K,'caseload data'!$D:$D,"TPO",'caseload data'!$A:$A,"East Midlands Region",'caseload data'!$B:$B,"custody")</f>
        <v>0</v>
      </c>
      <c r="K151" s="107">
        <f>SUMIFS('caseload data'!L:L,'caseload data'!$D:$D,"TPO",'caseload data'!$A:$A,"East Midlands Region",'caseload data'!$B:$B,"custody")</f>
        <v>0</v>
      </c>
      <c r="L151" s="107">
        <f>SUMIFS('caseload data'!M:M,'caseload data'!$D:$D,"TPO",'caseload data'!$A:$A,"East Midlands Region",'caseload data'!$B:$B,"custody")</f>
        <v>0</v>
      </c>
      <c r="M151" s="107">
        <f>SUMIFS('caseload data'!N:N,'caseload data'!$D:$D,"TPO",'caseload data'!$A:$A,"East Midlands Region",'caseload data'!$B:$B,"custody")</f>
        <v>0</v>
      </c>
      <c r="N151" s="107">
        <f>SUMIFS('caseload data'!O:O,'caseload data'!$D:$D,"TPO",'caseload data'!$A:$A,"East Midlands Region",'caseload data'!$B:$B,"custody")</f>
        <v>0</v>
      </c>
      <c r="O151" s="107">
        <f>SUMIFS('caseload data'!P:P,'caseload data'!$D:$D,"TPO",'caseload data'!$A:$A,"East Midlands Region",'caseload data'!$B:$B,"custody")</f>
        <v>0</v>
      </c>
      <c r="P151" s="107">
        <f>SUMIFS('caseload data'!Q:Q,'caseload data'!$D:$D,"TPO",'caseload data'!$A:$A,"East Midlands Region",'caseload data'!$B:$B,"custody")</f>
        <v>0</v>
      </c>
      <c r="Q151" s="107">
        <f>SUMIFS('caseload data'!R:R,'caseload data'!$D:$D,"TPO",'caseload data'!$A:$A,"East Midlands Region",'caseload data'!$B:$B,"custody")</f>
        <v>0</v>
      </c>
      <c r="R151" s="107">
        <f>SUMIFS('caseload data'!S:S,'caseload data'!$D:$D,"TPO",'caseload data'!$A:$A,"East Midlands Region",'caseload data'!$B:$B,"custody")</f>
        <v>0</v>
      </c>
      <c r="S151" s="107">
        <f>SUMIFS('caseload data'!T:T,'caseload data'!$D:$D,"TPO",'caseload data'!$A:$A,"East Midlands Region",'caseload data'!$B:$B,"custody")</f>
        <v>0</v>
      </c>
      <c r="T151" s="107">
        <f>SUMIFS('caseload data'!V:V,'caseload data'!D:D,"TPO",'caseload data'!A:A,"East Midlands Region",'caseload data'!B:B,"custody")</f>
        <v>0</v>
      </c>
      <c r="U151" s="76"/>
      <c r="V151" s="76"/>
      <c r="W151" s="307"/>
      <c r="X151" s="142" t="s">
        <v>1039</v>
      </c>
      <c r="Y151" s="187" t="e">
        <f>SUM(D151)/SUM(D$149:D$152)</f>
        <v>#DIV/0!</v>
      </c>
      <c r="Z151" s="187" t="e">
        <f t="shared" si="37"/>
        <v>#DIV/0!</v>
      </c>
      <c r="AA151" s="187" t="e">
        <f t="shared" si="37"/>
        <v>#DIV/0!</v>
      </c>
      <c r="AB151" s="187" t="e">
        <f t="shared" si="37"/>
        <v>#DIV/0!</v>
      </c>
      <c r="AC151" s="187" t="e">
        <f t="shared" si="37"/>
        <v>#DIV/0!</v>
      </c>
      <c r="AD151" s="187" t="e">
        <f t="shared" si="37"/>
        <v>#DIV/0!</v>
      </c>
      <c r="AE151" s="187" t="e">
        <f t="shared" si="37"/>
        <v>#DIV/0!</v>
      </c>
      <c r="AF151" s="187" t="e">
        <f t="shared" si="37"/>
        <v>#DIV/0!</v>
      </c>
      <c r="AG151" s="187" t="e">
        <f t="shared" si="37"/>
        <v>#DIV/0!</v>
      </c>
      <c r="AH151" s="187" t="e">
        <f t="shared" si="37"/>
        <v>#DIV/0!</v>
      </c>
      <c r="AI151" s="187" t="e">
        <f t="shared" si="37"/>
        <v>#DIV/0!</v>
      </c>
      <c r="AJ151" s="187" t="e">
        <f t="shared" si="37"/>
        <v>#DIV/0!</v>
      </c>
      <c r="AK151" s="187" t="e">
        <f t="shared" si="37"/>
        <v>#DIV/0!</v>
      </c>
      <c r="AL151" s="187" t="e">
        <f t="shared" si="37"/>
        <v>#DIV/0!</v>
      </c>
      <c r="AM151" s="187" t="e">
        <f t="shared" si="37"/>
        <v>#DIV/0!</v>
      </c>
      <c r="AN151" s="187" t="e">
        <f t="shared" si="37"/>
        <v>#DIV/0!</v>
      </c>
    </row>
    <row r="152" spans="2:40" x14ac:dyDescent="0.15">
      <c r="B152" s="308"/>
      <c r="C152" s="143" t="s">
        <v>1040</v>
      </c>
      <c r="D152" s="107">
        <f>SUMIFS('caseload data'!E:E,'caseload data'!$D:$D,"SPO",'caseload data'!$A:$A,"East Midlands Region",'caseload data'!$B:$B,"custody")</f>
        <v>0</v>
      </c>
      <c r="E152" s="107">
        <f>SUMIFS('caseload data'!F:F,'caseload data'!$D:$D,"SPO",'caseload data'!$A:$A,"East Midlands Region",'caseload data'!$B:$B,"custody")</f>
        <v>0</v>
      </c>
      <c r="F152" s="107">
        <f>SUMIFS('caseload data'!G:G,'caseload data'!$D:$D,"SPO",'caseload data'!$A:$A,"East Midlands Region",'caseload data'!$B:$B,"custody")</f>
        <v>0</v>
      </c>
      <c r="G152" s="107">
        <f>SUMIFS('caseload data'!H:H,'caseload data'!$D:$D,"SPO",'caseload data'!$A:$A,"East Midlands Region",'caseload data'!$B:$B,"custody")</f>
        <v>0</v>
      </c>
      <c r="H152" s="107">
        <f>SUMIFS('caseload data'!I:I,'caseload data'!$D:$D,"SPO",'caseload data'!$A:$A,"East Midlands Region",'caseload data'!$B:$B,"custody")</f>
        <v>0</v>
      </c>
      <c r="I152" s="107">
        <f>SUMIFS('caseload data'!J:J,'caseload data'!$D:$D,"SPO",'caseload data'!$A:$A,"East Midlands Region",'caseload data'!$B:$B,"custody")</f>
        <v>0</v>
      </c>
      <c r="J152" s="107">
        <f>SUMIFS('caseload data'!K:K,'caseload data'!$D:$D,"SPO",'caseload data'!$A:$A,"East Midlands Region",'caseload data'!$B:$B,"custody")</f>
        <v>0</v>
      </c>
      <c r="K152" s="107">
        <f>SUMIFS('caseload data'!L:L,'caseload data'!$D:$D,"SPO",'caseload data'!$A:$A,"East Midlands Region",'caseload data'!$B:$B,"custody")</f>
        <v>0</v>
      </c>
      <c r="L152" s="107">
        <f>SUMIFS('caseload data'!M:M,'caseload data'!$D:$D,"SPO",'caseload data'!$A:$A,"East Midlands Region",'caseload data'!$B:$B,"custody")</f>
        <v>0</v>
      </c>
      <c r="M152" s="107">
        <f>SUMIFS('caseload data'!N:N,'caseload data'!$D:$D,"SPO",'caseload data'!$A:$A,"East Midlands Region",'caseload data'!$B:$B,"custody")</f>
        <v>0</v>
      </c>
      <c r="N152" s="107">
        <f>SUMIFS('caseload data'!O:O,'caseload data'!$D:$D,"SPO",'caseload data'!$A:$A,"East Midlands Region",'caseload data'!$B:$B,"custody")</f>
        <v>0</v>
      </c>
      <c r="O152" s="107">
        <f>SUMIFS('caseload data'!P:P,'caseload data'!$D:$D,"SPO",'caseload data'!$A:$A,"East Midlands Region",'caseload data'!$B:$B,"custody")</f>
        <v>0</v>
      </c>
      <c r="P152" s="107">
        <f>SUMIFS('caseload data'!Q:Q,'caseload data'!$D:$D,"SPO",'caseload data'!$A:$A,"East Midlands Region",'caseload data'!$B:$B,"custody")</f>
        <v>0</v>
      </c>
      <c r="Q152" s="107">
        <f>SUMIFS('caseload data'!R:R,'caseload data'!$D:$D,"SPO",'caseload data'!$A:$A,"East Midlands Region",'caseload data'!$B:$B,"custody")</f>
        <v>0</v>
      </c>
      <c r="R152" s="107">
        <f>SUMIFS('caseload data'!S:S,'caseload data'!$D:$D,"SPO",'caseload data'!$A:$A,"East Midlands Region",'caseload data'!$B:$B,"custody")</f>
        <v>0</v>
      </c>
      <c r="S152" s="107">
        <f>SUMIFS('caseload data'!T:T,'caseload data'!$D:$D,"SPO",'caseload data'!$A:$A,"East Midlands Region",'caseload data'!$B:$B,"custody")</f>
        <v>0</v>
      </c>
      <c r="T152" s="107">
        <f>SUMIFS('caseload data'!V:V,'caseload data'!$D:$D,"SPO",'caseload data'!$A:$A,"East Midlands Region",'caseload data'!$B:$B,"custody")</f>
        <v>0</v>
      </c>
      <c r="U152" s="76"/>
      <c r="V152" s="76"/>
      <c r="W152" s="308"/>
      <c r="X152" s="143" t="s">
        <v>1040</v>
      </c>
      <c r="Y152" s="187" t="e">
        <f>SUM(D152)/SUM(D$149:D$152)</f>
        <v>#DIV/0!</v>
      </c>
      <c r="Z152" s="187" t="e">
        <f t="shared" si="37"/>
        <v>#DIV/0!</v>
      </c>
      <c r="AA152" s="187" t="e">
        <f t="shared" si="37"/>
        <v>#DIV/0!</v>
      </c>
      <c r="AB152" s="187" t="e">
        <f t="shared" si="37"/>
        <v>#DIV/0!</v>
      </c>
      <c r="AC152" s="187" t="e">
        <f t="shared" si="37"/>
        <v>#DIV/0!</v>
      </c>
      <c r="AD152" s="187" t="e">
        <f t="shared" si="37"/>
        <v>#DIV/0!</v>
      </c>
      <c r="AE152" s="187" t="e">
        <f t="shared" si="37"/>
        <v>#DIV/0!</v>
      </c>
      <c r="AF152" s="187" t="e">
        <f t="shared" si="37"/>
        <v>#DIV/0!</v>
      </c>
      <c r="AG152" s="187" t="e">
        <f t="shared" si="37"/>
        <v>#DIV/0!</v>
      </c>
      <c r="AH152" s="187" t="e">
        <f t="shared" si="37"/>
        <v>#DIV/0!</v>
      </c>
      <c r="AI152" s="187" t="e">
        <f t="shared" si="37"/>
        <v>#DIV/0!</v>
      </c>
      <c r="AJ152" s="187" t="e">
        <f t="shared" si="37"/>
        <v>#DIV/0!</v>
      </c>
      <c r="AK152" s="187" t="e">
        <f t="shared" si="37"/>
        <v>#DIV/0!</v>
      </c>
      <c r="AL152" s="187" t="e">
        <f t="shared" si="37"/>
        <v>#DIV/0!</v>
      </c>
      <c r="AM152" s="187" t="e">
        <f t="shared" si="37"/>
        <v>#DIV/0!</v>
      </c>
      <c r="AN152" s="187" t="e">
        <f t="shared" si="37"/>
        <v>#DIV/0!</v>
      </c>
    </row>
    <row r="153" spans="2:40" x14ac:dyDescent="0.15">
      <c r="B153" s="306" t="s">
        <v>20</v>
      </c>
      <c r="C153" s="141" t="s">
        <v>1037</v>
      </c>
      <c r="D153" s="107">
        <f>SUMIFS('caseload data'!E:E,'caseload data'!$D:$D,"PO",'caseload data'!$A:$A,$B$153,'caseload data'!$B:$B,"custody")</f>
        <v>0</v>
      </c>
      <c r="E153" s="107">
        <f>SUMIFS('caseload data'!F:F,'caseload data'!$D:$D,"PO",'caseload data'!$A:$A,$B$153,'caseload data'!$B:$B,"custody")</f>
        <v>0</v>
      </c>
      <c r="F153" s="107">
        <f>SUMIFS('caseload data'!G:G,'caseload data'!$D:$D,"PO",'caseload data'!$A:$A,$B$153,'caseload data'!$B:$B,"custody")</f>
        <v>0</v>
      </c>
      <c r="G153" s="107">
        <f>SUMIFS('caseload data'!H:H,'caseload data'!$D:$D,"PO",'caseload data'!$A:$A,$B$153,'caseload data'!$B:$B,"custody")</f>
        <v>0</v>
      </c>
      <c r="H153" s="107">
        <f>SUMIFS('caseload data'!I:I,'caseload data'!$D:$D,"PO",'caseload data'!$A:$A,$B$153,'caseload data'!$B:$B,"custody")</f>
        <v>0</v>
      </c>
      <c r="I153" s="107">
        <f>SUMIFS('caseload data'!J:J,'caseload data'!$D:$D,"PO",'caseload data'!$A:$A,$B$153,'caseload data'!$B:$B,"custody")</f>
        <v>0</v>
      </c>
      <c r="J153" s="107">
        <f>SUMIFS('caseload data'!K:K,'caseload data'!$D:$D,"PO",'caseload data'!$A:$A,$B$153,'caseload data'!$B:$B,"custody")</f>
        <v>0</v>
      </c>
      <c r="K153" s="107">
        <f>SUMIFS('caseload data'!L:L,'caseload data'!$D:$D,"PO",'caseload data'!$A:$A,$B$153,'caseload data'!$B:$B,"custody")</f>
        <v>0</v>
      </c>
      <c r="L153" s="107">
        <f>SUMIFS('caseload data'!M:M,'caseload data'!$D:$D,"PO",'caseload data'!$A:$A,$B$153,'caseload data'!$B:$B,"custody")</f>
        <v>0</v>
      </c>
      <c r="M153" s="107">
        <f>SUMIFS('caseload data'!N:N,'caseload data'!$D:$D,"PO",'caseload data'!$A:$A,$B$153,'caseload data'!$B:$B,"custody")</f>
        <v>0</v>
      </c>
      <c r="N153" s="107">
        <f>SUMIFS('caseload data'!O:O,'caseload data'!$D:$D,"PO",'caseload data'!$A:$A,$B$153,'caseload data'!$B:$B,"custody")</f>
        <v>0</v>
      </c>
      <c r="O153" s="107">
        <f>SUMIFS('caseload data'!P:P,'caseload data'!$D:$D,"PO",'caseload data'!$A:$A,$B$153,'caseload data'!$B:$B,"custody")</f>
        <v>0</v>
      </c>
      <c r="P153" s="107">
        <f>SUMIFS('caseload data'!Q:Q,'caseload data'!$D:$D,"PO",'caseload data'!$A:$A,$B$153,'caseload data'!$B:$B,"custody")</f>
        <v>0</v>
      </c>
      <c r="Q153" s="107">
        <f>SUMIFS('caseload data'!R:R,'caseload data'!$D:$D,"PO",'caseload data'!$A:$A,$B$153,'caseload data'!$B:$B,"custody")</f>
        <v>0</v>
      </c>
      <c r="R153" s="107">
        <f>SUMIFS('caseload data'!S:S,'caseload data'!$D:$D,"PO",'caseload data'!$A:$A,$B$153,'caseload data'!$B:$B,"custody")</f>
        <v>0</v>
      </c>
      <c r="S153" s="107">
        <f>SUMIFS('caseload data'!T:T,'caseload data'!$D:$D,"PO",'caseload data'!$A:$A,$B$153,'caseload data'!$B:$B,"custody")</f>
        <v>0</v>
      </c>
      <c r="T153" s="107">
        <f>SUMIFS('caseload data'!V:V,'caseload data'!D:D,"PO",'caseload data'!A:A,B153,'caseload data'!B:B,"custody")</f>
        <v>0</v>
      </c>
      <c r="U153" s="76"/>
      <c r="V153" s="76"/>
      <c r="W153" s="306" t="s">
        <v>20</v>
      </c>
      <c r="X153" s="141" t="s">
        <v>1037</v>
      </c>
      <c r="Y153" s="187" t="e">
        <f>SUM(D153)/SUM(D$153:D$156)</f>
        <v>#DIV/0!</v>
      </c>
      <c r="Z153" s="187" t="e">
        <f t="shared" ref="Z153:AN156" si="38">SUM(E153)/SUM(E$153:E$156)</f>
        <v>#DIV/0!</v>
      </c>
      <c r="AA153" s="187" t="e">
        <f t="shared" si="38"/>
        <v>#DIV/0!</v>
      </c>
      <c r="AB153" s="187" t="e">
        <f t="shared" si="38"/>
        <v>#DIV/0!</v>
      </c>
      <c r="AC153" s="187" t="e">
        <f t="shared" si="38"/>
        <v>#DIV/0!</v>
      </c>
      <c r="AD153" s="187" t="e">
        <f t="shared" si="38"/>
        <v>#DIV/0!</v>
      </c>
      <c r="AE153" s="187" t="e">
        <f t="shared" si="38"/>
        <v>#DIV/0!</v>
      </c>
      <c r="AF153" s="187" t="e">
        <f t="shared" si="38"/>
        <v>#DIV/0!</v>
      </c>
      <c r="AG153" s="187" t="e">
        <f t="shared" si="38"/>
        <v>#DIV/0!</v>
      </c>
      <c r="AH153" s="187" t="e">
        <f t="shared" si="38"/>
        <v>#DIV/0!</v>
      </c>
      <c r="AI153" s="187" t="e">
        <f t="shared" si="38"/>
        <v>#DIV/0!</v>
      </c>
      <c r="AJ153" s="187" t="e">
        <f t="shared" si="38"/>
        <v>#DIV/0!</v>
      </c>
      <c r="AK153" s="187" t="e">
        <f t="shared" si="38"/>
        <v>#DIV/0!</v>
      </c>
      <c r="AL153" s="187" t="e">
        <f t="shared" si="38"/>
        <v>#DIV/0!</v>
      </c>
      <c r="AM153" s="187" t="e">
        <f t="shared" si="38"/>
        <v>#DIV/0!</v>
      </c>
      <c r="AN153" s="187" t="e">
        <f t="shared" si="38"/>
        <v>#DIV/0!</v>
      </c>
    </row>
    <row r="154" spans="2:40" x14ac:dyDescent="0.15">
      <c r="B154" s="307"/>
      <c r="C154" s="142" t="s">
        <v>1038</v>
      </c>
      <c r="D154" s="107">
        <f>SUMIFS('caseload data'!E:E,'caseload data'!$D:$D,"PSO",'caseload data'!$A:$A,"East of England",'caseload data'!$B:$B,"custody")</f>
        <v>0</v>
      </c>
      <c r="E154" s="107">
        <f>SUMIFS('caseload data'!F:F,'caseload data'!$D:$D,"PSO",'caseload data'!$A:$A,"East of England",'caseload data'!$B:$B,"custody")</f>
        <v>0</v>
      </c>
      <c r="F154" s="107">
        <f>SUMIFS('caseload data'!G:G,'caseload data'!$D:$D,"PSO",'caseload data'!$A:$A,"East of England",'caseload data'!$B:$B,"custody")</f>
        <v>0</v>
      </c>
      <c r="G154" s="107">
        <f>SUMIFS('caseload data'!H:H,'caseload data'!$D:$D,"PSO",'caseload data'!$A:$A,"East of England",'caseload data'!$B:$B,"custody")</f>
        <v>0</v>
      </c>
      <c r="H154" s="107">
        <f>SUMIFS('caseload data'!I:I,'caseload data'!$D:$D,"PSO",'caseload data'!$A:$A,"East of England",'caseload data'!$B:$B,"custody")</f>
        <v>0</v>
      </c>
      <c r="I154" s="107">
        <f>SUMIFS('caseload data'!J:J,'caseload data'!$D:$D,"PSO",'caseload data'!$A:$A,"East of England",'caseload data'!$B:$B,"custody")</f>
        <v>0</v>
      </c>
      <c r="J154" s="107">
        <f>SUMIFS('caseload data'!K:K,'caseload data'!$D:$D,"PSO",'caseload data'!$A:$A,"East of England",'caseload data'!$B:$B,"custody")</f>
        <v>0</v>
      </c>
      <c r="K154" s="107">
        <f>SUMIFS('caseload data'!L:L,'caseload data'!$D:$D,"PSO",'caseload data'!$A:$A,"East of England",'caseload data'!$B:$B,"custody")</f>
        <v>0</v>
      </c>
      <c r="L154" s="107">
        <f>SUMIFS('caseload data'!M:M,'caseload data'!$D:$D,"PSO",'caseload data'!$A:$A,"East of England",'caseload data'!$B:$B,"custody")</f>
        <v>0</v>
      </c>
      <c r="M154" s="107">
        <f>SUMIFS('caseload data'!N:N,'caseload data'!$D:$D,"PSO",'caseload data'!$A:$A,"East of England",'caseload data'!$B:$B,"custody")</f>
        <v>0</v>
      </c>
      <c r="N154" s="107">
        <f>SUMIFS('caseload data'!O:O,'caseload data'!$D:$D,"PSO",'caseload data'!$A:$A,"East of England",'caseload data'!$B:$B,"custody")</f>
        <v>0</v>
      </c>
      <c r="O154" s="107">
        <f>SUMIFS('caseload data'!P:P,'caseload data'!$D:$D,"PSO",'caseload data'!$A:$A,"East of England",'caseload data'!$B:$B,"custody")</f>
        <v>0</v>
      </c>
      <c r="P154" s="107">
        <f>SUMIFS('caseload data'!Q:Q,'caseload data'!$D:$D,"PSO",'caseload data'!$A:$A,"East of England",'caseload data'!$B:$B,"custody")</f>
        <v>0</v>
      </c>
      <c r="Q154" s="107">
        <f>SUMIFS('caseload data'!R:R,'caseload data'!$D:$D,"PSO",'caseload data'!$A:$A,"East of England",'caseload data'!$B:$B,"custody")</f>
        <v>0</v>
      </c>
      <c r="R154" s="107">
        <f>SUMIFS('caseload data'!S:S,'caseload data'!$D:$D,"PSO",'caseload data'!$A:$A,"East of England",'caseload data'!$B:$B,"custody")</f>
        <v>0</v>
      </c>
      <c r="S154" s="107">
        <f>SUMIFS('caseload data'!T:T,'caseload data'!$D:$D,"PSO",'caseload data'!$A:$A,"East of England",'caseload data'!$B:$B,"custody")</f>
        <v>0</v>
      </c>
      <c r="T154" s="107">
        <f>SUMIFS('caseload data'!V:V,'caseload data'!D:D,"PSO",'caseload data'!A:A,"East of England",'caseload data'!B:B,"custody")</f>
        <v>0</v>
      </c>
      <c r="U154" s="76"/>
      <c r="V154" s="76"/>
      <c r="W154" s="307"/>
      <c r="X154" s="142" t="s">
        <v>1038</v>
      </c>
      <c r="Y154" s="187" t="e">
        <f>SUM(D154)/SUM(D$153:D$156)</f>
        <v>#DIV/0!</v>
      </c>
      <c r="Z154" s="187" t="e">
        <f t="shared" si="38"/>
        <v>#DIV/0!</v>
      </c>
      <c r="AA154" s="187" t="e">
        <f t="shared" si="38"/>
        <v>#DIV/0!</v>
      </c>
      <c r="AB154" s="187" t="e">
        <f t="shared" si="38"/>
        <v>#DIV/0!</v>
      </c>
      <c r="AC154" s="187" t="e">
        <f t="shared" si="38"/>
        <v>#DIV/0!</v>
      </c>
      <c r="AD154" s="187" t="e">
        <f t="shared" si="38"/>
        <v>#DIV/0!</v>
      </c>
      <c r="AE154" s="187" t="e">
        <f t="shared" si="38"/>
        <v>#DIV/0!</v>
      </c>
      <c r="AF154" s="187" t="e">
        <f t="shared" si="38"/>
        <v>#DIV/0!</v>
      </c>
      <c r="AG154" s="187" t="e">
        <f t="shared" si="38"/>
        <v>#DIV/0!</v>
      </c>
      <c r="AH154" s="187" t="e">
        <f t="shared" si="38"/>
        <v>#DIV/0!</v>
      </c>
      <c r="AI154" s="187" t="e">
        <f t="shared" si="38"/>
        <v>#DIV/0!</v>
      </c>
      <c r="AJ154" s="187" t="e">
        <f t="shared" si="38"/>
        <v>#DIV/0!</v>
      </c>
      <c r="AK154" s="187" t="e">
        <f t="shared" si="38"/>
        <v>#DIV/0!</v>
      </c>
      <c r="AL154" s="187" t="e">
        <f t="shared" si="38"/>
        <v>#DIV/0!</v>
      </c>
      <c r="AM154" s="187" t="e">
        <f t="shared" si="38"/>
        <v>#DIV/0!</v>
      </c>
      <c r="AN154" s="187" t="e">
        <f t="shared" si="38"/>
        <v>#DIV/0!</v>
      </c>
    </row>
    <row r="155" spans="2:40" x14ac:dyDescent="0.15">
      <c r="B155" s="307"/>
      <c r="C155" s="142" t="s">
        <v>1039</v>
      </c>
      <c r="D155" s="107">
        <f>SUMIFS('caseload data'!E:E,'caseload data'!$D:$D,"TPO",'caseload data'!$A:$A,"East of England",'caseload data'!$B:$B,"custody")</f>
        <v>0</v>
      </c>
      <c r="E155" s="107">
        <f>SUMIFS('caseload data'!F:F,'caseload data'!$D:$D,"TPO",'caseload data'!$A:$A,"East of England",'caseload data'!$B:$B,"custody")</f>
        <v>0</v>
      </c>
      <c r="F155" s="107">
        <f>SUMIFS('caseload data'!G:G,'caseload data'!$D:$D,"TPO",'caseload data'!$A:$A,"East of England",'caseload data'!$B:$B,"custody")</f>
        <v>0</v>
      </c>
      <c r="G155" s="107">
        <f>SUMIFS('caseload data'!H:H,'caseload data'!$D:$D,"TPO",'caseload data'!$A:$A,"East of England",'caseload data'!$B:$B,"custody")</f>
        <v>0</v>
      </c>
      <c r="H155" s="107">
        <f>SUMIFS('caseload data'!I:I,'caseload data'!$D:$D,"TPO",'caseload data'!$A:$A,"East of England",'caseload data'!$B:$B,"custody")</f>
        <v>0</v>
      </c>
      <c r="I155" s="107">
        <f>SUMIFS('caseload data'!J:J,'caseload data'!$D:$D,"TPO",'caseload data'!$A:$A,"East of England",'caseload data'!$B:$B,"custody")</f>
        <v>0</v>
      </c>
      <c r="J155" s="107">
        <f>SUMIFS('caseload data'!K:K,'caseload data'!$D:$D,"TPO",'caseload data'!$A:$A,"East of England",'caseload data'!$B:$B,"custody")</f>
        <v>0</v>
      </c>
      <c r="K155" s="107">
        <f>SUMIFS('caseload data'!L:L,'caseload data'!$D:$D,"TPO",'caseload data'!$A:$A,"East of England",'caseload data'!$B:$B,"custody")</f>
        <v>0</v>
      </c>
      <c r="L155" s="107">
        <f>SUMIFS('caseload data'!M:M,'caseload data'!$D:$D,"TPO",'caseload data'!$A:$A,"East of England",'caseload data'!$B:$B,"custody")</f>
        <v>0</v>
      </c>
      <c r="M155" s="107">
        <f>SUMIFS('caseload data'!N:N,'caseload data'!$D:$D,"TPO",'caseload data'!$A:$A,"East of England",'caseload data'!$B:$B,"custody")</f>
        <v>0</v>
      </c>
      <c r="N155" s="107">
        <f>SUMIFS('caseload data'!O:O,'caseload data'!$D:$D,"TPO",'caseload data'!$A:$A,"East of England",'caseload data'!$B:$B,"custody")</f>
        <v>0</v>
      </c>
      <c r="O155" s="107">
        <f>SUMIFS('caseload data'!P:P,'caseload data'!$D:$D,"TPO",'caseload data'!$A:$A,"East of England",'caseload data'!$B:$B,"custody")</f>
        <v>0</v>
      </c>
      <c r="P155" s="107">
        <f>SUMIFS('caseload data'!Q:Q,'caseload data'!$D:$D,"TPO",'caseload data'!$A:$A,"East of England",'caseload data'!$B:$B,"custody")</f>
        <v>0</v>
      </c>
      <c r="Q155" s="107">
        <f>SUMIFS('caseload data'!R:R,'caseload data'!$D:$D,"TPO",'caseload data'!$A:$A,"East of England",'caseload data'!$B:$B,"custody")</f>
        <v>0</v>
      </c>
      <c r="R155" s="107">
        <f>SUMIFS('caseload data'!S:S,'caseload data'!$D:$D,"TPO",'caseload data'!$A:$A,"East of England",'caseload data'!$B:$B,"custody")</f>
        <v>0</v>
      </c>
      <c r="S155" s="107">
        <f>SUMIFS('caseload data'!T:T,'caseload data'!$D:$D,"TPO",'caseload data'!$A:$A,"East of England",'caseload data'!$B:$B,"custody")</f>
        <v>0</v>
      </c>
      <c r="T155" s="107">
        <f>SUMIFS('caseload data'!V:V,'caseload data'!D:D,"TPO",'caseload data'!A:A,"East of England",'caseload data'!B:B,"custody")</f>
        <v>0</v>
      </c>
      <c r="U155" s="76"/>
      <c r="V155" s="76"/>
      <c r="W155" s="307"/>
      <c r="X155" s="142" t="s">
        <v>1039</v>
      </c>
      <c r="Y155" s="187" t="e">
        <f>SUM(D155)/SUM(D$153:D$156)</f>
        <v>#DIV/0!</v>
      </c>
      <c r="Z155" s="187" t="e">
        <f t="shared" si="38"/>
        <v>#DIV/0!</v>
      </c>
      <c r="AA155" s="187" t="e">
        <f t="shared" si="38"/>
        <v>#DIV/0!</v>
      </c>
      <c r="AB155" s="187" t="e">
        <f t="shared" si="38"/>
        <v>#DIV/0!</v>
      </c>
      <c r="AC155" s="187" t="e">
        <f t="shared" si="38"/>
        <v>#DIV/0!</v>
      </c>
      <c r="AD155" s="187" t="e">
        <f t="shared" si="38"/>
        <v>#DIV/0!</v>
      </c>
      <c r="AE155" s="187" t="e">
        <f t="shared" si="38"/>
        <v>#DIV/0!</v>
      </c>
      <c r="AF155" s="187" t="e">
        <f t="shared" si="38"/>
        <v>#DIV/0!</v>
      </c>
      <c r="AG155" s="187" t="e">
        <f t="shared" si="38"/>
        <v>#DIV/0!</v>
      </c>
      <c r="AH155" s="187" t="e">
        <f t="shared" si="38"/>
        <v>#DIV/0!</v>
      </c>
      <c r="AI155" s="187" t="e">
        <f t="shared" si="38"/>
        <v>#DIV/0!</v>
      </c>
      <c r="AJ155" s="187" t="e">
        <f t="shared" si="38"/>
        <v>#DIV/0!</v>
      </c>
      <c r="AK155" s="187" t="e">
        <f t="shared" si="38"/>
        <v>#DIV/0!</v>
      </c>
      <c r="AL155" s="187" t="e">
        <f t="shared" si="38"/>
        <v>#DIV/0!</v>
      </c>
      <c r="AM155" s="187" t="e">
        <f t="shared" si="38"/>
        <v>#DIV/0!</v>
      </c>
      <c r="AN155" s="187" t="e">
        <f t="shared" si="38"/>
        <v>#DIV/0!</v>
      </c>
    </row>
    <row r="156" spans="2:40" x14ac:dyDescent="0.15">
      <c r="B156" s="308"/>
      <c r="C156" s="143" t="s">
        <v>1040</v>
      </c>
      <c r="D156" s="107">
        <f>SUMIFS('caseload data'!E:E,'caseload data'!$D:$D,"SPO",'caseload data'!$A:$A,"East of England",'caseload data'!$B:$B,"custody")</f>
        <v>0</v>
      </c>
      <c r="E156" s="107">
        <f>SUMIFS('caseload data'!F:F,'caseload data'!$D:$D,"SPO",'caseload data'!$A:$A,"East of England",'caseload data'!$B:$B,"custody")</f>
        <v>0</v>
      </c>
      <c r="F156" s="107">
        <f>SUMIFS('caseload data'!G:G,'caseload data'!$D:$D,"SPO",'caseload data'!$A:$A,"East of England",'caseload data'!$B:$B,"custody")</f>
        <v>0</v>
      </c>
      <c r="G156" s="107">
        <f>SUMIFS('caseload data'!H:H,'caseload data'!$D:$D,"SPO",'caseload data'!$A:$A,"East of England",'caseload data'!$B:$B,"custody")</f>
        <v>0</v>
      </c>
      <c r="H156" s="107">
        <f>SUMIFS('caseload data'!I:I,'caseload data'!$D:$D,"SPO",'caseload data'!$A:$A,"East of England",'caseload data'!$B:$B,"custody")</f>
        <v>0</v>
      </c>
      <c r="I156" s="107">
        <f>SUMIFS('caseload data'!J:J,'caseload data'!$D:$D,"SPO",'caseload data'!$A:$A,"East of England",'caseload data'!$B:$B,"custody")</f>
        <v>0</v>
      </c>
      <c r="J156" s="107">
        <f>SUMIFS('caseload data'!K:K,'caseload data'!$D:$D,"SPO",'caseload data'!$A:$A,"East of England",'caseload data'!$B:$B,"custody")</f>
        <v>0</v>
      </c>
      <c r="K156" s="107">
        <f>SUMIFS('caseload data'!L:L,'caseload data'!$D:$D,"SPO",'caseload data'!$A:$A,"East of England",'caseload data'!$B:$B,"custody")</f>
        <v>0</v>
      </c>
      <c r="L156" s="107">
        <f>SUMIFS('caseload data'!M:M,'caseload data'!$D:$D,"SPO",'caseload data'!$A:$A,"East of England",'caseload data'!$B:$B,"custody")</f>
        <v>0</v>
      </c>
      <c r="M156" s="107">
        <f>SUMIFS('caseload data'!N:N,'caseload data'!$D:$D,"SPO",'caseload data'!$A:$A,"East of England",'caseload data'!$B:$B,"custody")</f>
        <v>0</v>
      </c>
      <c r="N156" s="107">
        <f>SUMIFS('caseload data'!O:O,'caseload data'!$D:$D,"SPO",'caseload data'!$A:$A,"East of England",'caseload data'!$B:$B,"custody")</f>
        <v>0</v>
      </c>
      <c r="O156" s="107">
        <f>SUMIFS('caseload data'!P:P,'caseload data'!$D:$D,"SPO",'caseload data'!$A:$A,"East of England",'caseload data'!$B:$B,"custody")</f>
        <v>0</v>
      </c>
      <c r="P156" s="107">
        <f>SUMIFS('caseload data'!Q:Q,'caseload data'!$D:$D,"SPO",'caseload data'!$A:$A,"East of England",'caseload data'!$B:$B,"custody")</f>
        <v>0</v>
      </c>
      <c r="Q156" s="107">
        <f>SUMIFS('caseload data'!R:R,'caseload data'!$D:$D,"SPO",'caseload data'!$A:$A,"East of England",'caseload data'!$B:$B,"custody")</f>
        <v>0</v>
      </c>
      <c r="R156" s="107">
        <f>SUMIFS('caseload data'!S:S,'caseload data'!$D:$D,"SPO",'caseload data'!$A:$A,"East of England",'caseload data'!$B:$B,"custody")</f>
        <v>0</v>
      </c>
      <c r="S156" s="107">
        <f>SUMIFS('caseload data'!T:T,'caseload data'!$D:$D,"SPO",'caseload data'!$A:$A,"East of England",'caseload data'!$B:$B,"custody")</f>
        <v>0</v>
      </c>
      <c r="T156" s="107">
        <f>SUMIFS('caseload data'!V:V,'caseload data'!$D:$D,"SPO",'caseload data'!$A:$A,"East of England",'caseload data'!$B:$B,"custody")</f>
        <v>0</v>
      </c>
      <c r="U156" s="76"/>
      <c r="V156" s="76"/>
      <c r="W156" s="308"/>
      <c r="X156" s="143" t="s">
        <v>1040</v>
      </c>
      <c r="Y156" s="187" t="e">
        <f>SUM(D156)/SUM(D$153:D$156)</f>
        <v>#DIV/0!</v>
      </c>
      <c r="Z156" s="187" t="e">
        <f t="shared" si="38"/>
        <v>#DIV/0!</v>
      </c>
      <c r="AA156" s="187" t="e">
        <f t="shared" si="38"/>
        <v>#DIV/0!</v>
      </c>
      <c r="AB156" s="187" t="e">
        <f t="shared" si="38"/>
        <v>#DIV/0!</v>
      </c>
      <c r="AC156" s="187" t="e">
        <f t="shared" si="38"/>
        <v>#DIV/0!</v>
      </c>
      <c r="AD156" s="187" t="e">
        <f t="shared" si="38"/>
        <v>#DIV/0!</v>
      </c>
      <c r="AE156" s="187" t="e">
        <f t="shared" si="38"/>
        <v>#DIV/0!</v>
      </c>
      <c r="AF156" s="187" t="e">
        <f t="shared" si="38"/>
        <v>#DIV/0!</v>
      </c>
      <c r="AG156" s="187" t="e">
        <f t="shared" si="38"/>
        <v>#DIV/0!</v>
      </c>
      <c r="AH156" s="187" t="e">
        <f t="shared" si="38"/>
        <v>#DIV/0!</v>
      </c>
      <c r="AI156" s="187" t="e">
        <f t="shared" si="38"/>
        <v>#DIV/0!</v>
      </c>
      <c r="AJ156" s="187" t="e">
        <f t="shared" si="38"/>
        <v>#DIV/0!</v>
      </c>
      <c r="AK156" s="187" t="e">
        <f t="shared" si="38"/>
        <v>#DIV/0!</v>
      </c>
      <c r="AL156" s="187" t="e">
        <f t="shared" si="38"/>
        <v>#DIV/0!</v>
      </c>
      <c r="AM156" s="187" t="e">
        <f t="shared" si="38"/>
        <v>#DIV/0!</v>
      </c>
      <c r="AN156" s="187" t="e">
        <f t="shared" si="38"/>
        <v>#DIV/0!</v>
      </c>
    </row>
    <row r="157" spans="2:40" x14ac:dyDescent="0.15">
      <c r="B157" s="306" t="s">
        <v>21</v>
      </c>
      <c r="C157" s="141" t="s">
        <v>1037</v>
      </c>
      <c r="D157" s="107">
        <f>SUMIFS('caseload data'!E:E,'caseload data'!$D:$D,"PO",'caseload data'!$A:$A,"NPS Greater Manchester",'caseload data'!$B:$B,"custody")</f>
        <v>0</v>
      </c>
      <c r="E157" s="107">
        <f>SUMIFS('caseload data'!F:F,'caseload data'!$D:$D,"PO",'caseload data'!$A:$A,"NPS Greater Manchester",'caseload data'!$B:$B,"custody")</f>
        <v>0</v>
      </c>
      <c r="F157" s="107">
        <f>SUMIFS('caseload data'!G:G,'caseload data'!$D:$D,"PO",'caseload data'!$A:$A,"NPS Greater Manchester",'caseload data'!$B:$B,"custody")</f>
        <v>0</v>
      </c>
      <c r="G157" s="107">
        <f>SUMIFS('caseload data'!H:H,'caseload data'!$D:$D,"PO",'caseload data'!$A:$A,"NPS Greater Manchester",'caseload data'!$B:$B,"custody")</f>
        <v>0</v>
      </c>
      <c r="H157" s="107">
        <f>SUMIFS('caseload data'!I:I,'caseload data'!$D:$D,"PO",'caseload data'!$A:$A,"NPS Greater Manchester",'caseload data'!$B:$B,"custody")</f>
        <v>0</v>
      </c>
      <c r="I157" s="107">
        <f>SUMIFS('caseload data'!J:J,'caseload data'!$D:$D,"PO",'caseload data'!$A:$A,"NPS Greater Manchester",'caseload data'!$B:$B,"custody")</f>
        <v>0</v>
      </c>
      <c r="J157" s="107">
        <f>SUMIFS('caseload data'!K:K,'caseload data'!$D:$D,"PO",'caseload data'!$A:$A,"NPS Greater Manchester",'caseload data'!$B:$B,"custody")</f>
        <v>0</v>
      </c>
      <c r="K157" s="107">
        <f>SUMIFS('caseload data'!L:L,'caseload data'!$D:$D,"PO",'caseload data'!$A:$A,"NPS Greater Manchester",'caseload data'!$B:$B,"custody")</f>
        <v>0</v>
      </c>
      <c r="L157" s="107">
        <f>SUMIFS('caseload data'!M:M,'caseload data'!$D:$D,"PO",'caseload data'!$A:$A,"NPS Greater Manchester",'caseload data'!$B:$B,"custody")</f>
        <v>0</v>
      </c>
      <c r="M157" s="107">
        <f>SUMIFS('caseload data'!N:N,'caseload data'!$D:$D,"PO",'caseload data'!$A:$A,"NPS Greater Manchester",'caseload data'!$B:$B,"custody")</f>
        <v>0</v>
      </c>
      <c r="N157" s="107">
        <f>SUMIFS('caseload data'!O:O,'caseload data'!$D:$D,"PO",'caseload data'!$A:$A,"NPS Greater Manchester",'caseload data'!$B:$B,"custody")</f>
        <v>0</v>
      </c>
      <c r="O157" s="107">
        <f>SUMIFS('caseload data'!P:P,'caseload data'!$D:$D,"PO",'caseload data'!$A:$A,"NPS Greater Manchester",'caseload data'!$B:$B,"custody")</f>
        <v>0</v>
      </c>
      <c r="P157" s="107">
        <f>SUMIFS('caseload data'!Q:Q,'caseload data'!$D:$D,"PO",'caseload data'!$A:$A,"NPS Greater Manchester",'caseload data'!$B:$B,"custody")</f>
        <v>0</v>
      </c>
      <c r="Q157" s="107">
        <f>SUMIFS('caseload data'!R:R,'caseload data'!$D:$D,"PO",'caseload data'!$A:$A,"NPS Greater Manchester",'caseload data'!$B:$B,"custody")</f>
        <v>0</v>
      </c>
      <c r="R157" s="107">
        <f>SUMIFS('caseload data'!S:S,'caseload data'!$D:$D,"PO",'caseload data'!$A:$A,"NPS Greater Manchester",'caseload data'!$B:$B,"custody")</f>
        <v>0</v>
      </c>
      <c r="S157" s="107">
        <f>SUMIFS('caseload data'!T:T,'caseload data'!$D:$D,"PO",'caseload data'!$A:$A,"NPS Greater Manchester",'caseload data'!$B:$B,"custody")</f>
        <v>0</v>
      </c>
      <c r="T157" s="107">
        <f>SUMIFS('caseload data'!V:V,'caseload data'!D:D,"PO",'caseload data'!A:A,"NPS Greater Manchester",'caseload data'!B:B,"custody")</f>
        <v>0</v>
      </c>
      <c r="U157" s="76"/>
      <c r="V157" s="76"/>
      <c r="W157" s="306" t="s">
        <v>21</v>
      </c>
      <c r="X157" s="141" t="s">
        <v>1037</v>
      </c>
      <c r="Y157" s="187" t="e">
        <f>SUM(D157)/SUM(D$157:D$160)</f>
        <v>#DIV/0!</v>
      </c>
      <c r="Z157" s="187" t="e">
        <f t="shared" ref="Z157:AN160" si="39">SUM(E157)/SUM(E$157:E$160)</f>
        <v>#DIV/0!</v>
      </c>
      <c r="AA157" s="187" t="e">
        <f t="shared" si="39"/>
        <v>#DIV/0!</v>
      </c>
      <c r="AB157" s="187" t="e">
        <f t="shared" si="39"/>
        <v>#DIV/0!</v>
      </c>
      <c r="AC157" s="187" t="e">
        <f t="shared" si="39"/>
        <v>#DIV/0!</v>
      </c>
      <c r="AD157" s="187" t="e">
        <f t="shared" si="39"/>
        <v>#DIV/0!</v>
      </c>
      <c r="AE157" s="187" t="e">
        <f t="shared" si="39"/>
        <v>#DIV/0!</v>
      </c>
      <c r="AF157" s="187" t="e">
        <f t="shared" si="39"/>
        <v>#DIV/0!</v>
      </c>
      <c r="AG157" s="187" t="e">
        <f t="shared" si="39"/>
        <v>#DIV/0!</v>
      </c>
      <c r="AH157" s="187" t="e">
        <f t="shared" si="39"/>
        <v>#DIV/0!</v>
      </c>
      <c r="AI157" s="187" t="e">
        <f t="shared" si="39"/>
        <v>#DIV/0!</v>
      </c>
      <c r="AJ157" s="187" t="e">
        <f t="shared" si="39"/>
        <v>#DIV/0!</v>
      </c>
      <c r="AK157" s="187" t="e">
        <f t="shared" si="39"/>
        <v>#DIV/0!</v>
      </c>
      <c r="AL157" s="187" t="e">
        <f t="shared" si="39"/>
        <v>#DIV/0!</v>
      </c>
      <c r="AM157" s="187" t="e">
        <f t="shared" si="39"/>
        <v>#DIV/0!</v>
      </c>
      <c r="AN157" s="187" t="e">
        <f t="shared" si="39"/>
        <v>#DIV/0!</v>
      </c>
    </row>
    <row r="158" spans="2:40" x14ac:dyDescent="0.15">
      <c r="B158" s="307"/>
      <c r="C158" s="142" t="s">
        <v>1038</v>
      </c>
      <c r="D158" s="107">
        <f>SUMIFS('caseload data'!E:E,'caseload data'!$D:$D,"PSO",'caseload data'!$A:$A,"NPS Greater Manchester",'caseload data'!$B:$B,"custody")</f>
        <v>0</v>
      </c>
      <c r="E158" s="107">
        <f>SUMIFS('caseload data'!F:F,'caseload data'!$D:$D,"PSO",'caseload data'!$A:$A,"NPS Greater Manchester",'caseload data'!$B:$B,"custody")</f>
        <v>0</v>
      </c>
      <c r="F158" s="107">
        <f>SUMIFS('caseload data'!G:G,'caseload data'!$D:$D,"PSO",'caseload data'!$A:$A,"NPS Greater Manchester",'caseload data'!$B:$B,"custody")</f>
        <v>0</v>
      </c>
      <c r="G158" s="107">
        <f>SUMIFS('caseload data'!H:H,'caseload data'!$D:$D,"PSO",'caseload data'!$A:$A,"NPS Greater Manchester",'caseload data'!$B:$B,"custody")</f>
        <v>0</v>
      </c>
      <c r="H158" s="107">
        <f>SUMIFS('caseload data'!I:I,'caseload data'!$D:$D,"PSO",'caseload data'!$A:$A,"NPS Greater Manchester",'caseload data'!$B:$B,"custody")</f>
        <v>0</v>
      </c>
      <c r="I158" s="107">
        <f>SUMIFS('caseload data'!J:J,'caseload data'!$D:$D,"PSO",'caseload data'!$A:$A,"NPS Greater Manchester",'caseload data'!$B:$B,"custody")</f>
        <v>0</v>
      </c>
      <c r="J158" s="107">
        <f>SUMIFS('caseload data'!K:K,'caseload data'!$D:$D,"PSO",'caseload data'!$A:$A,"NPS Greater Manchester",'caseload data'!$B:$B,"custody")</f>
        <v>0</v>
      </c>
      <c r="K158" s="107">
        <f>SUMIFS('caseload data'!L:L,'caseload data'!$D:$D,"PSO",'caseload data'!$A:$A,"NPS Greater Manchester",'caseload data'!$B:$B,"custody")</f>
        <v>0</v>
      </c>
      <c r="L158" s="107">
        <f>SUMIFS('caseload data'!M:M,'caseload data'!$D:$D,"PSO",'caseload data'!$A:$A,"NPS Greater Manchester",'caseload data'!$B:$B,"custody")</f>
        <v>0</v>
      </c>
      <c r="M158" s="107">
        <f>SUMIFS('caseload data'!N:N,'caseload data'!$D:$D,"PSO",'caseload data'!$A:$A,"NPS Greater Manchester",'caseload data'!$B:$B,"custody")</f>
        <v>0</v>
      </c>
      <c r="N158" s="107">
        <f>SUMIFS('caseload data'!O:O,'caseload data'!$D:$D,"PSO",'caseload data'!$A:$A,"NPS Greater Manchester",'caseload data'!$B:$B,"custody")</f>
        <v>0</v>
      </c>
      <c r="O158" s="107">
        <f>SUMIFS('caseload data'!P:P,'caseload data'!$D:$D,"PSO",'caseload data'!$A:$A,"NPS Greater Manchester",'caseload data'!$B:$B,"custody")</f>
        <v>0</v>
      </c>
      <c r="P158" s="107">
        <f>SUMIFS('caseload data'!Q:Q,'caseload data'!$D:$D,"PSO",'caseload data'!$A:$A,"NPS Greater Manchester",'caseload data'!$B:$B,"custody")</f>
        <v>0</v>
      </c>
      <c r="Q158" s="107">
        <f>SUMIFS('caseload data'!R:R,'caseload data'!$D:$D,"PSO",'caseload data'!$A:$A,"NPS Greater Manchester",'caseload data'!$B:$B,"custody")</f>
        <v>0</v>
      </c>
      <c r="R158" s="107">
        <f>SUMIFS('caseload data'!S:S,'caseload data'!$D:$D,"PSO",'caseload data'!$A:$A,"NPS Greater Manchester",'caseload data'!$B:$B,"custody")</f>
        <v>0</v>
      </c>
      <c r="S158" s="107">
        <f>SUMIFS('caseload data'!T:T,'caseload data'!$D:$D,"PSO",'caseload data'!$A:$A,"NPS Greater Manchester",'caseload data'!$B:$B,"custody")</f>
        <v>0</v>
      </c>
      <c r="T158" s="107">
        <f>SUMIFS('caseload data'!V:V,'caseload data'!D:D,"PSO",'caseload data'!A:A,"NPS Greater Manchester",'caseload data'!B:B,"custody")</f>
        <v>0</v>
      </c>
      <c r="U158" s="76"/>
      <c r="V158" s="76"/>
      <c r="W158" s="307"/>
      <c r="X158" s="142" t="s">
        <v>1038</v>
      </c>
      <c r="Y158" s="187" t="e">
        <f>SUM(D158)/SUM(D$157:D$160)</f>
        <v>#DIV/0!</v>
      </c>
      <c r="Z158" s="187" t="e">
        <f t="shared" si="39"/>
        <v>#DIV/0!</v>
      </c>
      <c r="AA158" s="187" t="e">
        <f t="shared" si="39"/>
        <v>#DIV/0!</v>
      </c>
      <c r="AB158" s="187" t="e">
        <f t="shared" si="39"/>
        <v>#DIV/0!</v>
      </c>
      <c r="AC158" s="187" t="e">
        <f t="shared" si="39"/>
        <v>#DIV/0!</v>
      </c>
      <c r="AD158" s="187" t="e">
        <f t="shared" si="39"/>
        <v>#DIV/0!</v>
      </c>
      <c r="AE158" s="187" t="e">
        <f t="shared" si="39"/>
        <v>#DIV/0!</v>
      </c>
      <c r="AF158" s="187" t="e">
        <f t="shared" si="39"/>
        <v>#DIV/0!</v>
      </c>
      <c r="AG158" s="187" t="e">
        <f t="shared" si="39"/>
        <v>#DIV/0!</v>
      </c>
      <c r="AH158" s="187" t="e">
        <f t="shared" si="39"/>
        <v>#DIV/0!</v>
      </c>
      <c r="AI158" s="187" t="e">
        <f t="shared" si="39"/>
        <v>#DIV/0!</v>
      </c>
      <c r="AJ158" s="187" t="e">
        <f t="shared" si="39"/>
        <v>#DIV/0!</v>
      </c>
      <c r="AK158" s="187" t="e">
        <f t="shared" si="39"/>
        <v>#DIV/0!</v>
      </c>
      <c r="AL158" s="187" t="e">
        <f t="shared" si="39"/>
        <v>#DIV/0!</v>
      </c>
      <c r="AM158" s="187" t="e">
        <f t="shared" si="39"/>
        <v>#DIV/0!</v>
      </c>
      <c r="AN158" s="187" t="e">
        <f t="shared" si="39"/>
        <v>#DIV/0!</v>
      </c>
    </row>
    <row r="159" spans="2:40" x14ac:dyDescent="0.15">
      <c r="B159" s="307"/>
      <c r="C159" s="142" t="s">
        <v>1039</v>
      </c>
      <c r="D159" s="107">
        <f>SUMIFS('caseload data'!E:E,'caseload data'!$D:$D,"TPO",'caseload data'!$A:$A,"NPS Greater Manchester",'caseload data'!$B:$B,"custody")</f>
        <v>0</v>
      </c>
      <c r="E159" s="107">
        <f>SUMIFS('caseload data'!F:F,'caseload data'!$D:$D,"TPO",'caseload data'!$A:$A,"NPS Greater Manchester",'caseload data'!$B:$B,"custody")</f>
        <v>0</v>
      </c>
      <c r="F159" s="107">
        <f>SUMIFS('caseload data'!G:G,'caseload data'!$D:$D,"TPO",'caseload data'!$A:$A,"NPS Greater Manchester",'caseload data'!$B:$B,"custody")</f>
        <v>0</v>
      </c>
      <c r="G159" s="107">
        <f>SUMIFS('caseload data'!H:H,'caseload data'!$D:$D,"TPO",'caseload data'!$A:$A,"NPS Greater Manchester",'caseload data'!$B:$B,"custody")</f>
        <v>0</v>
      </c>
      <c r="H159" s="107">
        <f>SUMIFS('caseload data'!I:I,'caseload data'!$D:$D,"TPO",'caseload data'!$A:$A,"NPS Greater Manchester",'caseload data'!$B:$B,"custody")</f>
        <v>0</v>
      </c>
      <c r="I159" s="107">
        <f>SUMIFS('caseload data'!J:J,'caseload data'!$D:$D,"TPO",'caseload data'!$A:$A,"NPS Greater Manchester",'caseload data'!$B:$B,"custody")</f>
        <v>0</v>
      </c>
      <c r="J159" s="107">
        <f>SUMIFS('caseload data'!K:K,'caseload data'!$D:$D,"TPO",'caseload data'!$A:$A,"NPS Greater Manchester",'caseload data'!$B:$B,"custody")</f>
        <v>0</v>
      </c>
      <c r="K159" s="107">
        <f>SUMIFS('caseload data'!L:L,'caseload data'!$D:$D,"TPO",'caseload data'!$A:$A,"NPS Greater Manchester",'caseload data'!$B:$B,"custody")</f>
        <v>0</v>
      </c>
      <c r="L159" s="107">
        <f>SUMIFS('caseload data'!M:M,'caseload data'!$D:$D,"TPO",'caseload data'!$A:$A,"NPS Greater Manchester",'caseload data'!$B:$B,"custody")</f>
        <v>0</v>
      </c>
      <c r="M159" s="107">
        <f>SUMIFS('caseload data'!N:N,'caseload data'!$D:$D,"TPO",'caseload data'!$A:$A,"NPS Greater Manchester",'caseload data'!$B:$B,"custody")</f>
        <v>0</v>
      </c>
      <c r="N159" s="107">
        <f>SUMIFS('caseload data'!O:O,'caseload data'!$D:$D,"TPO",'caseload data'!$A:$A,"NPS Greater Manchester",'caseload data'!$B:$B,"custody")</f>
        <v>0</v>
      </c>
      <c r="O159" s="107">
        <f>SUMIFS('caseload data'!P:P,'caseload data'!$D:$D,"TPO",'caseload data'!$A:$A,"NPS Greater Manchester",'caseload data'!$B:$B,"custody")</f>
        <v>0</v>
      </c>
      <c r="P159" s="107">
        <f>SUMIFS('caseload data'!Q:Q,'caseload data'!$D:$D,"TPO",'caseload data'!$A:$A,"NPS Greater Manchester",'caseload data'!$B:$B,"custody")</f>
        <v>0</v>
      </c>
      <c r="Q159" s="107">
        <f>SUMIFS('caseload data'!R:R,'caseload data'!$D:$D,"TPO",'caseload data'!$A:$A,"NPS Greater Manchester",'caseload data'!$B:$B,"custody")</f>
        <v>0</v>
      </c>
      <c r="R159" s="107">
        <f>SUMIFS('caseload data'!S:S,'caseload data'!$D:$D,"TPO",'caseload data'!$A:$A,"NPS Greater Manchester",'caseload data'!$B:$B,"custody")</f>
        <v>0</v>
      </c>
      <c r="S159" s="107">
        <f>SUMIFS('caseload data'!T:T,'caseload data'!$D:$D,"TPO",'caseload data'!$A:$A,"NPS Greater Manchester",'caseload data'!$B:$B,"custody")</f>
        <v>0</v>
      </c>
      <c r="T159" s="107">
        <f>SUMIFS('caseload data'!V:V,'caseload data'!D:D,"TPO",'caseload data'!A:A,"NPS Greater Manchester",'caseload data'!B:B,"custody")</f>
        <v>0</v>
      </c>
      <c r="U159" s="76"/>
      <c r="V159" s="76"/>
      <c r="W159" s="307"/>
      <c r="X159" s="142" t="s">
        <v>1039</v>
      </c>
      <c r="Y159" s="187" t="e">
        <f>SUM(D159)/SUM(D$157:D$160)</f>
        <v>#DIV/0!</v>
      </c>
      <c r="Z159" s="187" t="e">
        <f t="shared" si="39"/>
        <v>#DIV/0!</v>
      </c>
      <c r="AA159" s="187" t="e">
        <f t="shared" si="39"/>
        <v>#DIV/0!</v>
      </c>
      <c r="AB159" s="187" t="e">
        <f t="shared" si="39"/>
        <v>#DIV/0!</v>
      </c>
      <c r="AC159" s="187" t="e">
        <f t="shared" si="39"/>
        <v>#DIV/0!</v>
      </c>
      <c r="AD159" s="187" t="e">
        <f t="shared" si="39"/>
        <v>#DIV/0!</v>
      </c>
      <c r="AE159" s="187" t="e">
        <f t="shared" si="39"/>
        <v>#DIV/0!</v>
      </c>
      <c r="AF159" s="187" t="e">
        <f t="shared" si="39"/>
        <v>#DIV/0!</v>
      </c>
      <c r="AG159" s="187" t="e">
        <f t="shared" si="39"/>
        <v>#DIV/0!</v>
      </c>
      <c r="AH159" s="187" t="e">
        <f t="shared" si="39"/>
        <v>#DIV/0!</v>
      </c>
      <c r="AI159" s="187" t="e">
        <f t="shared" si="39"/>
        <v>#DIV/0!</v>
      </c>
      <c r="AJ159" s="187" t="e">
        <f t="shared" si="39"/>
        <v>#DIV/0!</v>
      </c>
      <c r="AK159" s="187" t="e">
        <f t="shared" si="39"/>
        <v>#DIV/0!</v>
      </c>
      <c r="AL159" s="187" t="e">
        <f t="shared" si="39"/>
        <v>#DIV/0!</v>
      </c>
      <c r="AM159" s="187" t="e">
        <f t="shared" si="39"/>
        <v>#DIV/0!</v>
      </c>
      <c r="AN159" s="187" t="e">
        <f t="shared" si="39"/>
        <v>#DIV/0!</v>
      </c>
    </row>
    <row r="160" spans="2:40" x14ac:dyDescent="0.15">
      <c r="B160" s="308"/>
      <c r="C160" s="143" t="s">
        <v>1040</v>
      </c>
      <c r="D160" s="107">
        <f>SUMIFS('caseload data'!E:E,'caseload data'!$D:$D,"SPO",'caseload data'!$A:$A,"NPS Greater Manchester",'caseload data'!$B:$B,"custody")</f>
        <v>0</v>
      </c>
      <c r="E160" s="107">
        <f>SUMIFS('caseload data'!F:F,'caseload data'!$D:$D,"SPO",'caseload data'!$A:$A,"NPS Greater Manchester",'caseload data'!$B:$B,"custody")</f>
        <v>0</v>
      </c>
      <c r="F160" s="107">
        <f>SUMIFS('caseload data'!G:G,'caseload data'!$D:$D,"SPO",'caseload data'!$A:$A,"NPS Greater Manchester",'caseload data'!$B:$B,"custody")</f>
        <v>0</v>
      </c>
      <c r="G160" s="107">
        <f>SUMIFS('caseload data'!H:H,'caseload data'!$D:$D,"SPO",'caseload data'!$A:$A,"NPS Greater Manchester",'caseload data'!$B:$B,"custody")</f>
        <v>0</v>
      </c>
      <c r="H160" s="107">
        <f>SUMIFS('caseload data'!I:I,'caseload data'!$D:$D,"SPO",'caseload data'!$A:$A,"NPS Greater Manchester",'caseload data'!$B:$B,"custody")</f>
        <v>0</v>
      </c>
      <c r="I160" s="107">
        <f>SUMIFS('caseload data'!J:J,'caseload data'!$D:$D,"SPO",'caseload data'!$A:$A,"NPS Greater Manchester",'caseload data'!$B:$B,"custody")</f>
        <v>0</v>
      </c>
      <c r="J160" s="107">
        <f>SUMIFS('caseload data'!K:K,'caseload data'!$D:$D,"SPO",'caseload data'!$A:$A,"NPS Greater Manchester",'caseload data'!$B:$B,"custody")</f>
        <v>0</v>
      </c>
      <c r="K160" s="107">
        <f>SUMIFS('caseload data'!L:L,'caseload data'!$D:$D,"SPO",'caseload data'!$A:$A,"NPS Greater Manchester",'caseload data'!$B:$B,"custody")</f>
        <v>0</v>
      </c>
      <c r="L160" s="107">
        <f>SUMIFS('caseload data'!M:M,'caseload data'!$D:$D,"SPO",'caseload data'!$A:$A,"NPS Greater Manchester",'caseload data'!$B:$B,"custody")</f>
        <v>0</v>
      </c>
      <c r="M160" s="107">
        <f>SUMIFS('caseload data'!N:N,'caseload data'!$D:$D,"SPO",'caseload data'!$A:$A,"NPS Greater Manchester",'caseload data'!$B:$B,"custody")</f>
        <v>0</v>
      </c>
      <c r="N160" s="107">
        <f>SUMIFS('caseload data'!O:O,'caseload data'!$D:$D,"SPO",'caseload data'!$A:$A,"NPS Greater Manchester",'caseload data'!$B:$B,"custody")</f>
        <v>0</v>
      </c>
      <c r="O160" s="107">
        <f>SUMIFS('caseload data'!P:P,'caseload data'!$D:$D,"SPO",'caseload data'!$A:$A,"NPS Greater Manchester",'caseload data'!$B:$B,"custody")</f>
        <v>0</v>
      </c>
      <c r="P160" s="107">
        <f>SUMIFS('caseload data'!Q:Q,'caseload data'!$D:$D,"SPO",'caseload data'!$A:$A,"NPS Greater Manchester",'caseload data'!$B:$B,"custody")</f>
        <v>0</v>
      </c>
      <c r="Q160" s="107">
        <f>SUMIFS('caseload data'!R:R,'caseload data'!$D:$D,"SPO",'caseload data'!$A:$A,"NPS Greater Manchester",'caseload data'!$B:$B,"custody")</f>
        <v>0</v>
      </c>
      <c r="R160" s="107">
        <f>SUMIFS('caseload data'!S:S,'caseload data'!$D:$D,"SPO",'caseload data'!$A:$A,"NPS Greater Manchester",'caseload data'!$B:$B,"custody")</f>
        <v>0</v>
      </c>
      <c r="S160" s="107">
        <f>SUMIFS('caseload data'!T:T,'caseload data'!$D:$D,"SPO",'caseload data'!$A:$A,"NPS Greater Manchester",'caseload data'!$B:$B,"custody")</f>
        <v>0</v>
      </c>
      <c r="T160" s="107">
        <f>SUMIFS('caseload data'!V:V,'caseload data'!$D:$D,"SPO",'caseload data'!$A:$A,"NPS Greater Manchester",'caseload data'!$B:$B,"custody")</f>
        <v>0</v>
      </c>
      <c r="U160" s="76"/>
      <c r="V160" s="76"/>
      <c r="W160" s="308"/>
      <c r="X160" s="143" t="s">
        <v>1040</v>
      </c>
      <c r="Y160" s="187" t="e">
        <f>SUM(D160)/SUM(D$157:D$160)</f>
        <v>#DIV/0!</v>
      </c>
      <c r="Z160" s="187" t="e">
        <f t="shared" si="39"/>
        <v>#DIV/0!</v>
      </c>
      <c r="AA160" s="187" t="e">
        <f t="shared" si="39"/>
        <v>#DIV/0!</v>
      </c>
      <c r="AB160" s="187" t="e">
        <f t="shared" si="39"/>
        <v>#DIV/0!</v>
      </c>
      <c r="AC160" s="187" t="e">
        <f t="shared" si="39"/>
        <v>#DIV/0!</v>
      </c>
      <c r="AD160" s="187" t="e">
        <f t="shared" si="39"/>
        <v>#DIV/0!</v>
      </c>
      <c r="AE160" s="187" t="e">
        <f t="shared" si="39"/>
        <v>#DIV/0!</v>
      </c>
      <c r="AF160" s="187" t="e">
        <f t="shared" si="39"/>
        <v>#DIV/0!</v>
      </c>
      <c r="AG160" s="187" t="e">
        <f t="shared" si="39"/>
        <v>#DIV/0!</v>
      </c>
      <c r="AH160" s="187" t="e">
        <f t="shared" si="39"/>
        <v>#DIV/0!</v>
      </c>
      <c r="AI160" s="187" t="e">
        <f t="shared" si="39"/>
        <v>#DIV/0!</v>
      </c>
      <c r="AJ160" s="187" t="e">
        <f t="shared" si="39"/>
        <v>#DIV/0!</v>
      </c>
      <c r="AK160" s="187" t="e">
        <f t="shared" si="39"/>
        <v>#DIV/0!</v>
      </c>
      <c r="AL160" s="187" t="e">
        <f t="shared" si="39"/>
        <v>#DIV/0!</v>
      </c>
      <c r="AM160" s="187" t="e">
        <f t="shared" si="39"/>
        <v>#DIV/0!</v>
      </c>
      <c r="AN160" s="187" t="e">
        <f t="shared" si="39"/>
        <v>#DIV/0!</v>
      </c>
    </row>
    <row r="161" spans="2:40" x14ac:dyDescent="0.15">
      <c r="B161" s="306" t="s">
        <v>1357</v>
      </c>
      <c r="C161" s="141" t="s">
        <v>1037</v>
      </c>
      <c r="D161" s="107">
        <f>SUMIFS('caseload data'!E:E,'caseload data'!$D:$D,"PO",'caseload data'!$A:$A,'national caseload'!$B$161:$B$163,'caseload data'!$B:$B,"custody")</f>
        <v>0</v>
      </c>
      <c r="E161" s="107">
        <f>SUMIFS('caseload data'!F:F,'caseload data'!$D:$D,"PO",'caseload data'!$A:$A,'national caseload'!$B$161:$B$163,'caseload data'!$B:$B,"custody")</f>
        <v>0</v>
      </c>
      <c r="F161" s="107">
        <f>SUMIFS('caseload data'!G:G,'caseload data'!$D:$D,"PO",'caseload data'!$A:$A,'national caseload'!$B$161:$B$163,'caseload data'!$B:$B,"custody")</f>
        <v>0</v>
      </c>
      <c r="G161" s="107">
        <f>SUMIFS('caseload data'!H:H,'caseload data'!$D:$D,"PO",'caseload data'!$A:$A,'national caseload'!$B$161:$B$163,'caseload data'!$B:$B,"custody")</f>
        <v>0</v>
      </c>
      <c r="H161" s="107">
        <f>SUMIFS('caseload data'!I:I,'caseload data'!$D:$D,"PO",'caseload data'!$A:$A,'national caseload'!$B$161:$B$163,'caseload data'!$B:$B,"custody")</f>
        <v>0</v>
      </c>
      <c r="I161" s="107">
        <f>SUMIFS('caseload data'!J:J,'caseload data'!$D:$D,"PO",'caseload data'!$A:$A,'national caseload'!$B$161:$B$163,'caseload data'!$B:$B,"custody")</f>
        <v>0</v>
      </c>
      <c r="J161" s="107">
        <f>SUMIFS('caseload data'!K:K,'caseload data'!$D:$D,"PO",'caseload data'!$A:$A,'national caseload'!$B$161:$B$163,'caseload data'!$B:$B,"custody")</f>
        <v>0</v>
      </c>
      <c r="K161" s="107">
        <f>SUMIFS('caseload data'!L:L,'caseload data'!$D:$D,"PO",'caseload data'!$A:$A,'national caseload'!$B$161:$B$163,'caseload data'!$B:$B,"custody")</f>
        <v>0</v>
      </c>
      <c r="L161" s="107">
        <f>SUMIFS('caseload data'!M:M,'caseload data'!$D:$D,"PO",'caseload data'!$A:$A,'national caseload'!$B$161:$B$163,'caseload data'!$B:$B,"custody")</f>
        <v>0</v>
      </c>
      <c r="M161" s="107">
        <f>SUMIFS('caseload data'!N:N,'caseload data'!$D:$D,"PO",'caseload data'!$A:$A,'national caseload'!$B$161:$B$163,'caseload data'!$B:$B,"custody")</f>
        <v>0</v>
      </c>
      <c r="N161" s="107">
        <f>SUMIFS('caseload data'!O:O,'caseload data'!$D:$D,"PO",'caseload data'!$A:$A,'national caseload'!$B$161:$B$163,'caseload data'!$B:$B,"custody")</f>
        <v>0</v>
      </c>
      <c r="O161" s="107">
        <f>SUMIFS('caseload data'!P:P,'caseload data'!$D:$D,"PO",'caseload data'!$A:$A,'national caseload'!$B$161:$B$163,'caseload data'!$B:$B,"custody")</f>
        <v>0</v>
      </c>
      <c r="P161" s="107">
        <f>SUMIFS('caseload data'!Q:Q,'caseload data'!$D:$D,"PO",'caseload data'!$A:$A,'national caseload'!$B$161:$B$163,'caseload data'!$B:$B,"custody")</f>
        <v>0</v>
      </c>
      <c r="Q161" s="107">
        <f>SUMIFS('caseload data'!R:R,'caseload data'!$D:$D,"PO",'caseload data'!$A:$A,'national caseload'!$B$161:$B$163,'caseload data'!$B:$B,"custody")</f>
        <v>0</v>
      </c>
      <c r="R161" s="107">
        <f>SUMIFS('caseload data'!S:S,'caseload data'!$D:$D,"PO",'caseload data'!$A:$A,'national caseload'!$B$161:$B$163,'caseload data'!$B:$B,"custody")</f>
        <v>0</v>
      </c>
      <c r="S161" s="107">
        <f>SUMIFS('caseload data'!T:T,'caseload data'!$D:$D,"PO",'caseload data'!$A:$A,'national caseload'!$B$161:$B$163,'caseload data'!$B:$B,"custody")</f>
        <v>0</v>
      </c>
      <c r="T161" s="107">
        <f>SUMIFS('caseload data'!V:V,'caseload data'!D:D,"PO",'caseload data'!A:A,'national caseload'!B161:B163,'caseload data'!B:B,"custody")</f>
        <v>0</v>
      </c>
      <c r="U161" s="76"/>
      <c r="V161" s="76"/>
      <c r="W161" s="306" t="s">
        <v>1357</v>
      </c>
      <c r="X161" s="141" t="s">
        <v>1037</v>
      </c>
      <c r="Y161" s="187" t="e">
        <f>SUM(D161)/SUM(D$161:D$164)</f>
        <v>#DIV/0!</v>
      </c>
      <c r="Z161" s="187" t="e">
        <f t="shared" ref="Z161:AN164" si="40">SUM(E161)/SUM(E$161:E$164)</f>
        <v>#DIV/0!</v>
      </c>
      <c r="AA161" s="187" t="e">
        <f t="shared" si="40"/>
        <v>#DIV/0!</v>
      </c>
      <c r="AB161" s="187" t="e">
        <f t="shared" si="40"/>
        <v>#DIV/0!</v>
      </c>
      <c r="AC161" s="187" t="e">
        <f t="shared" si="40"/>
        <v>#DIV/0!</v>
      </c>
      <c r="AD161" s="187" t="e">
        <f t="shared" si="40"/>
        <v>#DIV/0!</v>
      </c>
      <c r="AE161" s="187" t="e">
        <f t="shared" si="40"/>
        <v>#DIV/0!</v>
      </c>
      <c r="AF161" s="187" t="e">
        <f t="shared" si="40"/>
        <v>#DIV/0!</v>
      </c>
      <c r="AG161" s="187" t="e">
        <f t="shared" si="40"/>
        <v>#DIV/0!</v>
      </c>
      <c r="AH161" s="187" t="e">
        <f t="shared" si="40"/>
        <v>#DIV/0!</v>
      </c>
      <c r="AI161" s="187" t="e">
        <f t="shared" si="40"/>
        <v>#DIV/0!</v>
      </c>
      <c r="AJ161" s="187" t="e">
        <f t="shared" si="40"/>
        <v>#DIV/0!</v>
      </c>
      <c r="AK161" s="187" t="e">
        <f t="shared" si="40"/>
        <v>#DIV/0!</v>
      </c>
      <c r="AL161" s="187" t="e">
        <f t="shared" si="40"/>
        <v>#DIV/0!</v>
      </c>
      <c r="AM161" s="187" t="e">
        <f t="shared" si="40"/>
        <v>#DIV/0!</v>
      </c>
      <c r="AN161" s="187" t="e">
        <f t="shared" si="40"/>
        <v>#DIV/0!</v>
      </c>
    </row>
    <row r="162" spans="2:40" x14ac:dyDescent="0.15">
      <c r="B162" s="307"/>
      <c r="C162" s="142" t="s">
        <v>1038</v>
      </c>
      <c r="D162" s="107">
        <f>SUMIFS('caseload data'!E:E,'caseload data'!$D:$D,"PSO",'caseload data'!$A:$A,"Kent Surrey Sussex Region",'caseload data'!$B:$B,"custody")</f>
        <v>0</v>
      </c>
      <c r="E162" s="107">
        <f>SUMIFS('caseload data'!F:F,'caseload data'!$D:$D,"PSO",'caseload data'!$A:$A,"Kent Surrey Sussex Region",'caseload data'!$B:$B,"custody")</f>
        <v>0</v>
      </c>
      <c r="F162" s="107">
        <f>SUMIFS('caseload data'!G:G,'caseload data'!$D:$D,"PSO",'caseload data'!$A:$A,"Kent Surrey Sussex Region",'caseload data'!$B:$B,"custody")</f>
        <v>0</v>
      </c>
      <c r="G162" s="107">
        <f>SUMIFS('caseload data'!H:H,'caseload data'!$D:$D,"PSO",'caseload data'!$A:$A,"Kent Surrey Sussex Region",'caseload data'!$B:$B,"custody")</f>
        <v>0</v>
      </c>
      <c r="H162" s="107">
        <f>SUMIFS('caseload data'!I:I,'caseload data'!$D:$D,"PSO",'caseload data'!$A:$A,"Kent Surrey Sussex Region",'caseload data'!$B:$B,"custody")</f>
        <v>0</v>
      </c>
      <c r="I162" s="107">
        <f>SUMIFS('caseload data'!J:J,'caseload data'!$D:$D,"PSO",'caseload data'!$A:$A,"Kent Surrey Sussex Region",'caseload data'!$B:$B,"custody")</f>
        <v>0</v>
      </c>
      <c r="J162" s="107">
        <f>SUMIFS('caseload data'!K:K,'caseload data'!$D:$D,"PSO",'caseload data'!$A:$A,"Kent Surrey Sussex Region",'caseload data'!$B:$B,"custody")</f>
        <v>0</v>
      </c>
      <c r="K162" s="107">
        <f>SUMIFS('caseload data'!L:L,'caseload data'!$D:$D,"PSO",'caseload data'!$A:$A,"Kent Surrey Sussex Region",'caseload data'!$B:$B,"custody")</f>
        <v>0</v>
      </c>
      <c r="L162" s="107">
        <f>SUMIFS('caseload data'!M:M,'caseload data'!$D:$D,"PSO",'caseload data'!$A:$A,"Kent Surrey Sussex Region",'caseload data'!$B:$B,"custody")</f>
        <v>0</v>
      </c>
      <c r="M162" s="107">
        <f>SUMIFS('caseload data'!N:N,'caseload data'!$D:$D,"PSO",'caseload data'!$A:$A,"Kent Surrey Sussex Region",'caseload data'!$B:$B,"custody")</f>
        <v>0</v>
      </c>
      <c r="N162" s="107">
        <f>SUMIFS('caseload data'!O:O,'caseload data'!$D:$D,"PSO",'caseload data'!$A:$A,"Kent Surrey Sussex Region",'caseload data'!$B:$B,"custody")</f>
        <v>0</v>
      </c>
      <c r="O162" s="107">
        <f>SUMIFS('caseload data'!P:P,'caseload data'!$D:$D,"PSO",'caseload data'!$A:$A,"Kent Surrey Sussex Region",'caseload data'!$B:$B,"custody")</f>
        <v>0</v>
      </c>
      <c r="P162" s="107">
        <f>SUMIFS('caseload data'!Q:Q,'caseload data'!$D:$D,"PSO",'caseload data'!$A:$A,"Kent Surrey Sussex Region",'caseload data'!$B:$B,"custody")</f>
        <v>0</v>
      </c>
      <c r="Q162" s="107">
        <f>SUMIFS('caseload data'!R:R,'caseload data'!$D:$D,"PSO",'caseload data'!$A:$A,"Kent Surrey Sussex Region",'caseload data'!$B:$B,"custody")</f>
        <v>0</v>
      </c>
      <c r="R162" s="107">
        <f>SUMIFS('caseload data'!S:S,'caseload data'!$D:$D,"PSO",'caseload data'!$A:$A,"Kent Surrey Sussex Region",'caseload data'!$B:$B,"custody")</f>
        <v>0</v>
      </c>
      <c r="S162" s="107">
        <f>SUMIFS('caseload data'!T:T,'caseload data'!$D:$D,"PSO",'caseload data'!$A:$A,"Kent Surrey Sussex Region",'caseload data'!$B:$B,"custody")</f>
        <v>0</v>
      </c>
      <c r="T162" s="107">
        <f>SUMIFS('caseload data'!V:V,'caseload data'!D:D,"PSO",'caseload data'!A:A,"Kent Surrey Sussex Region",'caseload data'!B:B,"custody")</f>
        <v>0</v>
      </c>
      <c r="U162" s="76"/>
      <c r="V162" s="76"/>
      <c r="W162" s="307"/>
      <c r="X162" s="142" t="s">
        <v>1038</v>
      </c>
      <c r="Y162" s="187" t="e">
        <f>SUM(D162)/SUM(D$161:D$164)</f>
        <v>#DIV/0!</v>
      </c>
      <c r="Z162" s="187" t="e">
        <f t="shared" si="40"/>
        <v>#DIV/0!</v>
      </c>
      <c r="AA162" s="187" t="e">
        <f t="shared" si="40"/>
        <v>#DIV/0!</v>
      </c>
      <c r="AB162" s="187" t="e">
        <f t="shared" si="40"/>
        <v>#DIV/0!</v>
      </c>
      <c r="AC162" s="187" t="e">
        <f t="shared" si="40"/>
        <v>#DIV/0!</v>
      </c>
      <c r="AD162" s="187" t="e">
        <f t="shared" si="40"/>
        <v>#DIV/0!</v>
      </c>
      <c r="AE162" s="187" t="e">
        <f t="shared" si="40"/>
        <v>#DIV/0!</v>
      </c>
      <c r="AF162" s="187" t="e">
        <f t="shared" si="40"/>
        <v>#DIV/0!</v>
      </c>
      <c r="AG162" s="187" t="e">
        <f t="shared" si="40"/>
        <v>#DIV/0!</v>
      </c>
      <c r="AH162" s="187" t="e">
        <f t="shared" si="40"/>
        <v>#DIV/0!</v>
      </c>
      <c r="AI162" s="187" t="e">
        <f t="shared" si="40"/>
        <v>#DIV/0!</v>
      </c>
      <c r="AJ162" s="187" t="e">
        <f t="shared" si="40"/>
        <v>#DIV/0!</v>
      </c>
      <c r="AK162" s="187" t="e">
        <f t="shared" si="40"/>
        <v>#DIV/0!</v>
      </c>
      <c r="AL162" s="187" t="e">
        <f t="shared" si="40"/>
        <v>#DIV/0!</v>
      </c>
      <c r="AM162" s="187" t="e">
        <f t="shared" si="40"/>
        <v>#DIV/0!</v>
      </c>
      <c r="AN162" s="187" t="e">
        <f t="shared" si="40"/>
        <v>#DIV/0!</v>
      </c>
    </row>
    <row r="163" spans="2:40" x14ac:dyDescent="0.15">
      <c r="B163" s="307"/>
      <c r="C163" s="142" t="s">
        <v>1039</v>
      </c>
      <c r="D163" s="107">
        <f>SUMIFS('caseload data'!E:E,'caseload data'!$D:$D,"TPO",'caseload data'!$A:$A,"Kent Surrey Sussex Region",'caseload data'!$B:$B,"custody")</f>
        <v>0</v>
      </c>
      <c r="E163" s="107">
        <f>SUMIFS('caseload data'!F:F,'caseload data'!$D:$D,"TPO",'caseload data'!$A:$A,"Kent Surrey Sussex Region",'caseload data'!$B:$B,"custody")</f>
        <v>0</v>
      </c>
      <c r="F163" s="107">
        <f>SUMIFS('caseload data'!G:G,'caseload data'!$D:$D,"TPO",'caseload data'!$A:$A,"Kent Surrey Sussex Region",'caseload data'!$B:$B,"custody")</f>
        <v>0</v>
      </c>
      <c r="G163" s="107">
        <f>SUMIFS('caseload data'!H:H,'caseload data'!$D:$D,"TPO",'caseload data'!$A:$A,"Kent Surrey Sussex Region",'caseload data'!$B:$B,"custody")</f>
        <v>0</v>
      </c>
      <c r="H163" s="107">
        <f>SUMIFS('caseload data'!I:I,'caseload data'!$D:$D,"TPO",'caseload data'!$A:$A,"Kent Surrey Sussex Region",'caseload data'!$B:$B,"custody")</f>
        <v>0</v>
      </c>
      <c r="I163" s="107">
        <f>SUMIFS('caseload data'!J:J,'caseload data'!$D:$D,"TPO",'caseload data'!$A:$A,"Kent Surrey Sussex Region",'caseload data'!$B:$B,"custody")</f>
        <v>0</v>
      </c>
      <c r="J163" s="107">
        <f>SUMIFS('caseload data'!K:K,'caseload data'!$D:$D,"TPO",'caseload data'!$A:$A,"Kent Surrey Sussex Region",'caseload data'!$B:$B,"custody")</f>
        <v>0</v>
      </c>
      <c r="K163" s="107">
        <f>SUMIFS('caseload data'!L:L,'caseload data'!$D:$D,"TPO",'caseload data'!$A:$A,"Kent Surrey Sussex Region",'caseload data'!$B:$B,"custody")</f>
        <v>0</v>
      </c>
      <c r="L163" s="107">
        <f>SUMIFS('caseload data'!M:M,'caseload data'!$D:$D,"TPO",'caseload data'!$A:$A,"Kent Surrey Sussex Region",'caseload data'!$B:$B,"custody")</f>
        <v>0</v>
      </c>
      <c r="M163" s="107">
        <f>SUMIFS('caseload data'!N:N,'caseload data'!$D:$D,"TPO",'caseload data'!$A:$A,"Kent Surrey Sussex Region",'caseload data'!$B:$B,"custody")</f>
        <v>0</v>
      </c>
      <c r="N163" s="107">
        <f>SUMIFS('caseload data'!O:O,'caseload data'!$D:$D,"TPO",'caseload data'!$A:$A,"Kent Surrey Sussex Region",'caseload data'!$B:$B,"custody")</f>
        <v>0</v>
      </c>
      <c r="O163" s="107">
        <f>SUMIFS('caseload data'!P:P,'caseload data'!$D:$D,"TPO",'caseload data'!$A:$A,"Kent Surrey Sussex Region",'caseload data'!$B:$B,"custody")</f>
        <v>0</v>
      </c>
      <c r="P163" s="107">
        <f>SUMIFS('caseload data'!Q:Q,'caseload data'!$D:$D,"TPO",'caseload data'!$A:$A,"Kent Surrey Sussex Region",'caseload data'!$B:$B,"custody")</f>
        <v>0</v>
      </c>
      <c r="Q163" s="107">
        <f>SUMIFS('caseload data'!R:R,'caseload data'!$D:$D,"TPO",'caseload data'!$A:$A,"Kent Surrey Sussex Region",'caseload data'!$B:$B,"custody")</f>
        <v>0</v>
      </c>
      <c r="R163" s="107">
        <f>SUMIFS('caseload data'!S:S,'caseload data'!$D:$D,"TPO",'caseload data'!$A:$A,"Kent Surrey Sussex Region",'caseload data'!$B:$B,"custody")</f>
        <v>0</v>
      </c>
      <c r="S163" s="107">
        <f>SUMIFS('caseload data'!T:T,'caseload data'!$D:$D,"TPO",'caseload data'!$A:$A,"Kent Surrey Sussex Region",'caseload data'!$B:$B,"custody")</f>
        <v>0</v>
      </c>
      <c r="T163" s="107">
        <f>SUMIFS('caseload data'!V:V,'caseload data'!D:D,"TPO",'caseload data'!A:A,"Kent Surrey Sussex Region",'caseload data'!B:B,"custody")</f>
        <v>0</v>
      </c>
      <c r="U163" s="76"/>
      <c r="V163" s="76"/>
      <c r="W163" s="307"/>
      <c r="X163" s="142" t="s">
        <v>1039</v>
      </c>
      <c r="Y163" s="187" t="e">
        <f>SUM(D163)/SUM(D$161:D$164)</f>
        <v>#DIV/0!</v>
      </c>
      <c r="Z163" s="187" t="e">
        <f t="shared" si="40"/>
        <v>#DIV/0!</v>
      </c>
      <c r="AA163" s="187" t="e">
        <f t="shared" si="40"/>
        <v>#DIV/0!</v>
      </c>
      <c r="AB163" s="187" t="e">
        <f t="shared" si="40"/>
        <v>#DIV/0!</v>
      </c>
      <c r="AC163" s="187" t="e">
        <f t="shared" si="40"/>
        <v>#DIV/0!</v>
      </c>
      <c r="AD163" s="187" t="e">
        <f t="shared" si="40"/>
        <v>#DIV/0!</v>
      </c>
      <c r="AE163" s="187" t="e">
        <f t="shared" si="40"/>
        <v>#DIV/0!</v>
      </c>
      <c r="AF163" s="187" t="e">
        <f t="shared" si="40"/>
        <v>#DIV/0!</v>
      </c>
      <c r="AG163" s="187" t="e">
        <f t="shared" si="40"/>
        <v>#DIV/0!</v>
      </c>
      <c r="AH163" s="187" t="e">
        <f t="shared" si="40"/>
        <v>#DIV/0!</v>
      </c>
      <c r="AI163" s="187" t="e">
        <f t="shared" si="40"/>
        <v>#DIV/0!</v>
      </c>
      <c r="AJ163" s="187" t="e">
        <f t="shared" si="40"/>
        <v>#DIV/0!</v>
      </c>
      <c r="AK163" s="187" t="e">
        <f t="shared" si="40"/>
        <v>#DIV/0!</v>
      </c>
      <c r="AL163" s="187" t="e">
        <f t="shared" si="40"/>
        <v>#DIV/0!</v>
      </c>
      <c r="AM163" s="187" t="e">
        <f t="shared" si="40"/>
        <v>#DIV/0!</v>
      </c>
      <c r="AN163" s="187" t="e">
        <f t="shared" si="40"/>
        <v>#DIV/0!</v>
      </c>
    </row>
    <row r="164" spans="2:40" x14ac:dyDescent="0.15">
      <c r="B164" s="308"/>
      <c r="C164" s="143" t="s">
        <v>1040</v>
      </c>
      <c r="D164" s="107">
        <f>SUMIFS('caseload data'!E:E,'caseload data'!$D:$D,"SPO",'caseload data'!$A:$A,"Kent Surrey Sussex Region",'caseload data'!$B:$B,"custody")</f>
        <v>0</v>
      </c>
      <c r="E164" s="107">
        <f>SUMIFS('caseload data'!F:F,'caseload data'!$D:$D,"SPO",'caseload data'!$A:$A,"Kent Surrey Sussex Region",'caseload data'!$B:$B,"custody")</f>
        <v>0</v>
      </c>
      <c r="F164" s="107">
        <f>SUMIFS('caseload data'!G:G,'caseload data'!$D:$D,"SPO",'caseload data'!$A:$A,"Kent Surrey Sussex Region",'caseload data'!$B:$B,"custody")</f>
        <v>0</v>
      </c>
      <c r="G164" s="107">
        <f>SUMIFS('caseload data'!H:H,'caseload data'!$D:$D,"SPO",'caseload data'!$A:$A,"Kent Surrey Sussex Region",'caseload data'!$B:$B,"custody")</f>
        <v>0</v>
      </c>
      <c r="H164" s="107">
        <f>SUMIFS('caseload data'!I:I,'caseload data'!$D:$D,"SPO",'caseload data'!$A:$A,"Kent Surrey Sussex Region",'caseload data'!$B:$B,"custody")</f>
        <v>0</v>
      </c>
      <c r="I164" s="107">
        <f>SUMIFS('caseload data'!J:J,'caseload data'!$D:$D,"SPO",'caseload data'!$A:$A,"Kent Surrey Sussex Region",'caseload data'!$B:$B,"custody")</f>
        <v>0</v>
      </c>
      <c r="J164" s="107">
        <f>SUMIFS('caseload data'!K:K,'caseload data'!$D:$D,"SPO",'caseload data'!$A:$A,"Kent Surrey Sussex Region",'caseload data'!$B:$B,"custody")</f>
        <v>0</v>
      </c>
      <c r="K164" s="107">
        <f>SUMIFS('caseload data'!L:L,'caseload data'!$D:$D,"SPO",'caseload data'!$A:$A,"Kent Surrey Sussex Region",'caseload data'!$B:$B,"custody")</f>
        <v>0</v>
      </c>
      <c r="L164" s="107">
        <f>SUMIFS('caseload data'!M:M,'caseload data'!$D:$D,"SPO",'caseload data'!$A:$A,"Kent Surrey Sussex Region",'caseload data'!$B:$B,"custody")</f>
        <v>0</v>
      </c>
      <c r="M164" s="107">
        <f>SUMIFS('caseload data'!N:N,'caseload data'!$D:$D,"SPO",'caseload data'!$A:$A,"Kent Surrey Sussex Region",'caseload data'!$B:$B,"custody")</f>
        <v>0</v>
      </c>
      <c r="N164" s="107">
        <f>SUMIFS('caseload data'!O:O,'caseload data'!$D:$D,"SPO",'caseload data'!$A:$A,"Kent Surrey Sussex Region",'caseload data'!$B:$B,"custody")</f>
        <v>0</v>
      </c>
      <c r="O164" s="107">
        <f>SUMIFS('caseload data'!P:P,'caseload data'!$D:$D,"SPO",'caseload data'!$A:$A,"Kent Surrey Sussex Region",'caseload data'!$B:$B,"custody")</f>
        <v>0</v>
      </c>
      <c r="P164" s="107">
        <f>SUMIFS('caseload data'!Q:Q,'caseload data'!$D:$D,"SPO",'caseload data'!$A:$A,"Kent Surrey Sussex Region",'caseload data'!$B:$B,"custody")</f>
        <v>0</v>
      </c>
      <c r="Q164" s="107">
        <f>SUMIFS('caseload data'!R:R,'caseload data'!$D:$D,"SPO",'caseload data'!$A:$A,"Kent Surrey Sussex Region",'caseload data'!$B:$B,"custody")</f>
        <v>0</v>
      </c>
      <c r="R164" s="107">
        <f>SUMIFS('caseload data'!S:S,'caseload data'!$D:$D,"SPO",'caseload data'!$A:$A,"Kent Surrey Sussex Region",'caseload data'!$B:$B,"custody")</f>
        <v>0</v>
      </c>
      <c r="S164" s="107">
        <f>SUMIFS('caseload data'!T:T,'caseload data'!$D:$D,"SPO",'caseload data'!$A:$A,"Kent Surrey Sussex Region",'caseload data'!$B:$B,"custody")</f>
        <v>0</v>
      </c>
      <c r="T164" s="107">
        <f>SUMIFS('caseload data'!V:V,'caseload data'!$D:$D,"SPO",'caseload data'!$A:$A,"Kent Surrey Sussex Region",'caseload data'!$B:$B,"custody")</f>
        <v>0</v>
      </c>
      <c r="U164" s="76"/>
      <c r="V164" s="76"/>
      <c r="W164" s="308"/>
      <c r="X164" s="143" t="s">
        <v>1040</v>
      </c>
      <c r="Y164" s="187" t="e">
        <f>SUM(D164)/SUM(D$161:D$164)</f>
        <v>#DIV/0!</v>
      </c>
      <c r="Z164" s="187" t="e">
        <f t="shared" si="40"/>
        <v>#DIV/0!</v>
      </c>
      <c r="AA164" s="187" t="e">
        <f t="shared" si="40"/>
        <v>#DIV/0!</v>
      </c>
      <c r="AB164" s="187" t="e">
        <f t="shared" si="40"/>
        <v>#DIV/0!</v>
      </c>
      <c r="AC164" s="187" t="e">
        <f t="shared" si="40"/>
        <v>#DIV/0!</v>
      </c>
      <c r="AD164" s="187" t="e">
        <f t="shared" si="40"/>
        <v>#DIV/0!</v>
      </c>
      <c r="AE164" s="187" t="e">
        <f t="shared" si="40"/>
        <v>#DIV/0!</v>
      </c>
      <c r="AF164" s="187" t="e">
        <f t="shared" si="40"/>
        <v>#DIV/0!</v>
      </c>
      <c r="AG164" s="187" t="e">
        <f t="shared" si="40"/>
        <v>#DIV/0!</v>
      </c>
      <c r="AH164" s="187" t="e">
        <f t="shared" si="40"/>
        <v>#DIV/0!</v>
      </c>
      <c r="AI164" s="187" t="e">
        <f t="shared" si="40"/>
        <v>#DIV/0!</v>
      </c>
      <c r="AJ164" s="187" t="e">
        <f t="shared" si="40"/>
        <v>#DIV/0!</v>
      </c>
      <c r="AK164" s="187" t="e">
        <f t="shared" si="40"/>
        <v>#DIV/0!</v>
      </c>
      <c r="AL164" s="187" t="e">
        <f t="shared" si="40"/>
        <v>#DIV/0!</v>
      </c>
      <c r="AM164" s="187" t="e">
        <f t="shared" si="40"/>
        <v>#DIV/0!</v>
      </c>
      <c r="AN164" s="187" t="e">
        <f t="shared" si="40"/>
        <v>#DIV/0!</v>
      </c>
    </row>
    <row r="165" spans="2:40" x14ac:dyDescent="0.15">
      <c r="B165" s="306" t="s">
        <v>22</v>
      </c>
      <c r="C165" s="141" t="s">
        <v>1037</v>
      </c>
      <c r="D165" s="107">
        <f>SUMIFS('caseload data'!E:E,'caseload data'!$D:$D,"PO",'caseload data'!$A:$A,$B$165,'caseload data'!$B:$B,"custody")</f>
        <v>0</v>
      </c>
      <c r="E165" s="107">
        <f>SUMIFS('caseload data'!F:F,'caseload data'!$D:$D,"PO",'caseload data'!$A:$A,$B$165,'caseload data'!$B:$B,"custody")</f>
        <v>0</v>
      </c>
      <c r="F165" s="107">
        <f>SUMIFS('caseload data'!G:G,'caseload data'!$D:$D,"PO",'caseload data'!$A:$A,$B$165,'caseload data'!$B:$B,"custody")</f>
        <v>0</v>
      </c>
      <c r="G165" s="107">
        <f>SUMIFS('caseload data'!H:H,'caseload data'!$D:$D,"PO",'caseload data'!$A:$A,$B$165,'caseload data'!$B:$B,"custody")</f>
        <v>0</v>
      </c>
      <c r="H165" s="107">
        <f>SUMIFS('caseload data'!I:I,'caseload data'!$D:$D,"PO",'caseload data'!$A:$A,$B$165,'caseload data'!$B:$B,"custody")</f>
        <v>0</v>
      </c>
      <c r="I165" s="107">
        <f>SUMIFS('caseload data'!J:J,'caseload data'!$D:$D,"PO",'caseload data'!$A:$A,$B$165,'caseload data'!$B:$B,"custody")</f>
        <v>0</v>
      </c>
      <c r="J165" s="107">
        <f>SUMIFS('caseload data'!K:K,'caseload data'!$D:$D,"PO",'caseload data'!$A:$A,$B$165,'caseload data'!$B:$B,"custody")</f>
        <v>0</v>
      </c>
      <c r="K165" s="107">
        <f>SUMIFS('caseload data'!L:L,'caseload data'!$D:$D,"PO",'caseload data'!$A:$A,$B$165,'caseload data'!$B:$B,"custody")</f>
        <v>0</v>
      </c>
      <c r="L165" s="107">
        <f>SUMIFS('caseload data'!M:M,'caseload data'!$D:$D,"PO",'caseload data'!$A:$A,$B$165,'caseload data'!$B:$B,"custody")</f>
        <v>0</v>
      </c>
      <c r="M165" s="107">
        <f>SUMIFS('caseload data'!N:N,'caseload data'!$D:$D,"PO",'caseload data'!$A:$A,$B$165,'caseload data'!$B:$B,"custody")</f>
        <v>0</v>
      </c>
      <c r="N165" s="107">
        <f>SUMIFS('caseload data'!O:O,'caseload data'!$D:$D,"PO",'caseload data'!$A:$A,$B$165,'caseload data'!$B:$B,"custody")</f>
        <v>0</v>
      </c>
      <c r="O165" s="107">
        <f>SUMIFS('caseload data'!P:P,'caseload data'!$D:$D,"PO",'caseload data'!$A:$A,$B$165,'caseload data'!$B:$B,"custody")</f>
        <v>0</v>
      </c>
      <c r="P165" s="107">
        <f>SUMIFS('caseload data'!Q:Q,'caseload data'!$D:$D,"PO",'caseload data'!$A:$A,$B$165,'caseload data'!$B:$B,"custody")</f>
        <v>0</v>
      </c>
      <c r="Q165" s="107">
        <f>SUMIFS('caseload data'!R:R,'caseload data'!$D:$D,"PO",'caseload data'!$A:$A,$B$165,'caseload data'!$B:$B,"custody")</f>
        <v>0</v>
      </c>
      <c r="R165" s="107">
        <f>SUMIFS('caseload data'!S:S,'caseload data'!$D:$D,"PO",'caseload data'!$A:$A,$B$165,'caseload data'!$B:$B,"custody")</f>
        <v>0</v>
      </c>
      <c r="S165" s="107">
        <f>SUMIFS('caseload data'!T:T,'caseload data'!$D:$D,"PO",'caseload data'!$A:$A,$B$165,'caseload data'!$B:$B,"custody")</f>
        <v>0</v>
      </c>
      <c r="T165" s="107">
        <f>SUMIFS('caseload data'!V:V,'caseload data'!D:D,"PO",'caseload data'!A:A,B165,'caseload data'!B:B,"custody")</f>
        <v>0</v>
      </c>
      <c r="U165" s="76"/>
      <c r="V165" s="76"/>
      <c r="W165" s="306" t="s">
        <v>22</v>
      </c>
      <c r="X165" s="141" t="s">
        <v>1037</v>
      </c>
      <c r="Y165" s="187" t="e">
        <f>SUM(D165)/SUM(D$165:D$168)</f>
        <v>#DIV/0!</v>
      </c>
      <c r="Z165" s="187" t="e">
        <f t="shared" ref="Z165:AN168" si="41">SUM(E165)/SUM(E$165:E$168)</f>
        <v>#DIV/0!</v>
      </c>
      <c r="AA165" s="187" t="e">
        <f t="shared" si="41"/>
        <v>#DIV/0!</v>
      </c>
      <c r="AB165" s="187" t="e">
        <f t="shared" si="41"/>
        <v>#DIV/0!</v>
      </c>
      <c r="AC165" s="187" t="e">
        <f t="shared" si="41"/>
        <v>#DIV/0!</v>
      </c>
      <c r="AD165" s="187" t="e">
        <f t="shared" si="41"/>
        <v>#DIV/0!</v>
      </c>
      <c r="AE165" s="187" t="e">
        <f t="shared" si="41"/>
        <v>#DIV/0!</v>
      </c>
      <c r="AF165" s="187" t="e">
        <f t="shared" si="41"/>
        <v>#DIV/0!</v>
      </c>
      <c r="AG165" s="187" t="e">
        <f t="shared" si="41"/>
        <v>#DIV/0!</v>
      </c>
      <c r="AH165" s="187" t="e">
        <f t="shared" si="41"/>
        <v>#DIV/0!</v>
      </c>
      <c r="AI165" s="187" t="e">
        <f t="shared" si="41"/>
        <v>#DIV/0!</v>
      </c>
      <c r="AJ165" s="187" t="e">
        <f t="shared" si="41"/>
        <v>#DIV/0!</v>
      </c>
      <c r="AK165" s="187" t="e">
        <f t="shared" si="41"/>
        <v>#DIV/0!</v>
      </c>
      <c r="AL165" s="187" t="e">
        <f t="shared" si="41"/>
        <v>#DIV/0!</v>
      </c>
      <c r="AM165" s="187" t="e">
        <f t="shared" si="41"/>
        <v>#DIV/0!</v>
      </c>
      <c r="AN165" s="187" t="e">
        <f t="shared" si="41"/>
        <v>#DIV/0!</v>
      </c>
    </row>
    <row r="166" spans="2:40" x14ac:dyDescent="0.15">
      <c r="B166" s="307"/>
      <c r="C166" s="142" t="s">
        <v>1038</v>
      </c>
      <c r="D166" s="107">
        <f>SUMIFS('caseload data'!E:E,'caseload data'!$D:$D,"PSO",'caseload data'!$A:$A,"London",'caseload data'!$B:$B,"custody")</f>
        <v>0</v>
      </c>
      <c r="E166" s="107">
        <f>SUMIFS('caseload data'!F:F,'caseload data'!$D:$D,"PSO",'caseload data'!$A:$A,"London",'caseload data'!$B:$B,"custody")</f>
        <v>0</v>
      </c>
      <c r="F166" s="107">
        <f>SUMIFS('caseload data'!G:G,'caseload data'!$D:$D,"PSO",'caseload data'!$A:$A,"London",'caseload data'!$B:$B,"custody")</f>
        <v>0</v>
      </c>
      <c r="G166" s="107">
        <f>SUMIFS('caseload data'!H:H,'caseload data'!$D:$D,"PSO",'caseload data'!$A:$A,"London",'caseload data'!$B:$B,"custody")</f>
        <v>0</v>
      </c>
      <c r="H166" s="107">
        <f>SUMIFS('caseload data'!I:I,'caseload data'!$D:$D,"PSO",'caseload data'!$A:$A,"London",'caseload data'!$B:$B,"custody")</f>
        <v>0</v>
      </c>
      <c r="I166" s="107">
        <f>SUMIFS('caseload data'!J:J,'caseload data'!$D:$D,"PSO",'caseload data'!$A:$A,"London",'caseload data'!$B:$B,"custody")</f>
        <v>0</v>
      </c>
      <c r="J166" s="107">
        <f>SUMIFS('caseload data'!K:K,'caseload data'!$D:$D,"PSO",'caseload data'!$A:$A,"London",'caseload data'!$B:$B,"custody")</f>
        <v>0</v>
      </c>
      <c r="K166" s="107">
        <f>SUMIFS('caseload data'!L:L,'caseload data'!$D:$D,"PSO",'caseload data'!$A:$A,"London",'caseload data'!$B:$B,"custody")</f>
        <v>0</v>
      </c>
      <c r="L166" s="107">
        <f>SUMIFS('caseload data'!M:M,'caseload data'!$D:$D,"PSO",'caseload data'!$A:$A,"London",'caseload data'!$B:$B,"custody")</f>
        <v>0</v>
      </c>
      <c r="M166" s="107">
        <f>SUMIFS('caseload data'!N:N,'caseload data'!$D:$D,"PSO",'caseload data'!$A:$A,"London",'caseload data'!$B:$B,"custody")</f>
        <v>0</v>
      </c>
      <c r="N166" s="107">
        <f>SUMIFS('caseload data'!O:O,'caseload data'!$D:$D,"PSO",'caseload data'!$A:$A,"London",'caseload data'!$B:$B,"custody")</f>
        <v>0</v>
      </c>
      <c r="O166" s="107">
        <f>SUMIFS('caseload data'!P:P,'caseload data'!$D:$D,"PSO",'caseload data'!$A:$A,"London",'caseload data'!$B:$B,"custody")</f>
        <v>0</v>
      </c>
      <c r="P166" s="107">
        <f>SUMIFS('caseload data'!Q:Q,'caseload data'!$D:$D,"PSO",'caseload data'!$A:$A,"London",'caseload data'!$B:$B,"custody")</f>
        <v>0</v>
      </c>
      <c r="Q166" s="107">
        <f>SUMIFS('caseload data'!R:R,'caseload data'!$D:$D,"PSO",'caseload data'!$A:$A,"London",'caseload data'!$B:$B,"custody")</f>
        <v>0</v>
      </c>
      <c r="R166" s="107">
        <f>SUMIFS('caseload data'!S:S,'caseload data'!$D:$D,"PSO",'caseload data'!$A:$A,"London",'caseload data'!$B:$B,"custody")</f>
        <v>0</v>
      </c>
      <c r="S166" s="107">
        <f>SUMIFS('caseload data'!T:T,'caseload data'!$D:$D,"PSO",'caseload data'!$A:$A,"London",'caseload data'!$B:$B,"custody")</f>
        <v>0</v>
      </c>
      <c r="T166" s="107">
        <f>SUMIFS('caseload data'!V:V,'caseload data'!D:D,"PSO",'caseload data'!A:A,"London",'caseload data'!B:B,"custody")</f>
        <v>0</v>
      </c>
      <c r="U166" s="76"/>
      <c r="V166" s="76"/>
      <c r="W166" s="307"/>
      <c r="X166" s="142" t="s">
        <v>1038</v>
      </c>
      <c r="Y166" s="187" t="e">
        <f>SUM(D166)/SUM(D$165:D$168)</f>
        <v>#DIV/0!</v>
      </c>
      <c r="Z166" s="187" t="e">
        <f t="shared" si="41"/>
        <v>#DIV/0!</v>
      </c>
      <c r="AA166" s="187" t="e">
        <f t="shared" si="41"/>
        <v>#DIV/0!</v>
      </c>
      <c r="AB166" s="187" t="e">
        <f t="shared" si="41"/>
        <v>#DIV/0!</v>
      </c>
      <c r="AC166" s="187" t="e">
        <f t="shared" si="41"/>
        <v>#DIV/0!</v>
      </c>
      <c r="AD166" s="187" t="e">
        <f t="shared" si="41"/>
        <v>#DIV/0!</v>
      </c>
      <c r="AE166" s="187" t="e">
        <f t="shared" si="41"/>
        <v>#DIV/0!</v>
      </c>
      <c r="AF166" s="187" t="e">
        <f t="shared" si="41"/>
        <v>#DIV/0!</v>
      </c>
      <c r="AG166" s="187" t="e">
        <f t="shared" si="41"/>
        <v>#DIV/0!</v>
      </c>
      <c r="AH166" s="187" t="e">
        <f t="shared" si="41"/>
        <v>#DIV/0!</v>
      </c>
      <c r="AI166" s="187" t="e">
        <f t="shared" si="41"/>
        <v>#DIV/0!</v>
      </c>
      <c r="AJ166" s="187" t="e">
        <f t="shared" si="41"/>
        <v>#DIV/0!</v>
      </c>
      <c r="AK166" s="187" t="e">
        <f t="shared" si="41"/>
        <v>#DIV/0!</v>
      </c>
      <c r="AL166" s="187" t="e">
        <f t="shared" si="41"/>
        <v>#DIV/0!</v>
      </c>
      <c r="AM166" s="187" t="e">
        <f t="shared" si="41"/>
        <v>#DIV/0!</v>
      </c>
      <c r="AN166" s="187" t="e">
        <f t="shared" si="41"/>
        <v>#DIV/0!</v>
      </c>
    </row>
    <row r="167" spans="2:40" x14ac:dyDescent="0.15">
      <c r="B167" s="307"/>
      <c r="C167" s="142" t="s">
        <v>1039</v>
      </c>
      <c r="D167" s="107">
        <f>SUMIFS('caseload data'!E:E,'caseload data'!$D:$D,"TPO",'caseload data'!$A:$A,"London",'caseload data'!$B:$B,"custody")</f>
        <v>0</v>
      </c>
      <c r="E167" s="107">
        <f>SUMIFS('caseload data'!F:F,'caseload data'!$D:$D,"TPO",'caseload data'!$A:$A,"London",'caseload data'!$B:$B,"custody")</f>
        <v>0</v>
      </c>
      <c r="F167" s="107">
        <f>SUMIFS('caseload data'!G:G,'caseload data'!$D:$D,"TPO",'caseload data'!$A:$A,"London",'caseload data'!$B:$B,"custody")</f>
        <v>0</v>
      </c>
      <c r="G167" s="107">
        <f>SUMIFS('caseload data'!H:H,'caseload data'!$D:$D,"TPO",'caseload data'!$A:$A,"London",'caseload data'!$B:$B,"custody")</f>
        <v>0</v>
      </c>
      <c r="H167" s="107">
        <f>SUMIFS('caseload data'!I:I,'caseload data'!$D:$D,"TPO",'caseload data'!$A:$A,"London",'caseload data'!$B:$B,"custody")</f>
        <v>0</v>
      </c>
      <c r="I167" s="107">
        <f>SUMIFS('caseload data'!J:J,'caseload data'!$D:$D,"TPO",'caseload data'!$A:$A,"London",'caseload data'!$B:$B,"custody")</f>
        <v>0</v>
      </c>
      <c r="J167" s="107">
        <f>SUMIFS('caseload data'!K:K,'caseload data'!$D:$D,"TPO",'caseload data'!$A:$A,"London",'caseload data'!$B:$B,"custody")</f>
        <v>0</v>
      </c>
      <c r="K167" s="107">
        <f>SUMIFS('caseload data'!L:L,'caseload data'!$D:$D,"TPO",'caseload data'!$A:$A,"London",'caseload data'!$B:$B,"custody")</f>
        <v>0</v>
      </c>
      <c r="L167" s="107">
        <f>SUMIFS('caseload data'!M:M,'caseload data'!$D:$D,"TPO",'caseload data'!$A:$A,"London",'caseload data'!$B:$B,"custody")</f>
        <v>0</v>
      </c>
      <c r="M167" s="107">
        <f>SUMIFS('caseload data'!N:N,'caseload data'!$D:$D,"TPO",'caseload data'!$A:$A,"London",'caseload data'!$B:$B,"custody")</f>
        <v>0</v>
      </c>
      <c r="N167" s="107">
        <f>SUMIFS('caseload data'!O:O,'caseload data'!$D:$D,"TPO",'caseload data'!$A:$A,"London",'caseload data'!$B:$B,"custody")</f>
        <v>0</v>
      </c>
      <c r="O167" s="107">
        <f>SUMIFS('caseload data'!P:P,'caseload data'!$D:$D,"TPO",'caseload data'!$A:$A,"London",'caseload data'!$B:$B,"custody")</f>
        <v>0</v>
      </c>
      <c r="P167" s="107">
        <f>SUMIFS('caseload data'!Q:Q,'caseload data'!$D:$D,"TPO",'caseload data'!$A:$A,"London",'caseload data'!$B:$B,"custody")</f>
        <v>0</v>
      </c>
      <c r="Q167" s="107">
        <f>SUMIFS('caseload data'!R:R,'caseload data'!$D:$D,"TPO",'caseload data'!$A:$A,"London",'caseload data'!$B:$B,"custody")</f>
        <v>0</v>
      </c>
      <c r="R167" s="107">
        <f>SUMIFS('caseload data'!S:S,'caseload data'!$D:$D,"TPO",'caseload data'!$A:$A,"London",'caseload data'!$B:$B,"custody")</f>
        <v>0</v>
      </c>
      <c r="S167" s="107">
        <f>SUMIFS('caseload data'!T:T,'caseload data'!$D:$D,"TPO",'caseload data'!$A:$A,"London",'caseload data'!$B:$B,"custody")</f>
        <v>0</v>
      </c>
      <c r="T167" s="107">
        <f>SUMIFS('caseload data'!V:V,'caseload data'!D:D,"TPO",'caseload data'!A:A,"London",'caseload data'!B:B,"custody")</f>
        <v>0</v>
      </c>
      <c r="U167" s="76"/>
      <c r="V167" s="76"/>
      <c r="W167" s="307"/>
      <c r="X167" s="142" t="s">
        <v>1039</v>
      </c>
      <c r="Y167" s="187" t="e">
        <f>SUM(D167)/SUM(D$165:D$168)</f>
        <v>#DIV/0!</v>
      </c>
      <c r="Z167" s="187" t="e">
        <f t="shared" si="41"/>
        <v>#DIV/0!</v>
      </c>
      <c r="AA167" s="187" t="e">
        <f t="shared" si="41"/>
        <v>#DIV/0!</v>
      </c>
      <c r="AB167" s="187" t="e">
        <f t="shared" si="41"/>
        <v>#DIV/0!</v>
      </c>
      <c r="AC167" s="187" t="e">
        <f t="shared" si="41"/>
        <v>#DIV/0!</v>
      </c>
      <c r="AD167" s="187" t="e">
        <f t="shared" si="41"/>
        <v>#DIV/0!</v>
      </c>
      <c r="AE167" s="187" t="e">
        <f t="shared" si="41"/>
        <v>#DIV/0!</v>
      </c>
      <c r="AF167" s="187" t="e">
        <f t="shared" si="41"/>
        <v>#DIV/0!</v>
      </c>
      <c r="AG167" s="187" t="e">
        <f t="shared" si="41"/>
        <v>#DIV/0!</v>
      </c>
      <c r="AH167" s="187" t="e">
        <f t="shared" si="41"/>
        <v>#DIV/0!</v>
      </c>
      <c r="AI167" s="187" t="e">
        <f t="shared" si="41"/>
        <v>#DIV/0!</v>
      </c>
      <c r="AJ167" s="187" t="e">
        <f t="shared" si="41"/>
        <v>#DIV/0!</v>
      </c>
      <c r="AK167" s="187" t="e">
        <f t="shared" si="41"/>
        <v>#DIV/0!</v>
      </c>
      <c r="AL167" s="187" t="e">
        <f t="shared" si="41"/>
        <v>#DIV/0!</v>
      </c>
      <c r="AM167" s="187" t="e">
        <f t="shared" si="41"/>
        <v>#DIV/0!</v>
      </c>
      <c r="AN167" s="187" t="e">
        <f t="shared" si="41"/>
        <v>#DIV/0!</v>
      </c>
    </row>
    <row r="168" spans="2:40" x14ac:dyDescent="0.15">
      <c r="B168" s="308"/>
      <c r="C168" s="143" t="s">
        <v>1040</v>
      </c>
      <c r="D168" s="107">
        <f>SUMIFS('caseload data'!E:E,'caseload data'!$D:$D,"SPO",'caseload data'!$A:$A,"London",'caseload data'!$B:$B,"custody")</f>
        <v>0</v>
      </c>
      <c r="E168" s="107">
        <f>SUMIFS('caseload data'!F:F,'caseload data'!$D:$D,"SPO",'caseload data'!$A:$A,"London",'caseload data'!$B:$B,"custody")</f>
        <v>0</v>
      </c>
      <c r="F168" s="107">
        <f>SUMIFS('caseload data'!G:G,'caseload data'!$D:$D,"SPO",'caseload data'!$A:$A,"London",'caseload data'!$B:$B,"custody")</f>
        <v>0</v>
      </c>
      <c r="G168" s="107">
        <f>SUMIFS('caseload data'!H:H,'caseload data'!$D:$D,"SPO",'caseload data'!$A:$A,"London",'caseload data'!$B:$B,"custody")</f>
        <v>0</v>
      </c>
      <c r="H168" s="107">
        <f>SUMIFS('caseload data'!I:I,'caseload data'!$D:$D,"SPO",'caseload data'!$A:$A,"London",'caseload data'!$B:$B,"custody")</f>
        <v>0</v>
      </c>
      <c r="I168" s="107">
        <f>SUMIFS('caseload data'!J:J,'caseload data'!$D:$D,"SPO",'caseload data'!$A:$A,"London",'caseload data'!$B:$B,"custody")</f>
        <v>0</v>
      </c>
      <c r="J168" s="107">
        <f>SUMIFS('caseload data'!K:K,'caseload data'!$D:$D,"SPO",'caseload data'!$A:$A,"London",'caseload data'!$B:$B,"custody")</f>
        <v>0</v>
      </c>
      <c r="K168" s="107">
        <f>SUMIFS('caseload data'!L:L,'caseload data'!$D:$D,"SPO",'caseload data'!$A:$A,"London",'caseload data'!$B:$B,"custody")</f>
        <v>0</v>
      </c>
      <c r="L168" s="107">
        <f>SUMIFS('caseload data'!M:M,'caseload data'!$D:$D,"SPO",'caseload data'!$A:$A,"London",'caseload data'!$B:$B,"custody")</f>
        <v>0</v>
      </c>
      <c r="M168" s="107">
        <f>SUMIFS('caseload data'!N:N,'caseload data'!$D:$D,"SPO",'caseload data'!$A:$A,"London",'caseload data'!$B:$B,"custody")</f>
        <v>0</v>
      </c>
      <c r="N168" s="107">
        <f>SUMIFS('caseload data'!O:O,'caseload data'!$D:$D,"SPO",'caseload data'!$A:$A,"London",'caseload data'!$B:$B,"custody")</f>
        <v>0</v>
      </c>
      <c r="O168" s="107">
        <f>SUMIFS('caseload data'!P:P,'caseload data'!$D:$D,"SPO",'caseload data'!$A:$A,"London",'caseload data'!$B:$B,"custody")</f>
        <v>0</v>
      </c>
      <c r="P168" s="107">
        <f>SUMIFS('caseload data'!Q:Q,'caseload data'!$D:$D,"SPO",'caseload data'!$A:$A,"London",'caseload data'!$B:$B,"custody")</f>
        <v>0</v>
      </c>
      <c r="Q168" s="107">
        <f>SUMIFS('caseload data'!R:R,'caseload data'!$D:$D,"SPO",'caseload data'!$A:$A,"London",'caseload data'!$B:$B,"custody")</f>
        <v>0</v>
      </c>
      <c r="R168" s="107">
        <f>SUMIFS('caseload data'!S:S,'caseload data'!$D:$D,"SPO",'caseload data'!$A:$A,"London",'caseload data'!$B:$B,"custody")</f>
        <v>0</v>
      </c>
      <c r="S168" s="107">
        <f>SUMIFS('caseload data'!T:T,'caseload data'!$D:$D,"SPO",'caseload data'!$A:$A,"London",'caseload data'!$B:$B,"custody")</f>
        <v>0</v>
      </c>
      <c r="T168" s="107">
        <f>SUMIFS('caseload data'!V:V,'caseload data'!$D:$D,"SPO",'caseload data'!$A:$A,"London",'caseload data'!$B:$B,"custody")</f>
        <v>0</v>
      </c>
      <c r="U168" s="76"/>
      <c r="V168" s="76"/>
      <c r="W168" s="308"/>
      <c r="X168" s="143" t="s">
        <v>1040</v>
      </c>
      <c r="Y168" s="187" t="e">
        <f>SUM(D168)/SUM(D$165:D$168)</f>
        <v>#DIV/0!</v>
      </c>
      <c r="Z168" s="187" t="e">
        <f t="shared" si="41"/>
        <v>#DIV/0!</v>
      </c>
      <c r="AA168" s="187" t="e">
        <f t="shared" si="41"/>
        <v>#DIV/0!</v>
      </c>
      <c r="AB168" s="187" t="e">
        <f t="shared" si="41"/>
        <v>#DIV/0!</v>
      </c>
      <c r="AC168" s="187" t="e">
        <f t="shared" si="41"/>
        <v>#DIV/0!</v>
      </c>
      <c r="AD168" s="187" t="e">
        <f t="shared" si="41"/>
        <v>#DIV/0!</v>
      </c>
      <c r="AE168" s="187" t="e">
        <f t="shared" si="41"/>
        <v>#DIV/0!</v>
      </c>
      <c r="AF168" s="187" t="e">
        <f t="shared" si="41"/>
        <v>#DIV/0!</v>
      </c>
      <c r="AG168" s="187" t="e">
        <f t="shared" si="41"/>
        <v>#DIV/0!</v>
      </c>
      <c r="AH168" s="187" t="e">
        <f t="shared" si="41"/>
        <v>#DIV/0!</v>
      </c>
      <c r="AI168" s="187" t="e">
        <f t="shared" si="41"/>
        <v>#DIV/0!</v>
      </c>
      <c r="AJ168" s="187" t="e">
        <f t="shared" si="41"/>
        <v>#DIV/0!</v>
      </c>
      <c r="AK168" s="187" t="e">
        <f t="shared" si="41"/>
        <v>#DIV/0!</v>
      </c>
      <c r="AL168" s="187" t="e">
        <f t="shared" si="41"/>
        <v>#DIV/0!</v>
      </c>
      <c r="AM168" s="187" t="e">
        <f t="shared" si="41"/>
        <v>#DIV/0!</v>
      </c>
      <c r="AN168" s="187" t="e">
        <f t="shared" si="41"/>
        <v>#DIV/0!</v>
      </c>
    </row>
    <row r="169" spans="2:40" x14ac:dyDescent="0.15">
      <c r="B169" s="303" t="s">
        <v>23</v>
      </c>
      <c r="C169" s="141" t="s">
        <v>1037</v>
      </c>
      <c r="D169" s="107">
        <f>SUMIFS('caseload data'!E:E,'caseload data'!$D:$D,"PO",'caseload data'!$A:$A,'national caseload'!$B$169:$B$171,'caseload data'!$B:$B,"custody")</f>
        <v>0</v>
      </c>
      <c r="E169" s="107">
        <f>SUMIFS('caseload data'!F:F,'caseload data'!$D:$D,"PO",'caseload data'!$A:$A,'national caseload'!$B$169:$B$171,'caseload data'!$B:$B,"custody")</f>
        <v>0</v>
      </c>
      <c r="F169" s="107">
        <f>SUMIFS('caseload data'!G:G,'caseload data'!$D:$D,"PO",'caseload data'!$A:$A,'national caseload'!$B$169:$B$171,'caseload data'!$B:$B,"custody")</f>
        <v>0</v>
      </c>
      <c r="G169" s="107">
        <f>SUMIFS('caseload data'!H:H,'caseload data'!$D:$D,"PO",'caseload data'!$A:$A,'national caseload'!$B$169:$B$171,'caseload data'!$B:$B,"custody")</f>
        <v>0</v>
      </c>
      <c r="H169" s="107">
        <f>SUMIFS('caseload data'!I:I,'caseload data'!$D:$D,"PO",'caseload data'!$A:$A,'national caseload'!$B$169:$B$171,'caseload data'!$B:$B,"custody")</f>
        <v>0</v>
      </c>
      <c r="I169" s="107">
        <f>SUMIFS('caseload data'!J:J,'caseload data'!$D:$D,"PO",'caseload data'!$A:$A,'national caseload'!$B$169:$B$171,'caseload data'!$B:$B,"custody")</f>
        <v>0</v>
      </c>
      <c r="J169" s="107">
        <f>SUMIFS('caseload data'!K:K,'caseload data'!$D:$D,"PO",'caseload data'!$A:$A,'national caseload'!$B$169:$B$171,'caseload data'!$B:$B,"custody")</f>
        <v>0</v>
      </c>
      <c r="K169" s="107">
        <f>SUMIFS('caseload data'!L:L,'caseload data'!$D:$D,"PO",'caseload data'!$A:$A,'national caseload'!$B$169:$B$171,'caseload data'!$B:$B,"custody")</f>
        <v>0</v>
      </c>
      <c r="L169" s="107">
        <f>SUMIFS('caseload data'!M:M,'caseload data'!$D:$D,"PO",'caseload data'!$A:$A,'national caseload'!$B$169:$B$171,'caseload data'!$B:$B,"custody")</f>
        <v>0</v>
      </c>
      <c r="M169" s="107">
        <f>SUMIFS('caseload data'!N:N,'caseload data'!$D:$D,"PO",'caseload data'!$A:$A,'national caseload'!$B$169:$B$171,'caseload data'!$B:$B,"custody")</f>
        <v>0</v>
      </c>
      <c r="N169" s="107">
        <f>SUMIFS('caseload data'!O:O,'caseload data'!$D:$D,"PO",'caseload data'!$A:$A,'national caseload'!$B$169:$B$171,'caseload data'!$B:$B,"custody")</f>
        <v>0</v>
      </c>
      <c r="O169" s="107">
        <f>SUMIFS('caseload data'!P:P,'caseload data'!$D:$D,"PO",'caseload data'!$A:$A,'national caseload'!$B$169:$B$171,'caseload data'!$B:$B,"custody")</f>
        <v>0</v>
      </c>
      <c r="P169" s="107">
        <f>SUMIFS('caseload data'!Q:Q,'caseload data'!$D:$D,"PO",'caseload data'!$A:$A,'national caseload'!$B$169:$B$171,'caseload data'!$B:$B,"custody")</f>
        <v>0</v>
      </c>
      <c r="Q169" s="107">
        <f>SUMIFS('caseload data'!R:R,'caseload data'!$D:$D,"PO",'caseload data'!$A:$A,'national caseload'!$B$169:$B$171,'caseload data'!$B:$B,"custody")</f>
        <v>0</v>
      </c>
      <c r="R169" s="107">
        <f>SUMIFS('caseload data'!S:S,'caseload data'!$D:$D,"PO",'caseload data'!$A:$A,'national caseload'!$B$169:$B$171,'caseload data'!$B:$B,"custody")</f>
        <v>0</v>
      </c>
      <c r="S169" s="107">
        <f>SUMIFS('caseload data'!T:T,'caseload data'!$D:$D,"PO",'caseload data'!$A:$A,'national caseload'!$B$169:$B$171,'caseload data'!$B:$B,"custody")</f>
        <v>0</v>
      </c>
      <c r="T169" s="107">
        <f>SUMIFS('caseload data'!V:V,'caseload data'!D:D,"PO",'caseload data'!A:A,'national caseload'!B169:B171,'caseload data'!B:B,"custody")</f>
        <v>0</v>
      </c>
      <c r="U169" s="76"/>
      <c r="V169" s="76"/>
      <c r="W169" s="303" t="s">
        <v>23</v>
      </c>
      <c r="X169" s="141" t="s">
        <v>1037</v>
      </c>
      <c r="Y169" s="187" t="e">
        <f>SUM(D169)/SUM(D$169:D$172)</f>
        <v>#DIV/0!</v>
      </c>
      <c r="Z169" s="187" t="e">
        <f t="shared" ref="Z169:AN172" si="42">SUM(E169)/SUM(E$169:E$172)</f>
        <v>#DIV/0!</v>
      </c>
      <c r="AA169" s="187" t="e">
        <f t="shared" si="42"/>
        <v>#DIV/0!</v>
      </c>
      <c r="AB169" s="187" t="e">
        <f t="shared" si="42"/>
        <v>#DIV/0!</v>
      </c>
      <c r="AC169" s="187" t="e">
        <f t="shared" si="42"/>
        <v>#DIV/0!</v>
      </c>
      <c r="AD169" s="187" t="e">
        <f t="shared" si="42"/>
        <v>#DIV/0!</v>
      </c>
      <c r="AE169" s="187" t="e">
        <f t="shared" si="42"/>
        <v>#DIV/0!</v>
      </c>
      <c r="AF169" s="187" t="e">
        <f t="shared" si="42"/>
        <v>#DIV/0!</v>
      </c>
      <c r="AG169" s="187" t="e">
        <f t="shared" si="42"/>
        <v>#DIV/0!</v>
      </c>
      <c r="AH169" s="187" t="e">
        <f t="shared" si="42"/>
        <v>#DIV/0!</v>
      </c>
      <c r="AI169" s="187" t="e">
        <f t="shared" si="42"/>
        <v>#DIV/0!</v>
      </c>
      <c r="AJ169" s="187" t="e">
        <f t="shared" si="42"/>
        <v>#DIV/0!</v>
      </c>
      <c r="AK169" s="187" t="e">
        <f t="shared" si="42"/>
        <v>#DIV/0!</v>
      </c>
      <c r="AL169" s="187" t="e">
        <f t="shared" si="42"/>
        <v>#DIV/0!</v>
      </c>
      <c r="AM169" s="187" t="e">
        <f t="shared" si="42"/>
        <v>#DIV/0!</v>
      </c>
      <c r="AN169" s="187" t="e">
        <f t="shared" si="42"/>
        <v>#DIV/0!</v>
      </c>
    </row>
    <row r="170" spans="2:40" x14ac:dyDescent="0.15">
      <c r="B170" s="304"/>
      <c r="C170" s="142" t="s">
        <v>1038</v>
      </c>
      <c r="D170" s="107">
        <f>SUMIFS('caseload data'!E:E,'caseload data'!$D:$D,"PSO",'caseload data'!$A:$A,"North East Region",'caseload data'!$B:$B,"custody")</f>
        <v>0</v>
      </c>
      <c r="E170" s="107">
        <f>SUMIFS('caseload data'!F:F,'caseload data'!$D:$D,"PSO",'caseload data'!$A:$A,"North East Region",'caseload data'!$B:$B,"custody")</f>
        <v>0</v>
      </c>
      <c r="F170" s="107">
        <f>SUMIFS('caseload data'!G:G,'caseload data'!$D:$D,"PSO",'caseload data'!$A:$A,"North East Region",'caseload data'!$B:$B,"custody")</f>
        <v>0</v>
      </c>
      <c r="G170" s="107">
        <f>SUMIFS('caseload data'!H:H,'caseload data'!$D:$D,"PSO",'caseload data'!$A:$A,"North East Region",'caseload data'!$B:$B,"custody")</f>
        <v>0</v>
      </c>
      <c r="H170" s="107">
        <f>SUMIFS('caseload data'!I:I,'caseload data'!$D:$D,"PSO",'caseload data'!$A:$A,"North East Region",'caseload data'!$B:$B,"custody")</f>
        <v>0</v>
      </c>
      <c r="I170" s="107">
        <f>SUMIFS('caseload data'!J:J,'caseload data'!$D:$D,"PSO",'caseload data'!$A:$A,"North East Region",'caseload data'!$B:$B,"custody")</f>
        <v>0</v>
      </c>
      <c r="J170" s="107">
        <f>SUMIFS('caseload data'!K:K,'caseload data'!$D:$D,"PSO",'caseload data'!$A:$A,"North East Region",'caseload data'!$B:$B,"custody")</f>
        <v>0</v>
      </c>
      <c r="K170" s="107">
        <f>SUMIFS('caseload data'!L:L,'caseload data'!$D:$D,"PSO",'caseload data'!$A:$A,"North East Region",'caseload data'!$B:$B,"custody")</f>
        <v>0</v>
      </c>
      <c r="L170" s="107">
        <f>SUMIFS('caseload data'!M:M,'caseload data'!$D:$D,"PSO",'caseload data'!$A:$A,"North East Region",'caseload data'!$B:$B,"custody")</f>
        <v>0</v>
      </c>
      <c r="M170" s="107">
        <f>SUMIFS('caseload data'!N:N,'caseload data'!$D:$D,"PSO",'caseload data'!$A:$A,"North East Region",'caseload data'!$B:$B,"custody")</f>
        <v>0</v>
      </c>
      <c r="N170" s="107">
        <f>SUMIFS('caseload data'!O:O,'caseload data'!$D:$D,"PSO",'caseload data'!$A:$A,"North East Region",'caseload data'!$B:$B,"custody")</f>
        <v>0</v>
      </c>
      <c r="O170" s="107">
        <f>SUMIFS('caseload data'!P:P,'caseload data'!$D:$D,"PSO",'caseload data'!$A:$A,"North East Region",'caseload data'!$B:$B,"custody")</f>
        <v>0</v>
      </c>
      <c r="P170" s="107">
        <f>SUMIFS('caseload data'!Q:Q,'caseload data'!$D:$D,"PSO",'caseload data'!$A:$A,"North East Region",'caseload data'!$B:$B,"custody")</f>
        <v>0</v>
      </c>
      <c r="Q170" s="107">
        <f>SUMIFS('caseload data'!R:R,'caseload data'!$D:$D,"PSO",'caseload data'!$A:$A,"North East Region",'caseload data'!$B:$B,"custody")</f>
        <v>0</v>
      </c>
      <c r="R170" s="107">
        <f>SUMIFS('caseload data'!S:S,'caseload data'!$D:$D,"PSO",'caseload data'!$A:$A,"North East Region",'caseload data'!$B:$B,"custody")</f>
        <v>0</v>
      </c>
      <c r="S170" s="107">
        <f>SUMIFS('caseload data'!T:T,'caseload data'!$D:$D,"PSO",'caseload data'!$A:$A,"North East Region",'caseload data'!$B:$B,"custody")</f>
        <v>0</v>
      </c>
      <c r="T170" s="107">
        <f>SUMIFS('caseload data'!V:V,'caseload data'!D:D,"PSO",'caseload data'!A:A,"North East Region",'caseload data'!B:B,"custody")</f>
        <v>0</v>
      </c>
      <c r="U170" s="76"/>
      <c r="V170" s="76"/>
      <c r="W170" s="304"/>
      <c r="X170" s="142" t="s">
        <v>1038</v>
      </c>
      <c r="Y170" s="187" t="e">
        <f>SUM(D170)/SUM(D$169:D$172)</f>
        <v>#DIV/0!</v>
      </c>
      <c r="Z170" s="187" t="e">
        <f t="shared" si="42"/>
        <v>#DIV/0!</v>
      </c>
      <c r="AA170" s="187" t="e">
        <f t="shared" si="42"/>
        <v>#DIV/0!</v>
      </c>
      <c r="AB170" s="187" t="e">
        <f t="shared" si="42"/>
        <v>#DIV/0!</v>
      </c>
      <c r="AC170" s="187" t="e">
        <f t="shared" si="42"/>
        <v>#DIV/0!</v>
      </c>
      <c r="AD170" s="187" t="e">
        <f t="shared" si="42"/>
        <v>#DIV/0!</v>
      </c>
      <c r="AE170" s="187" t="e">
        <f t="shared" si="42"/>
        <v>#DIV/0!</v>
      </c>
      <c r="AF170" s="187" t="e">
        <f t="shared" si="42"/>
        <v>#DIV/0!</v>
      </c>
      <c r="AG170" s="187" t="e">
        <f t="shared" si="42"/>
        <v>#DIV/0!</v>
      </c>
      <c r="AH170" s="187" t="e">
        <f t="shared" si="42"/>
        <v>#DIV/0!</v>
      </c>
      <c r="AI170" s="187" t="e">
        <f t="shared" si="42"/>
        <v>#DIV/0!</v>
      </c>
      <c r="AJ170" s="187" t="e">
        <f t="shared" si="42"/>
        <v>#DIV/0!</v>
      </c>
      <c r="AK170" s="187" t="e">
        <f t="shared" si="42"/>
        <v>#DIV/0!</v>
      </c>
      <c r="AL170" s="187" t="e">
        <f t="shared" si="42"/>
        <v>#DIV/0!</v>
      </c>
      <c r="AM170" s="187" t="e">
        <f t="shared" si="42"/>
        <v>#DIV/0!</v>
      </c>
      <c r="AN170" s="187" t="e">
        <f t="shared" si="42"/>
        <v>#DIV/0!</v>
      </c>
    </row>
    <row r="171" spans="2:40" x14ac:dyDescent="0.15">
      <c r="B171" s="304"/>
      <c r="C171" s="142" t="s">
        <v>1039</v>
      </c>
      <c r="D171" s="107">
        <f>SUMIFS('caseload data'!E:E,'caseload data'!$D:$D,"TPO",'caseload data'!$A:$A,"North East Region",'caseload data'!$B:$B,"custody")</f>
        <v>0</v>
      </c>
      <c r="E171" s="107">
        <f>SUMIFS('caseload data'!F:F,'caseload data'!$D:$D,"TPO",'caseload data'!$A:$A,"North East Region",'caseload data'!$B:$B,"custody")</f>
        <v>0</v>
      </c>
      <c r="F171" s="107">
        <f>SUMIFS('caseload data'!G:G,'caseload data'!$D:$D,"TPO",'caseload data'!$A:$A,"North East Region",'caseload data'!$B:$B,"custody")</f>
        <v>0</v>
      </c>
      <c r="G171" s="107">
        <f>SUMIFS('caseload data'!H:H,'caseload data'!$D:$D,"TPO",'caseload data'!$A:$A,"North East Region",'caseload data'!$B:$B,"custody")</f>
        <v>0</v>
      </c>
      <c r="H171" s="107">
        <f>SUMIFS('caseload data'!I:I,'caseload data'!$D:$D,"TPO",'caseload data'!$A:$A,"North East Region",'caseload data'!$B:$B,"custody")</f>
        <v>0</v>
      </c>
      <c r="I171" s="107">
        <f>SUMIFS('caseload data'!J:J,'caseload data'!$D:$D,"TPO",'caseload data'!$A:$A,"North East Region",'caseload data'!$B:$B,"custody")</f>
        <v>0</v>
      </c>
      <c r="J171" s="107">
        <f>SUMIFS('caseload data'!K:K,'caseload data'!$D:$D,"TPO",'caseload data'!$A:$A,"North East Region",'caseload data'!$B:$B,"custody")</f>
        <v>0</v>
      </c>
      <c r="K171" s="107">
        <f>SUMIFS('caseload data'!L:L,'caseload data'!$D:$D,"TPO",'caseload data'!$A:$A,"North East Region",'caseload data'!$B:$B,"custody")</f>
        <v>0</v>
      </c>
      <c r="L171" s="107">
        <f>SUMIFS('caseload data'!M:M,'caseload data'!$D:$D,"TPO",'caseload data'!$A:$A,"North East Region",'caseload data'!$B:$B,"custody")</f>
        <v>0</v>
      </c>
      <c r="M171" s="107">
        <f>SUMIFS('caseload data'!N:N,'caseload data'!$D:$D,"TPO",'caseload data'!$A:$A,"North East Region",'caseload data'!$B:$B,"custody")</f>
        <v>0</v>
      </c>
      <c r="N171" s="107">
        <f>SUMIFS('caseload data'!O:O,'caseload data'!$D:$D,"TPO",'caseload data'!$A:$A,"North East Region",'caseload data'!$B:$B,"custody")</f>
        <v>0</v>
      </c>
      <c r="O171" s="107">
        <f>SUMIFS('caseload data'!P:P,'caseload data'!$D:$D,"TPO",'caseload data'!$A:$A,"North East Region",'caseload data'!$B:$B,"custody")</f>
        <v>0</v>
      </c>
      <c r="P171" s="107">
        <f>SUMIFS('caseload data'!Q:Q,'caseload data'!$D:$D,"TPO",'caseload data'!$A:$A,"North East Region",'caseload data'!$B:$B,"custody")</f>
        <v>0</v>
      </c>
      <c r="Q171" s="107">
        <f>SUMIFS('caseload data'!R:R,'caseload data'!$D:$D,"TPO",'caseload data'!$A:$A,"North East Region",'caseload data'!$B:$B,"custody")</f>
        <v>0</v>
      </c>
      <c r="R171" s="107">
        <f>SUMIFS('caseload data'!S:S,'caseload data'!$D:$D,"TPO",'caseload data'!$A:$A,"North East Region",'caseload data'!$B:$B,"custody")</f>
        <v>0</v>
      </c>
      <c r="S171" s="107">
        <f>SUMIFS('caseload data'!T:T,'caseload data'!$D:$D,"TPO",'caseload data'!$A:$A,"North East Region",'caseload data'!$B:$B,"custody")</f>
        <v>0</v>
      </c>
      <c r="T171" s="107">
        <f>SUMIFS('caseload data'!V:V,'caseload data'!D:D,"TPO",'caseload data'!A:A,"North East Region",'caseload data'!B:B,"custody")</f>
        <v>0</v>
      </c>
      <c r="U171" s="76"/>
      <c r="V171" s="76"/>
      <c r="W171" s="304"/>
      <c r="X171" s="142" t="s">
        <v>1039</v>
      </c>
      <c r="Y171" s="187" t="e">
        <f>SUM(D171)/SUM(D$169:D$172)</f>
        <v>#DIV/0!</v>
      </c>
      <c r="Z171" s="187" t="e">
        <f t="shared" si="42"/>
        <v>#DIV/0!</v>
      </c>
      <c r="AA171" s="187" t="e">
        <f t="shared" si="42"/>
        <v>#DIV/0!</v>
      </c>
      <c r="AB171" s="187" t="e">
        <f t="shared" si="42"/>
        <v>#DIV/0!</v>
      </c>
      <c r="AC171" s="187" t="e">
        <f t="shared" si="42"/>
        <v>#DIV/0!</v>
      </c>
      <c r="AD171" s="187" t="e">
        <f t="shared" si="42"/>
        <v>#DIV/0!</v>
      </c>
      <c r="AE171" s="187" t="e">
        <f t="shared" si="42"/>
        <v>#DIV/0!</v>
      </c>
      <c r="AF171" s="187" t="e">
        <f t="shared" si="42"/>
        <v>#DIV/0!</v>
      </c>
      <c r="AG171" s="187" t="e">
        <f t="shared" si="42"/>
        <v>#DIV/0!</v>
      </c>
      <c r="AH171" s="187" t="e">
        <f t="shared" si="42"/>
        <v>#DIV/0!</v>
      </c>
      <c r="AI171" s="187" t="e">
        <f t="shared" si="42"/>
        <v>#DIV/0!</v>
      </c>
      <c r="AJ171" s="187" t="e">
        <f t="shared" si="42"/>
        <v>#DIV/0!</v>
      </c>
      <c r="AK171" s="187" t="e">
        <f t="shared" si="42"/>
        <v>#DIV/0!</v>
      </c>
      <c r="AL171" s="187" t="e">
        <f t="shared" si="42"/>
        <v>#DIV/0!</v>
      </c>
      <c r="AM171" s="187" t="e">
        <f t="shared" si="42"/>
        <v>#DIV/0!</v>
      </c>
      <c r="AN171" s="187" t="e">
        <f t="shared" si="42"/>
        <v>#DIV/0!</v>
      </c>
    </row>
    <row r="172" spans="2:40" x14ac:dyDescent="0.15">
      <c r="B172" s="309"/>
      <c r="C172" s="143" t="s">
        <v>1040</v>
      </c>
      <c r="D172" s="107">
        <f>SUMIFS('caseload data'!E:E,'caseload data'!$D:$D,"SPO",'caseload data'!$A:$A,"North East Region",'caseload data'!$B:$B,"custody")</f>
        <v>0</v>
      </c>
      <c r="E172" s="107">
        <f>SUMIFS('caseload data'!F:F,'caseload data'!$D:$D,"SPO",'caseload data'!$A:$A,"North East Region",'caseload data'!$B:$B,"custody")</f>
        <v>0</v>
      </c>
      <c r="F172" s="107">
        <f>SUMIFS('caseload data'!G:G,'caseload data'!$D:$D,"SPO",'caseload data'!$A:$A,"North East Region",'caseload data'!$B:$B,"custody")</f>
        <v>0</v>
      </c>
      <c r="G172" s="107">
        <f>SUMIFS('caseload data'!H:H,'caseload data'!$D:$D,"SPO",'caseload data'!$A:$A,"North East Region",'caseload data'!$B:$B,"custody")</f>
        <v>0</v>
      </c>
      <c r="H172" s="107">
        <f>SUMIFS('caseload data'!I:I,'caseload data'!$D:$D,"SPO",'caseload data'!$A:$A,"North East Region",'caseload data'!$B:$B,"custody")</f>
        <v>0</v>
      </c>
      <c r="I172" s="107">
        <f>SUMIFS('caseload data'!J:J,'caseload data'!$D:$D,"SPO",'caseload data'!$A:$A,"North East Region",'caseload data'!$B:$B,"custody")</f>
        <v>0</v>
      </c>
      <c r="J172" s="107">
        <f>SUMIFS('caseload data'!K:K,'caseload data'!$D:$D,"SPO",'caseload data'!$A:$A,"North East Region",'caseload data'!$B:$B,"custody")</f>
        <v>0</v>
      </c>
      <c r="K172" s="107">
        <f>SUMIFS('caseload data'!L:L,'caseload data'!$D:$D,"SPO",'caseload data'!$A:$A,"North East Region",'caseload data'!$B:$B,"custody")</f>
        <v>0</v>
      </c>
      <c r="L172" s="107">
        <f>SUMIFS('caseload data'!M:M,'caseload data'!$D:$D,"SPO",'caseload data'!$A:$A,"North East Region",'caseload data'!$B:$B,"custody")</f>
        <v>0</v>
      </c>
      <c r="M172" s="107">
        <f>SUMIFS('caseload data'!N:N,'caseload data'!$D:$D,"SPO",'caseload data'!$A:$A,"North East Region",'caseload data'!$B:$B,"custody")</f>
        <v>0</v>
      </c>
      <c r="N172" s="107">
        <f>SUMIFS('caseload data'!O:O,'caseload data'!$D:$D,"SPO",'caseload data'!$A:$A,"North East Region",'caseload data'!$B:$B,"custody")</f>
        <v>0</v>
      </c>
      <c r="O172" s="107">
        <f>SUMIFS('caseload data'!P:P,'caseload data'!$D:$D,"SPO",'caseload data'!$A:$A,"North East Region",'caseload data'!$B:$B,"custody")</f>
        <v>0</v>
      </c>
      <c r="P172" s="107">
        <f>SUMIFS('caseload data'!Q:Q,'caseload data'!$D:$D,"SPO",'caseload data'!$A:$A,"North East Region",'caseload data'!$B:$B,"custody")</f>
        <v>0</v>
      </c>
      <c r="Q172" s="107">
        <f>SUMIFS('caseload data'!R:R,'caseload data'!$D:$D,"SPO",'caseload data'!$A:$A,"North East Region",'caseload data'!$B:$B,"custody")</f>
        <v>0</v>
      </c>
      <c r="R172" s="107">
        <f>SUMIFS('caseload data'!S:S,'caseload data'!$D:$D,"SPO",'caseload data'!$A:$A,"North East Region",'caseload data'!$B:$B,"custody")</f>
        <v>0</v>
      </c>
      <c r="S172" s="107">
        <f>SUMIFS('caseload data'!T:T,'caseload data'!$D:$D,"SPO",'caseload data'!$A:$A,"North East Region",'caseload data'!$B:$B,"custody")</f>
        <v>0</v>
      </c>
      <c r="T172" s="107">
        <f>SUMIFS('caseload data'!V:V,'caseload data'!$D:$D,"SPO",'caseload data'!$A:$A,"North East Region",'caseload data'!$B:$B,"custody")</f>
        <v>0</v>
      </c>
      <c r="U172" s="76"/>
      <c r="V172" s="76"/>
      <c r="W172" s="309"/>
      <c r="X172" s="143" t="s">
        <v>1040</v>
      </c>
      <c r="Y172" s="187" t="e">
        <f>SUM(D172)/SUM(D$169:D$172)</f>
        <v>#DIV/0!</v>
      </c>
      <c r="Z172" s="187" t="e">
        <f t="shared" si="42"/>
        <v>#DIV/0!</v>
      </c>
      <c r="AA172" s="187" t="e">
        <f t="shared" si="42"/>
        <v>#DIV/0!</v>
      </c>
      <c r="AB172" s="187" t="e">
        <f t="shared" si="42"/>
        <v>#DIV/0!</v>
      </c>
      <c r="AC172" s="187" t="e">
        <f t="shared" si="42"/>
        <v>#DIV/0!</v>
      </c>
      <c r="AD172" s="187" t="e">
        <f t="shared" si="42"/>
        <v>#DIV/0!</v>
      </c>
      <c r="AE172" s="187" t="e">
        <f t="shared" si="42"/>
        <v>#DIV/0!</v>
      </c>
      <c r="AF172" s="187" t="e">
        <f t="shared" si="42"/>
        <v>#DIV/0!</v>
      </c>
      <c r="AG172" s="187" t="e">
        <f t="shared" si="42"/>
        <v>#DIV/0!</v>
      </c>
      <c r="AH172" s="187" t="e">
        <f t="shared" si="42"/>
        <v>#DIV/0!</v>
      </c>
      <c r="AI172" s="187" t="e">
        <f t="shared" si="42"/>
        <v>#DIV/0!</v>
      </c>
      <c r="AJ172" s="187" t="e">
        <f t="shared" si="42"/>
        <v>#DIV/0!</v>
      </c>
      <c r="AK172" s="187" t="e">
        <f t="shared" si="42"/>
        <v>#DIV/0!</v>
      </c>
      <c r="AL172" s="187" t="e">
        <f t="shared" si="42"/>
        <v>#DIV/0!</v>
      </c>
      <c r="AM172" s="187" t="e">
        <f t="shared" si="42"/>
        <v>#DIV/0!</v>
      </c>
      <c r="AN172" s="187" t="e">
        <f t="shared" si="42"/>
        <v>#DIV/0!</v>
      </c>
    </row>
    <row r="173" spans="2:40" x14ac:dyDescent="0.15">
      <c r="B173" s="303" t="s">
        <v>24</v>
      </c>
      <c r="C173" s="141" t="s">
        <v>1037</v>
      </c>
      <c r="D173" s="107">
        <f>SUMIFS('caseload data'!E:E,'caseload data'!$D:$D,"PO",'caseload data'!$A:$A,'national caseload'!$B$173:$B$175,'caseload data'!$B:$B,"custody")</f>
        <v>0</v>
      </c>
      <c r="E173" s="107">
        <f>SUMIFS('caseload data'!F:F,'caseload data'!$D:$D,"PO",'caseload data'!$A:$A,'national caseload'!$B$173:$B$175,'caseload data'!$B:$B,"custody")</f>
        <v>0</v>
      </c>
      <c r="F173" s="107">
        <f>SUMIFS('caseload data'!G:G,'caseload data'!$D:$D,"PO",'caseload data'!$A:$A,'national caseload'!$B$173:$B$175,'caseload data'!$B:$B,"custody")</f>
        <v>0</v>
      </c>
      <c r="G173" s="107">
        <f>SUMIFS('caseload data'!H:H,'caseload data'!$D:$D,"PO",'caseload data'!$A:$A,'national caseload'!$B$173:$B$175,'caseload data'!$B:$B,"custody")</f>
        <v>0</v>
      </c>
      <c r="H173" s="107">
        <f>SUMIFS('caseload data'!I:I,'caseload data'!$D:$D,"PO",'caseload data'!$A:$A,'national caseload'!$B$173:$B$175,'caseload data'!$B:$B,"custody")</f>
        <v>0</v>
      </c>
      <c r="I173" s="107">
        <f>SUMIFS('caseload data'!J:J,'caseload data'!$D:$D,"PO",'caseload data'!$A:$A,'national caseload'!$B$173:$B$175,'caseload data'!$B:$B,"custody")</f>
        <v>0</v>
      </c>
      <c r="J173" s="107">
        <f>SUMIFS('caseload data'!K:K,'caseload data'!$D:$D,"PO",'caseload data'!$A:$A,'national caseload'!$B$173:$B$175,'caseload data'!$B:$B,"custody")</f>
        <v>0</v>
      </c>
      <c r="K173" s="107">
        <f>SUMIFS('caseload data'!L:L,'caseload data'!$D:$D,"PO",'caseload data'!$A:$A,'national caseload'!$B$173:$B$175,'caseload data'!$B:$B,"custody")</f>
        <v>0</v>
      </c>
      <c r="L173" s="107">
        <f>SUMIFS('caseload data'!M:M,'caseload data'!$D:$D,"PO",'caseload data'!$A:$A,'national caseload'!$B$173:$B$175,'caseload data'!$B:$B,"custody")</f>
        <v>0</v>
      </c>
      <c r="M173" s="107">
        <f>SUMIFS('caseload data'!N:N,'caseload data'!$D:$D,"PO",'caseload data'!$A:$A,'national caseload'!$B$173:$B$175,'caseload data'!$B:$B,"custody")</f>
        <v>0</v>
      </c>
      <c r="N173" s="107">
        <f>SUMIFS('caseload data'!O:O,'caseload data'!$D:$D,"PO",'caseload data'!$A:$A,'national caseload'!$B$173:$B$175,'caseload data'!$B:$B,"custody")</f>
        <v>0</v>
      </c>
      <c r="O173" s="107">
        <f>SUMIFS('caseload data'!P:P,'caseload data'!$D:$D,"PO",'caseload data'!$A:$A,'national caseload'!$B$173:$B$175,'caseload data'!$B:$B,"custody")</f>
        <v>0</v>
      </c>
      <c r="P173" s="107">
        <f>SUMIFS('caseload data'!Q:Q,'caseload data'!$D:$D,"PO",'caseload data'!$A:$A,'national caseload'!$B$173:$B$175,'caseload data'!$B:$B,"custody")</f>
        <v>0</v>
      </c>
      <c r="Q173" s="107">
        <f>SUMIFS('caseload data'!R:R,'caseload data'!$D:$D,"PO",'caseload data'!$A:$A,'national caseload'!$B$173:$B$175,'caseload data'!$B:$B,"custody")</f>
        <v>0</v>
      </c>
      <c r="R173" s="107">
        <f>SUMIFS('caseload data'!S:S,'caseload data'!$D:$D,"PO",'caseload data'!$A:$A,'national caseload'!$B$173:$B$175,'caseload data'!$B:$B,"custody")</f>
        <v>0</v>
      </c>
      <c r="S173" s="107">
        <f>SUMIFS('caseload data'!T:T,'caseload data'!$D:$D,"PO",'caseload data'!$A:$A,'national caseload'!$B$173:$B$175,'caseload data'!$B:$B,"custody")</f>
        <v>0</v>
      </c>
      <c r="T173" s="107">
        <f>SUMIFS('caseload data'!V:V,'caseload data'!D:D,"PO",'caseload data'!A:A,'national caseload'!B173:B175,'caseload data'!B:B,"custody")</f>
        <v>0</v>
      </c>
      <c r="U173" s="76"/>
      <c r="V173" s="76"/>
      <c r="W173" s="303" t="s">
        <v>24</v>
      </c>
      <c r="X173" s="141" t="s">
        <v>1037</v>
      </c>
      <c r="Y173" s="187" t="e">
        <f>SUM(D173)/SUM(D$173:D$176)</f>
        <v>#DIV/0!</v>
      </c>
      <c r="Z173" s="187" t="e">
        <f t="shared" ref="Z173:AN176" si="43">SUM(E173)/SUM(E$173:E$176)</f>
        <v>#DIV/0!</v>
      </c>
      <c r="AA173" s="187" t="e">
        <f t="shared" si="43"/>
        <v>#DIV/0!</v>
      </c>
      <c r="AB173" s="187" t="e">
        <f t="shared" si="43"/>
        <v>#DIV/0!</v>
      </c>
      <c r="AC173" s="187" t="e">
        <f t="shared" si="43"/>
        <v>#DIV/0!</v>
      </c>
      <c r="AD173" s="187" t="e">
        <f t="shared" si="43"/>
        <v>#DIV/0!</v>
      </c>
      <c r="AE173" s="187" t="e">
        <f t="shared" si="43"/>
        <v>#DIV/0!</v>
      </c>
      <c r="AF173" s="187" t="e">
        <f t="shared" si="43"/>
        <v>#DIV/0!</v>
      </c>
      <c r="AG173" s="187" t="e">
        <f t="shared" si="43"/>
        <v>#DIV/0!</v>
      </c>
      <c r="AH173" s="187" t="e">
        <f t="shared" si="43"/>
        <v>#DIV/0!</v>
      </c>
      <c r="AI173" s="187" t="e">
        <f t="shared" si="43"/>
        <v>#DIV/0!</v>
      </c>
      <c r="AJ173" s="187" t="e">
        <f t="shared" si="43"/>
        <v>#DIV/0!</v>
      </c>
      <c r="AK173" s="187" t="e">
        <f t="shared" si="43"/>
        <v>#DIV/0!</v>
      </c>
      <c r="AL173" s="187" t="e">
        <f t="shared" si="43"/>
        <v>#DIV/0!</v>
      </c>
      <c r="AM173" s="187" t="e">
        <f t="shared" si="43"/>
        <v>#DIV/0!</v>
      </c>
      <c r="AN173" s="187" t="e">
        <f t="shared" si="43"/>
        <v>#DIV/0!</v>
      </c>
    </row>
    <row r="174" spans="2:40" x14ac:dyDescent="0.15">
      <c r="B174" s="304"/>
      <c r="C174" s="142" t="s">
        <v>1038</v>
      </c>
      <c r="D174" s="107">
        <f>SUMIFS('caseload data'!E:E,'caseload data'!$D:$D,"PSO",'caseload data'!$A:$A,"NPS North West Region",'caseload data'!$B:$B,"custody")</f>
        <v>0</v>
      </c>
      <c r="E174" s="107">
        <f>SUMIFS('caseload data'!F:F,'caseload data'!$D:$D,"PSO",'caseload data'!$A:$A,"NPS North West Region",'caseload data'!$B:$B,"custody")</f>
        <v>0</v>
      </c>
      <c r="F174" s="107">
        <f>SUMIFS('caseload data'!G:G,'caseload data'!$D:$D,"PSO",'caseload data'!$A:$A,"NPS North West Region",'caseload data'!$B:$B,"custody")</f>
        <v>0</v>
      </c>
      <c r="G174" s="107">
        <f>SUMIFS('caseload data'!H:H,'caseload data'!$D:$D,"PSO",'caseload data'!$A:$A,"NPS North West Region",'caseload data'!$B:$B,"custody")</f>
        <v>0</v>
      </c>
      <c r="H174" s="107">
        <f>SUMIFS('caseload data'!I:I,'caseload data'!$D:$D,"PSO",'caseload data'!$A:$A,"NPS North West Region",'caseload data'!$B:$B,"custody")</f>
        <v>0</v>
      </c>
      <c r="I174" s="107">
        <f>SUMIFS('caseload data'!J:J,'caseload data'!$D:$D,"PSO",'caseload data'!$A:$A,"NPS North West Region",'caseload data'!$B:$B,"custody")</f>
        <v>0</v>
      </c>
      <c r="J174" s="107">
        <f>SUMIFS('caseload data'!K:K,'caseload data'!$D:$D,"PSO",'caseload data'!$A:$A,"NPS North West Region",'caseload data'!$B:$B,"custody")</f>
        <v>0</v>
      </c>
      <c r="K174" s="107">
        <f>SUMIFS('caseload data'!L:L,'caseload data'!$D:$D,"PSO",'caseload data'!$A:$A,"NPS North West Region",'caseload data'!$B:$B,"custody")</f>
        <v>0</v>
      </c>
      <c r="L174" s="107">
        <f>SUMIFS('caseload data'!M:M,'caseload data'!$D:$D,"PSO",'caseload data'!$A:$A,"NPS North West Region",'caseload data'!$B:$B,"custody")</f>
        <v>0</v>
      </c>
      <c r="M174" s="107">
        <f>SUMIFS('caseload data'!N:N,'caseload data'!$D:$D,"PSO",'caseload data'!$A:$A,"NPS North West Region",'caseload data'!$B:$B,"custody")</f>
        <v>0</v>
      </c>
      <c r="N174" s="107">
        <f>SUMIFS('caseload data'!O:O,'caseload data'!$D:$D,"PSO",'caseload data'!$A:$A,"NPS North West Region",'caseload data'!$B:$B,"custody")</f>
        <v>0</v>
      </c>
      <c r="O174" s="107">
        <f>SUMIFS('caseload data'!P:P,'caseload data'!$D:$D,"PSO",'caseload data'!$A:$A,"NPS North West Region",'caseload data'!$B:$B,"custody")</f>
        <v>0</v>
      </c>
      <c r="P174" s="107">
        <f>SUMIFS('caseload data'!Q:Q,'caseload data'!$D:$D,"PSO",'caseload data'!$A:$A,"NPS North West Region",'caseload data'!$B:$B,"custody")</f>
        <v>0</v>
      </c>
      <c r="Q174" s="107">
        <f>SUMIFS('caseload data'!R:R,'caseload data'!$D:$D,"PSO",'caseload data'!$A:$A,"NPS North West Region",'caseload data'!$B:$B,"custody")</f>
        <v>0</v>
      </c>
      <c r="R174" s="107">
        <f>SUMIFS('caseload data'!S:S,'caseload data'!$D:$D,"PSO",'caseload data'!$A:$A,"NPS North West Region",'caseload data'!$B:$B,"custody")</f>
        <v>0</v>
      </c>
      <c r="S174" s="107">
        <f>SUMIFS('caseload data'!T:T,'caseload data'!$D:$D,"PSO",'caseload data'!$A:$A,"NPS North West Region",'caseload data'!$B:$B,"custody")</f>
        <v>0</v>
      </c>
      <c r="T174" s="107">
        <f>SUMIFS('caseload data'!V:V,'caseload data'!D:D,"PSO",'caseload data'!A:A,"NPS North West Region",'caseload data'!B:B,"custody")</f>
        <v>0</v>
      </c>
      <c r="U174" s="76"/>
      <c r="V174" s="76"/>
      <c r="W174" s="304"/>
      <c r="X174" s="142" t="s">
        <v>1038</v>
      </c>
      <c r="Y174" s="187" t="e">
        <f>SUM(D174)/SUM(D$173:D$176)</f>
        <v>#DIV/0!</v>
      </c>
      <c r="Z174" s="187" t="e">
        <f t="shared" si="43"/>
        <v>#DIV/0!</v>
      </c>
      <c r="AA174" s="187" t="e">
        <f t="shared" si="43"/>
        <v>#DIV/0!</v>
      </c>
      <c r="AB174" s="187" t="e">
        <f t="shared" si="43"/>
        <v>#DIV/0!</v>
      </c>
      <c r="AC174" s="187" t="e">
        <f t="shared" si="43"/>
        <v>#DIV/0!</v>
      </c>
      <c r="AD174" s="187" t="e">
        <f t="shared" si="43"/>
        <v>#DIV/0!</v>
      </c>
      <c r="AE174" s="187" t="e">
        <f t="shared" si="43"/>
        <v>#DIV/0!</v>
      </c>
      <c r="AF174" s="187" t="e">
        <f t="shared" si="43"/>
        <v>#DIV/0!</v>
      </c>
      <c r="AG174" s="187" t="e">
        <f t="shared" si="43"/>
        <v>#DIV/0!</v>
      </c>
      <c r="AH174" s="187" t="e">
        <f t="shared" si="43"/>
        <v>#DIV/0!</v>
      </c>
      <c r="AI174" s="187" t="e">
        <f t="shared" si="43"/>
        <v>#DIV/0!</v>
      </c>
      <c r="AJ174" s="187" t="e">
        <f t="shared" si="43"/>
        <v>#DIV/0!</v>
      </c>
      <c r="AK174" s="187" t="e">
        <f t="shared" si="43"/>
        <v>#DIV/0!</v>
      </c>
      <c r="AL174" s="187" t="e">
        <f t="shared" si="43"/>
        <v>#DIV/0!</v>
      </c>
      <c r="AM174" s="187" t="e">
        <f t="shared" si="43"/>
        <v>#DIV/0!</v>
      </c>
      <c r="AN174" s="187" t="e">
        <f t="shared" si="43"/>
        <v>#DIV/0!</v>
      </c>
    </row>
    <row r="175" spans="2:40" x14ac:dyDescent="0.15">
      <c r="B175" s="304"/>
      <c r="C175" s="142" t="s">
        <v>1039</v>
      </c>
      <c r="D175" s="107">
        <f>SUMIFS('caseload data'!E:E,'caseload data'!$D:$D,"TPO",'caseload data'!$A:$A,"NPS North West Region",'caseload data'!$B:$B,"custody")</f>
        <v>0</v>
      </c>
      <c r="E175" s="107">
        <f>SUMIFS('caseload data'!F:F,'caseload data'!$D:$D,"TPO",'caseload data'!$A:$A,"NPS North West Region",'caseload data'!$B:$B,"custody")</f>
        <v>0</v>
      </c>
      <c r="F175" s="107">
        <f>SUMIFS('caseload data'!G:G,'caseload data'!$D:$D,"TPO",'caseload data'!$A:$A,"NPS North West Region",'caseload data'!$B:$B,"custody")</f>
        <v>0</v>
      </c>
      <c r="G175" s="107">
        <f>SUMIFS('caseload data'!H:H,'caseload data'!$D:$D,"TPO",'caseload data'!$A:$A,"NPS North West Region",'caseload data'!$B:$B,"custody")</f>
        <v>0</v>
      </c>
      <c r="H175" s="107">
        <f>SUMIFS('caseload data'!I:I,'caseload data'!$D:$D,"TPO",'caseload data'!$A:$A,"NPS North West Region",'caseload data'!$B:$B,"custody")</f>
        <v>0</v>
      </c>
      <c r="I175" s="107">
        <f>SUMIFS('caseload data'!J:J,'caseload data'!$D:$D,"TPO",'caseload data'!$A:$A,"NPS North West Region",'caseload data'!$B:$B,"custody")</f>
        <v>0</v>
      </c>
      <c r="J175" s="107">
        <f>SUMIFS('caseload data'!K:K,'caseload data'!$D:$D,"TPO",'caseload data'!$A:$A,"NPS North West Region",'caseload data'!$B:$B,"custody")</f>
        <v>0</v>
      </c>
      <c r="K175" s="107">
        <f>SUMIFS('caseload data'!L:L,'caseload data'!$D:$D,"TPO",'caseload data'!$A:$A,"NPS North West Region",'caseload data'!$B:$B,"custody")</f>
        <v>0</v>
      </c>
      <c r="L175" s="107">
        <f>SUMIFS('caseload data'!M:M,'caseload data'!$D:$D,"TPO",'caseload data'!$A:$A,"NPS North West Region",'caseload data'!$B:$B,"custody")</f>
        <v>0</v>
      </c>
      <c r="M175" s="107">
        <f>SUMIFS('caseload data'!N:N,'caseload data'!$D:$D,"TPO",'caseload data'!$A:$A,"NPS North West Region",'caseload data'!$B:$B,"custody")</f>
        <v>0</v>
      </c>
      <c r="N175" s="107">
        <f>SUMIFS('caseload data'!O:O,'caseload data'!$D:$D,"TPO",'caseload data'!$A:$A,"NPS North West Region",'caseload data'!$B:$B,"custody")</f>
        <v>0</v>
      </c>
      <c r="O175" s="107">
        <f>SUMIFS('caseload data'!P:P,'caseload data'!$D:$D,"TPO",'caseload data'!$A:$A,"NPS North West Region",'caseload data'!$B:$B,"custody")</f>
        <v>0</v>
      </c>
      <c r="P175" s="107">
        <f>SUMIFS('caseload data'!Q:Q,'caseload data'!$D:$D,"TPO",'caseload data'!$A:$A,"NPS North West Region",'caseload data'!$B:$B,"custody")</f>
        <v>0</v>
      </c>
      <c r="Q175" s="107">
        <f>SUMIFS('caseload data'!R:R,'caseload data'!$D:$D,"TPO",'caseload data'!$A:$A,"NPS North West Region",'caseload data'!$B:$B,"custody")</f>
        <v>0</v>
      </c>
      <c r="R175" s="107">
        <f>SUMIFS('caseload data'!S:S,'caseload data'!$D:$D,"TPO",'caseload data'!$A:$A,"NPS North West Region",'caseload data'!$B:$B,"custody")</f>
        <v>0</v>
      </c>
      <c r="S175" s="107">
        <f>SUMIFS('caseload data'!T:T,'caseload data'!$D:$D,"TPO",'caseload data'!$A:$A,"NPS North West Region",'caseload data'!$B:$B,"custody")</f>
        <v>0</v>
      </c>
      <c r="T175" s="107">
        <f>SUMIFS('caseload data'!V:V,'caseload data'!D:D,"TPO",'caseload data'!A:A,"NPS North West Region",'caseload data'!B:B,"custody")</f>
        <v>0</v>
      </c>
      <c r="U175" s="76"/>
      <c r="V175" s="76"/>
      <c r="W175" s="304"/>
      <c r="X175" s="142" t="s">
        <v>1039</v>
      </c>
      <c r="Y175" s="187" t="e">
        <f>SUM(D175)/SUM(D$173:D$176)</f>
        <v>#DIV/0!</v>
      </c>
      <c r="Z175" s="187" t="e">
        <f t="shared" si="43"/>
        <v>#DIV/0!</v>
      </c>
      <c r="AA175" s="187" t="e">
        <f t="shared" si="43"/>
        <v>#DIV/0!</v>
      </c>
      <c r="AB175" s="187" t="e">
        <f t="shared" si="43"/>
        <v>#DIV/0!</v>
      </c>
      <c r="AC175" s="187" t="e">
        <f t="shared" si="43"/>
        <v>#DIV/0!</v>
      </c>
      <c r="AD175" s="187" t="e">
        <f t="shared" si="43"/>
        <v>#DIV/0!</v>
      </c>
      <c r="AE175" s="187" t="e">
        <f t="shared" si="43"/>
        <v>#DIV/0!</v>
      </c>
      <c r="AF175" s="187" t="e">
        <f t="shared" si="43"/>
        <v>#DIV/0!</v>
      </c>
      <c r="AG175" s="187" t="e">
        <f t="shared" si="43"/>
        <v>#DIV/0!</v>
      </c>
      <c r="AH175" s="187" t="e">
        <f t="shared" si="43"/>
        <v>#DIV/0!</v>
      </c>
      <c r="AI175" s="187" t="e">
        <f t="shared" si="43"/>
        <v>#DIV/0!</v>
      </c>
      <c r="AJ175" s="187" t="e">
        <f t="shared" si="43"/>
        <v>#DIV/0!</v>
      </c>
      <c r="AK175" s="187" t="e">
        <f t="shared" si="43"/>
        <v>#DIV/0!</v>
      </c>
      <c r="AL175" s="187" t="e">
        <f t="shared" si="43"/>
        <v>#DIV/0!</v>
      </c>
      <c r="AM175" s="187" t="e">
        <f t="shared" si="43"/>
        <v>#DIV/0!</v>
      </c>
      <c r="AN175" s="187" t="e">
        <f t="shared" si="43"/>
        <v>#DIV/0!</v>
      </c>
    </row>
    <row r="176" spans="2:40" x14ac:dyDescent="0.15">
      <c r="B176" s="309"/>
      <c r="C176" s="143" t="s">
        <v>1040</v>
      </c>
      <c r="D176" s="107">
        <f>SUMIFS('caseload data'!E:E,'caseload data'!$D:$D,"SPO",'caseload data'!$A:$A,"NPS North West Region",'caseload data'!$B:$B,"custody")</f>
        <v>0</v>
      </c>
      <c r="E176" s="107">
        <f>SUMIFS('caseload data'!F:F,'caseload data'!$D:$D,"SPO",'caseload data'!$A:$A,"NPS North West Region",'caseload data'!$B:$B,"custody")</f>
        <v>0</v>
      </c>
      <c r="F176" s="107">
        <f>SUMIFS('caseload data'!G:G,'caseload data'!$D:$D,"SPO",'caseload data'!$A:$A,"NPS North West Region",'caseload data'!$B:$B,"custody")</f>
        <v>0</v>
      </c>
      <c r="G176" s="107">
        <f>SUMIFS('caseload data'!H:H,'caseload data'!$D:$D,"SPO",'caseload data'!$A:$A,"NPS North West Region",'caseload data'!$B:$B,"custody")</f>
        <v>0</v>
      </c>
      <c r="H176" s="107">
        <f>SUMIFS('caseload data'!I:I,'caseload data'!$D:$D,"SPO",'caseload data'!$A:$A,"NPS North West Region",'caseload data'!$B:$B,"custody")</f>
        <v>0</v>
      </c>
      <c r="I176" s="107">
        <f>SUMIFS('caseload data'!J:J,'caseload data'!$D:$D,"SPO",'caseload data'!$A:$A,"NPS North West Region",'caseload data'!$B:$B,"custody")</f>
        <v>0</v>
      </c>
      <c r="J176" s="107">
        <f>SUMIFS('caseload data'!K:K,'caseload data'!$D:$D,"SPO",'caseload data'!$A:$A,"NPS North West Region",'caseload data'!$B:$B,"custody")</f>
        <v>0</v>
      </c>
      <c r="K176" s="107">
        <f>SUMIFS('caseload data'!L:L,'caseload data'!$D:$D,"SPO",'caseload data'!$A:$A,"NPS North West Region",'caseload data'!$B:$B,"custody")</f>
        <v>0</v>
      </c>
      <c r="L176" s="107">
        <f>SUMIFS('caseload data'!M:M,'caseload data'!$D:$D,"SPO",'caseload data'!$A:$A,"NPS North West Region",'caseload data'!$B:$B,"custody")</f>
        <v>0</v>
      </c>
      <c r="M176" s="107">
        <f>SUMIFS('caseload data'!N:N,'caseload data'!$D:$D,"SPO",'caseload data'!$A:$A,"NPS North West Region",'caseload data'!$B:$B,"custody")</f>
        <v>0</v>
      </c>
      <c r="N176" s="107">
        <f>SUMIFS('caseload data'!O:O,'caseload data'!$D:$D,"SPO",'caseload data'!$A:$A,"NPS North West Region",'caseload data'!$B:$B,"custody")</f>
        <v>0</v>
      </c>
      <c r="O176" s="107">
        <f>SUMIFS('caseload data'!P:P,'caseload data'!$D:$D,"SPO",'caseload data'!$A:$A,"NPS North West Region",'caseload data'!$B:$B,"custody")</f>
        <v>0</v>
      </c>
      <c r="P176" s="107">
        <f>SUMIFS('caseload data'!Q:Q,'caseload data'!$D:$D,"SPO",'caseload data'!$A:$A,"NPS North West Region",'caseload data'!$B:$B,"custody")</f>
        <v>0</v>
      </c>
      <c r="Q176" s="107">
        <f>SUMIFS('caseload data'!R:R,'caseload data'!$D:$D,"SPO",'caseload data'!$A:$A,"NPS North West Region",'caseload data'!$B:$B,"custody")</f>
        <v>0</v>
      </c>
      <c r="R176" s="107">
        <f>SUMIFS('caseload data'!S:S,'caseload data'!$D:$D,"SPO",'caseload data'!$A:$A,"NPS North West Region",'caseload data'!$B:$B,"custody")</f>
        <v>0</v>
      </c>
      <c r="S176" s="107">
        <f>SUMIFS('caseload data'!T:T,'caseload data'!$D:$D,"SPO",'caseload data'!$A:$A,"NPS North West Region",'caseload data'!$B:$B,"custody")</f>
        <v>0</v>
      </c>
      <c r="T176" s="107">
        <f>SUMIFS('caseload data'!V:V,'caseload data'!$D:$D,"SPO",'caseload data'!$A:$A,"NPS North West Region",'caseload data'!$B:$B,"custody")</f>
        <v>0</v>
      </c>
      <c r="U176" s="76"/>
      <c r="V176" s="76"/>
      <c r="W176" s="309"/>
      <c r="X176" s="143" t="s">
        <v>1040</v>
      </c>
      <c r="Y176" s="187" t="e">
        <f>SUM(D176)/SUM(D$173:D$176)</f>
        <v>#DIV/0!</v>
      </c>
      <c r="Z176" s="187" t="e">
        <f t="shared" si="43"/>
        <v>#DIV/0!</v>
      </c>
      <c r="AA176" s="187" t="e">
        <f t="shared" si="43"/>
        <v>#DIV/0!</v>
      </c>
      <c r="AB176" s="187" t="e">
        <f t="shared" si="43"/>
        <v>#DIV/0!</v>
      </c>
      <c r="AC176" s="187" t="e">
        <f t="shared" si="43"/>
        <v>#DIV/0!</v>
      </c>
      <c r="AD176" s="187" t="e">
        <f t="shared" si="43"/>
        <v>#DIV/0!</v>
      </c>
      <c r="AE176" s="187" t="e">
        <f t="shared" si="43"/>
        <v>#DIV/0!</v>
      </c>
      <c r="AF176" s="187" t="e">
        <f t="shared" si="43"/>
        <v>#DIV/0!</v>
      </c>
      <c r="AG176" s="187" t="e">
        <f t="shared" si="43"/>
        <v>#DIV/0!</v>
      </c>
      <c r="AH176" s="187" t="e">
        <f t="shared" si="43"/>
        <v>#DIV/0!</v>
      </c>
      <c r="AI176" s="187" t="e">
        <f t="shared" si="43"/>
        <v>#DIV/0!</v>
      </c>
      <c r="AJ176" s="187" t="e">
        <f t="shared" si="43"/>
        <v>#DIV/0!</v>
      </c>
      <c r="AK176" s="187" t="e">
        <f t="shared" si="43"/>
        <v>#DIV/0!</v>
      </c>
      <c r="AL176" s="187" t="e">
        <f t="shared" si="43"/>
        <v>#DIV/0!</v>
      </c>
      <c r="AM176" s="187" t="e">
        <f t="shared" si="43"/>
        <v>#DIV/0!</v>
      </c>
      <c r="AN176" s="187" t="e">
        <f t="shared" si="43"/>
        <v>#DIV/0!</v>
      </c>
    </row>
    <row r="177" spans="2:40" x14ac:dyDescent="0.15">
      <c r="B177" s="303" t="s">
        <v>25</v>
      </c>
      <c r="C177" s="141" t="s">
        <v>1037</v>
      </c>
      <c r="D177" s="107">
        <f>SUMIFS('caseload data'!E:E,'caseload data'!$D:$D,"PO",'caseload data'!$A:$A,'national caseload'!$B$177:$B$179,'caseload data'!$B:$B,"custody")</f>
        <v>0</v>
      </c>
      <c r="E177" s="107">
        <f>SUMIFS('caseload data'!F:F,'caseload data'!$D:$D,"PO",'caseload data'!$A:$A,'national caseload'!$B$177:$B$179,'caseload data'!$B:$B,"custody")</f>
        <v>0</v>
      </c>
      <c r="F177" s="107">
        <f>SUMIFS('caseload data'!G:G,'caseload data'!$D:$D,"PO",'caseload data'!$A:$A,'national caseload'!$B$177:$B$179,'caseload data'!$B:$B,"custody")</f>
        <v>0</v>
      </c>
      <c r="G177" s="107">
        <f>SUMIFS('caseload data'!H:H,'caseload data'!$D:$D,"PO",'caseload data'!$A:$A,'national caseload'!$B$177:$B$179,'caseload data'!$B:$B,"custody")</f>
        <v>0</v>
      </c>
      <c r="H177" s="107">
        <f>SUMIFS('caseload data'!I:I,'caseload data'!$D:$D,"PO",'caseload data'!$A:$A,'national caseload'!$B$177:$B$179,'caseload data'!$B:$B,"custody")</f>
        <v>0</v>
      </c>
      <c r="I177" s="107">
        <f>SUMIFS('caseload data'!J:J,'caseload data'!$D:$D,"PO",'caseload data'!$A:$A,'national caseload'!$B$177:$B$179,'caseload data'!$B:$B,"custody")</f>
        <v>0</v>
      </c>
      <c r="J177" s="107">
        <f>SUMIFS('caseload data'!K:K,'caseload data'!$D:$D,"PO",'caseload data'!$A:$A,'national caseload'!$B$177:$B$179,'caseload data'!$B:$B,"custody")</f>
        <v>0</v>
      </c>
      <c r="K177" s="107">
        <f>SUMIFS('caseload data'!L:L,'caseload data'!$D:$D,"PO",'caseload data'!$A:$A,'national caseload'!$B$177:$B$179,'caseload data'!$B:$B,"custody")</f>
        <v>0</v>
      </c>
      <c r="L177" s="107">
        <f>SUMIFS('caseload data'!M:M,'caseload data'!$D:$D,"PO",'caseload data'!$A:$A,'national caseload'!$B$177:$B$179,'caseload data'!$B:$B,"custody")</f>
        <v>0</v>
      </c>
      <c r="M177" s="107">
        <f>SUMIFS('caseload data'!N:N,'caseload data'!$D:$D,"PO",'caseload data'!$A:$A,'national caseload'!$B$177:$B$179,'caseload data'!$B:$B,"custody")</f>
        <v>0</v>
      </c>
      <c r="N177" s="107">
        <f>SUMIFS('caseload data'!O:O,'caseload data'!$D:$D,"PO",'caseload data'!$A:$A,'national caseload'!$B$177:$B$179,'caseload data'!$B:$B,"custody")</f>
        <v>0</v>
      </c>
      <c r="O177" s="107">
        <f>SUMIFS('caseload data'!P:P,'caseload data'!$D:$D,"PO",'caseload data'!$A:$A,'national caseload'!$B$177:$B$179,'caseload data'!$B:$B,"custody")</f>
        <v>0</v>
      </c>
      <c r="P177" s="107">
        <f>SUMIFS('caseload data'!Q:Q,'caseload data'!$D:$D,"PO",'caseload data'!$A:$A,'national caseload'!$B$177:$B$179,'caseload data'!$B:$B,"custody")</f>
        <v>0</v>
      </c>
      <c r="Q177" s="107">
        <f>SUMIFS('caseload data'!R:R,'caseload data'!$D:$D,"PO",'caseload data'!$A:$A,'national caseload'!$B$177:$B$179,'caseload data'!$B:$B,"custody")</f>
        <v>0</v>
      </c>
      <c r="R177" s="107">
        <f>SUMIFS('caseload data'!S:S,'caseload data'!$D:$D,"PO",'caseload data'!$A:$A,'national caseload'!$B$177:$B$179,'caseload data'!$B:$B,"custody")</f>
        <v>0</v>
      </c>
      <c r="S177" s="107">
        <f>SUMIFS('caseload data'!T:T,'caseload data'!$D:$D,"PO",'caseload data'!$A:$A,'national caseload'!$B$177:$B$179,'caseload data'!$B:$B,"custody")</f>
        <v>0</v>
      </c>
      <c r="T177" s="107">
        <f>SUMIFS('caseload data'!V:V,'caseload data'!D:D,"PO",'caseload data'!A:A,'national caseload'!B177:B179,'caseload data'!B:B,"custody")</f>
        <v>0</v>
      </c>
      <c r="U177" s="76"/>
      <c r="V177" s="76"/>
      <c r="W177" s="303" t="s">
        <v>25</v>
      </c>
      <c r="X177" s="141" t="s">
        <v>1037</v>
      </c>
      <c r="Y177" s="187" t="e">
        <f>SUM(D177)/SUM(D$177:D$179)</f>
        <v>#DIV/0!</v>
      </c>
      <c r="Z177" s="187" t="e">
        <f t="shared" ref="Z177:AN180" si="44">SUM(E177)/SUM(E$177:E$179)</f>
        <v>#DIV/0!</v>
      </c>
      <c r="AA177" s="187" t="e">
        <f t="shared" si="44"/>
        <v>#DIV/0!</v>
      </c>
      <c r="AB177" s="187" t="e">
        <f t="shared" si="44"/>
        <v>#DIV/0!</v>
      </c>
      <c r="AC177" s="187" t="e">
        <f t="shared" si="44"/>
        <v>#DIV/0!</v>
      </c>
      <c r="AD177" s="187" t="e">
        <f t="shared" si="44"/>
        <v>#DIV/0!</v>
      </c>
      <c r="AE177" s="187" t="e">
        <f t="shared" si="44"/>
        <v>#DIV/0!</v>
      </c>
      <c r="AF177" s="187" t="e">
        <f t="shared" si="44"/>
        <v>#DIV/0!</v>
      </c>
      <c r="AG177" s="187" t="e">
        <f t="shared" si="44"/>
        <v>#DIV/0!</v>
      </c>
      <c r="AH177" s="187" t="e">
        <f t="shared" si="44"/>
        <v>#DIV/0!</v>
      </c>
      <c r="AI177" s="187" t="e">
        <f t="shared" si="44"/>
        <v>#DIV/0!</v>
      </c>
      <c r="AJ177" s="187" t="e">
        <f t="shared" si="44"/>
        <v>#DIV/0!</v>
      </c>
      <c r="AK177" s="187" t="e">
        <f t="shared" si="44"/>
        <v>#DIV/0!</v>
      </c>
      <c r="AL177" s="187" t="e">
        <f t="shared" si="44"/>
        <v>#DIV/0!</v>
      </c>
      <c r="AM177" s="187" t="e">
        <f t="shared" si="44"/>
        <v>#DIV/0!</v>
      </c>
      <c r="AN177" s="187" t="e">
        <f t="shared" si="44"/>
        <v>#DIV/0!</v>
      </c>
    </row>
    <row r="178" spans="2:40" x14ac:dyDescent="0.15">
      <c r="B178" s="304"/>
      <c r="C178" s="142" t="s">
        <v>1038</v>
      </c>
      <c r="D178" s="107">
        <f>SUMIFS('caseload data'!E:E,'caseload data'!$D:$D,"PSO",'caseload data'!$A:$A,"South Central",'caseload data'!$B:$B,"custody")</f>
        <v>0</v>
      </c>
      <c r="E178" s="107">
        <f>SUMIFS('caseload data'!F:F,'caseload data'!$D:$D,"PSO",'caseload data'!$A:$A,"South Central",'caseload data'!$B:$B,"custody")</f>
        <v>0</v>
      </c>
      <c r="F178" s="107">
        <f>SUMIFS('caseload data'!G:G,'caseload data'!$D:$D,"PSO",'caseload data'!$A:$A,"South Central",'caseload data'!$B:$B,"custody")</f>
        <v>0</v>
      </c>
      <c r="G178" s="107">
        <f>SUMIFS('caseload data'!H:H,'caseload data'!$D:$D,"PSO",'caseload data'!$A:$A,"South Central",'caseload data'!$B:$B,"custody")</f>
        <v>0</v>
      </c>
      <c r="H178" s="107">
        <f>SUMIFS('caseload data'!I:I,'caseload data'!$D:$D,"PSO",'caseload data'!$A:$A,"South Central",'caseload data'!$B:$B,"custody")</f>
        <v>0</v>
      </c>
      <c r="I178" s="107">
        <f>SUMIFS('caseload data'!J:J,'caseload data'!$D:$D,"PSO",'caseload data'!$A:$A,"South Central",'caseload data'!$B:$B,"custody")</f>
        <v>0</v>
      </c>
      <c r="J178" s="107">
        <f>SUMIFS('caseload data'!K:K,'caseload data'!$D:$D,"PSO",'caseload data'!$A:$A,"South Central",'caseload data'!$B:$B,"custody")</f>
        <v>0</v>
      </c>
      <c r="K178" s="107">
        <f>SUMIFS('caseload data'!L:L,'caseload data'!$D:$D,"PSO",'caseload data'!$A:$A,"South Central",'caseload data'!$B:$B,"custody")</f>
        <v>0</v>
      </c>
      <c r="L178" s="107">
        <f>SUMIFS('caseload data'!M:M,'caseload data'!$D:$D,"PSO",'caseload data'!$A:$A,"South Central",'caseload data'!$B:$B,"custody")</f>
        <v>0</v>
      </c>
      <c r="M178" s="107">
        <f>SUMIFS('caseload data'!N:N,'caseload data'!$D:$D,"PSO",'caseload data'!$A:$A,"South Central",'caseload data'!$B:$B,"custody")</f>
        <v>0</v>
      </c>
      <c r="N178" s="107">
        <f>SUMIFS('caseload data'!O:O,'caseload data'!$D:$D,"PSO",'caseload data'!$A:$A,"South Central",'caseload data'!$B:$B,"custody")</f>
        <v>0</v>
      </c>
      <c r="O178" s="107">
        <f>SUMIFS('caseload data'!P:P,'caseload data'!$D:$D,"PSO",'caseload data'!$A:$A,"South Central",'caseload data'!$B:$B,"custody")</f>
        <v>0</v>
      </c>
      <c r="P178" s="107">
        <f>SUMIFS('caseload data'!Q:Q,'caseload data'!$D:$D,"PSO",'caseload data'!$A:$A,"South Central",'caseload data'!$B:$B,"custody")</f>
        <v>0</v>
      </c>
      <c r="Q178" s="107">
        <f>SUMIFS('caseload data'!R:R,'caseload data'!$D:$D,"PSO",'caseload data'!$A:$A,"South Central",'caseload data'!$B:$B,"custody")</f>
        <v>0</v>
      </c>
      <c r="R178" s="107">
        <f>SUMIFS('caseload data'!S:S,'caseload data'!$D:$D,"PSO",'caseload data'!$A:$A,"South Central",'caseload data'!$B:$B,"custody")</f>
        <v>0</v>
      </c>
      <c r="S178" s="107">
        <f>SUMIFS('caseload data'!T:T,'caseload data'!$D:$D,"PSO",'caseload data'!$A:$A,"South Central",'caseload data'!$B:$B,"custody")</f>
        <v>0</v>
      </c>
      <c r="T178" s="107">
        <f>SUMIFS('caseload data'!V:V,'caseload data'!D:D,"PSO",'caseload data'!A:A,"South Central",'caseload data'!B:B,"custody")</f>
        <v>0</v>
      </c>
      <c r="U178" s="76"/>
      <c r="V178" s="76"/>
      <c r="W178" s="304"/>
      <c r="X178" s="142" t="s">
        <v>1038</v>
      </c>
      <c r="Y178" s="187" t="e">
        <f>SUM(D178)/SUM(D$177:D$179)</f>
        <v>#DIV/0!</v>
      </c>
      <c r="Z178" s="187" t="e">
        <f t="shared" si="44"/>
        <v>#DIV/0!</v>
      </c>
      <c r="AA178" s="187" t="e">
        <f t="shared" si="44"/>
        <v>#DIV/0!</v>
      </c>
      <c r="AB178" s="187" t="e">
        <f t="shared" si="44"/>
        <v>#DIV/0!</v>
      </c>
      <c r="AC178" s="187" t="e">
        <f t="shared" si="44"/>
        <v>#DIV/0!</v>
      </c>
      <c r="AD178" s="187" t="e">
        <f t="shared" si="44"/>
        <v>#DIV/0!</v>
      </c>
      <c r="AE178" s="187" t="e">
        <f t="shared" si="44"/>
        <v>#DIV/0!</v>
      </c>
      <c r="AF178" s="187" t="e">
        <f t="shared" si="44"/>
        <v>#DIV/0!</v>
      </c>
      <c r="AG178" s="187" t="e">
        <f t="shared" si="44"/>
        <v>#DIV/0!</v>
      </c>
      <c r="AH178" s="187" t="e">
        <f t="shared" si="44"/>
        <v>#DIV/0!</v>
      </c>
      <c r="AI178" s="187" t="e">
        <f t="shared" si="44"/>
        <v>#DIV/0!</v>
      </c>
      <c r="AJ178" s="187" t="e">
        <f t="shared" si="44"/>
        <v>#DIV/0!</v>
      </c>
      <c r="AK178" s="187" t="e">
        <f t="shared" si="44"/>
        <v>#DIV/0!</v>
      </c>
      <c r="AL178" s="187" t="e">
        <f t="shared" si="44"/>
        <v>#DIV/0!</v>
      </c>
      <c r="AM178" s="187" t="e">
        <f t="shared" si="44"/>
        <v>#DIV/0!</v>
      </c>
      <c r="AN178" s="187" t="e">
        <f t="shared" si="44"/>
        <v>#DIV/0!</v>
      </c>
    </row>
    <row r="179" spans="2:40" x14ac:dyDescent="0.15">
      <c r="B179" s="304"/>
      <c r="C179" s="142" t="s">
        <v>1039</v>
      </c>
      <c r="D179" s="107">
        <f>SUMIFS('caseload data'!E:E,'caseload data'!$D:$D,"TPO",'caseload data'!$A:$A,"South Central",'caseload data'!$B:$B,"custody")</f>
        <v>0</v>
      </c>
      <c r="E179" s="107">
        <f>SUMIFS('caseload data'!F:F,'caseload data'!$D:$D,"TPO",'caseload data'!$A:$A,"South Central",'caseload data'!$B:$B,"custody")</f>
        <v>0</v>
      </c>
      <c r="F179" s="107">
        <f>SUMIFS('caseload data'!G:G,'caseload data'!$D:$D,"TPO",'caseload data'!$A:$A,"South Central",'caseload data'!$B:$B,"custody")</f>
        <v>0</v>
      </c>
      <c r="G179" s="107">
        <f>SUMIFS('caseload data'!H:H,'caseload data'!$D:$D,"TPO",'caseload data'!$A:$A,"South Central",'caseload data'!$B:$B,"custody")</f>
        <v>0</v>
      </c>
      <c r="H179" s="107">
        <f>SUMIFS('caseload data'!I:I,'caseload data'!$D:$D,"TPO",'caseload data'!$A:$A,"South Central",'caseload data'!$B:$B,"custody")</f>
        <v>0</v>
      </c>
      <c r="I179" s="107">
        <f>SUMIFS('caseload data'!J:J,'caseload data'!$D:$D,"TPO",'caseload data'!$A:$A,"South Central",'caseload data'!$B:$B,"custody")</f>
        <v>0</v>
      </c>
      <c r="J179" s="107">
        <f>SUMIFS('caseload data'!K:K,'caseload data'!$D:$D,"TPO",'caseload data'!$A:$A,"South Central",'caseload data'!$B:$B,"custody")</f>
        <v>0</v>
      </c>
      <c r="K179" s="107">
        <f>SUMIFS('caseload data'!L:L,'caseload data'!$D:$D,"TPO",'caseload data'!$A:$A,"South Central",'caseload data'!$B:$B,"custody")</f>
        <v>0</v>
      </c>
      <c r="L179" s="107">
        <f>SUMIFS('caseload data'!M:M,'caseload data'!$D:$D,"TPO",'caseload data'!$A:$A,"South Central",'caseload data'!$B:$B,"custody")</f>
        <v>0</v>
      </c>
      <c r="M179" s="107">
        <f>SUMIFS('caseload data'!N:N,'caseload data'!$D:$D,"TPO",'caseload data'!$A:$A,"South Central",'caseload data'!$B:$B,"custody")</f>
        <v>0</v>
      </c>
      <c r="N179" s="107">
        <f>SUMIFS('caseload data'!O:O,'caseload data'!$D:$D,"TPO",'caseload data'!$A:$A,"South Central",'caseload data'!$B:$B,"custody")</f>
        <v>0</v>
      </c>
      <c r="O179" s="107">
        <f>SUMIFS('caseload data'!P:P,'caseload data'!$D:$D,"TPO",'caseload data'!$A:$A,"South Central",'caseload data'!$B:$B,"custody")</f>
        <v>0</v>
      </c>
      <c r="P179" s="107">
        <f>SUMIFS('caseload data'!Q:Q,'caseload data'!$D:$D,"TPO",'caseload data'!$A:$A,"South Central",'caseload data'!$B:$B,"custody")</f>
        <v>0</v>
      </c>
      <c r="Q179" s="107">
        <f>SUMIFS('caseload data'!R:R,'caseload data'!$D:$D,"TPO",'caseload data'!$A:$A,"South Central",'caseload data'!$B:$B,"custody")</f>
        <v>0</v>
      </c>
      <c r="R179" s="107">
        <f>SUMIFS('caseload data'!S:S,'caseload data'!$D:$D,"TPO",'caseload data'!$A:$A,"South Central",'caseload data'!$B:$B,"custody")</f>
        <v>0</v>
      </c>
      <c r="S179" s="107">
        <f>SUMIFS('caseload data'!T:T,'caseload data'!$D:$D,"TPO",'caseload data'!$A:$A,"South Central",'caseload data'!$B:$B,"custody")</f>
        <v>0</v>
      </c>
      <c r="T179" s="107">
        <f>SUMIFS('caseload data'!V:V,'caseload data'!D:D,"TPO",'caseload data'!A:A,"South Central",'caseload data'!B:B,"custody")</f>
        <v>0</v>
      </c>
      <c r="U179" s="76"/>
      <c r="V179" s="76"/>
      <c r="W179" s="304"/>
      <c r="X179" s="142" t="s">
        <v>1039</v>
      </c>
      <c r="Y179" s="187" t="e">
        <f>SUM(D179)/SUM(D$177:D$179)</f>
        <v>#DIV/0!</v>
      </c>
      <c r="Z179" s="187" t="e">
        <f t="shared" si="44"/>
        <v>#DIV/0!</v>
      </c>
      <c r="AA179" s="187" t="e">
        <f t="shared" si="44"/>
        <v>#DIV/0!</v>
      </c>
      <c r="AB179" s="187" t="e">
        <f t="shared" si="44"/>
        <v>#DIV/0!</v>
      </c>
      <c r="AC179" s="187" t="e">
        <f t="shared" si="44"/>
        <v>#DIV/0!</v>
      </c>
      <c r="AD179" s="187" t="e">
        <f t="shared" si="44"/>
        <v>#DIV/0!</v>
      </c>
      <c r="AE179" s="187" t="e">
        <f t="shared" si="44"/>
        <v>#DIV/0!</v>
      </c>
      <c r="AF179" s="187" t="e">
        <f t="shared" si="44"/>
        <v>#DIV/0!</v>
      </c>
      <c r="AG179" s="187" t="e">
        <f t="shared" si="44"/>
        <v>#DIV/0!</v>
      </c>
      <c r="AH179" s="187" t="e">
        <f t="shared" si="44"/>
        <v>#DIV/0!</v>
      </c>
      <c r="AI179" s="187" t="e">
        <f t="shared" si="44"/>
        <v>#DIV/0!</v>
      </c>
      <c r="AJ179" s="187" t="e">
        <f t="shared" si="44"/>
        <v>#DIV/0!</v>
      </c>
      <c r="AK179" s="187" t="e">
        <f t="shared" si="44"/>
        <v>#DIV/0!</v>
      </c>
      <c r="AL179" s="187" t="e">
        <f t="shared" si="44"/>
        <v>#DIV/0!</v>
      </c>
      <c r="AM179" s="187" t="e">
        <f t="shared" si="44"/>
        <v>#DIV/0!</v>
      </c>
      <c r="AN179" s="187" t="e">
        <f t="shared" si="44"/>
        <v>#DIV/0!</v>
      </c>
    </row>
    <row r="180" spans="2:40" x14ac:dyDescent="0.15">
      <c r="B180" s="309"/>
      <c r="C180" s="143" t="s">
        <v>1040</v>
      </c>
      <c r="D180" s="107">
        <f>SUMIFS('caseload data'!E:E,'caseload data'!$D:$D,"SPO",'caseload data'!$A:$A,"South Central",'caseload data'!$B:$B,"custody")</f>
        <v>0</v>
      </c>
      <c r="E180" s="107">
        <f>SUMIFS('caseload data'!F:F,'caseload data'!$D:$D,"SPO",'caseload data'!$A:$A,"South Central",'caseload data'!$B:$B,"custody")</f>
        <v>0</v>
      </c>
      <c r="F180" s="107">
        <f>SUMIFS('caseload data'!G:G,'caseload data'!$D:$D,"SPO",'caseload data'!$A:$A,"South Central",'caseload data'!$B:$B,"custody")</f>
        <v>0</v>
      </c>
      <c r="G180" s="107">
        <f>SUMIFS('caseload data'!H:H,'caseload data'!$D:$D,"SPO",'caseload data'!$A:$A,"South Central",'caseload data'!$B:$B,"custody")</f>
        <v>0</v>
      </c>
      <c r="H180" s="107">
        <f>SUMIFS('caseload data'!I:I,'caseload data'!$D:$D,"SPO",'caseload data'!$A:$A,"South Central",'caseload data'!$B:$B,"custody")</f>
        <v>0</v>
      </c>
      <c r="I180" s="107">
        <f>SUMIFS('caseload data'!J:J,'caseload data'!$D:$D,"SPO",'caseload data'!$A:$A,"South Central",'caseload data'!$B:$B,"custody")</f>
        <v>0</v>
      </c>
      <c r="J180" s="107">
        <f>SUMIFS('caseload data'!K:K,'caseload data'!$D:$D,"SPO",'caseload data'!$A:$A,"South Central",'caseload data'!$B:$B,"custody")</f>
        <v>0</v>
      </c>
      <c r="K180" s="107">
        <f>SUMIFS('caseload data'!L:L,'caseload data'!$D:$D,"SPO",'caseload data'!$A:$A,"South Central",'caseload data'!$B:$B,"custody")</f>
        <v>0</v>
      </c>
      <c r="L180" s="107">
        <f>SUMIFS('caseload data'!M:M,'caseload data'!$D:$D,"SPO",'caseload data'!$A:$A,"South Central",'caseload data'!$B:$B,"custody")</f>
        <v>0</v>
      </c>
      <c r="M180" s="107">
        <f>SUMIFS('caseload data'!N:N,'caseload data'!$D:$D,"SPO",'caseload data'!$A:$A,"South Central",'caseload data'!$B:$B,"custody")</f>
        <v>0</v>
      </c>
      <c r="N180" s="107">
        <f>SUMIFS('caseload data'!O:O,'caseload data'!$D:$D,"SPO",'caseload data'!$A:$A,"South Central",'caseload data'!$B:$B,"custody")</f>
        <v>0</v>
      </c>
      <c r="O180" s="107">
        <f>SUMIFS('caseload data'!P:P,'caseload data'!$D:$D,"SPO",'caseload data'!$A:$A,"South Central",'caseload data'!$B:$B,"custody")</f>
        <v>0</v>
      </c>
      <c r="P180" s="107">
        <f>SUMIFS('caseload data'!Q:Q,'caseload data'!$D:$D,"SPO",'caseload data'!$A:$A,"South Central",'caseload data'!$B:$B,"custody")</f>
        <v>0</v>
      </c>
      <c r="Q180" s="107">
        <f>SUMIFS('caseload data'!R:R,'caseload data'!$D:$D,"SPO",'caseload data'!$A:$A,"South Central",'caseload data'!$B:$B,"custody")</f>
        <v>0</v>
      </c>
      <c r="R180" s="107">
        <f>SUMIFS('caseload data'!S:S,'caseload data'!$D:$D,"SPO",'caseload data'!$A:$A,"South Central",'caseload data'!$B:$B,"custody")</f>
        <v>0</v>
      </c>
      <c r="S180" s="107">
        <f>SUMIFS('caseload data'!T:T,'caseload data'!$D:$D,"SPO",'caseload data'!$A:$A,"South Central",'caseload data'!$B:$B,"custody")</f>
        <v>0</v>
      </c>
      <c r="T180" s="107">
        <f>SUMIFS('caseload data'!V:V,'caseload data'!$D:$D,"SPO",'caseload data'!$A:$A,"South Central",'caseload data'!$B:$B,"custody")</f>
        <v>0</v>
      </c>
      <c r="U180" s="76"/>
      <c r="V180" s="76"/>
      <c r="W180" s="309"/>
      <c r="X180" s="143" t="s">
        <v>1040</v>
      </c>
      <c r="Y180" s="187" t="e">
        <f>SUM(D180)/SUM(D$177:D$179)</f>
        <v>#DIV/0!</v>
      </c>
      <c r="Z180" s="187" t="e">
        <f t="shared" si="44"/>
        <v>#DIV/0!</v>
      </c>
      <c r="AA180" s="187" t="e">
        <f t="shared" si="44"/>
        <v>#DIV/0!</v>
      </c>
      <c r="AB180" s="187" t="e">
        <f t="shared" si="44"/>
        <v>#DIV/0!</v>
      </c>
      <c r="AC180" s="187" t="e">
        <f t="shared" si="44"/>
        <v>#DIV/0!</v>
      </c>
      <c r="AD180" s="187" t="e">
        <f t="shared" si="44"/>
        <v>#DIV/0!</v>
      </c>
      <c r="AE180" s="187" t="e">
        <f t="shared" si="44"/>
        <v>#DIV/0!</v>
      </c>
      <c r="AF180" s="187" t="e">
        <f t="shared" si="44"/>
        <v>#DIV/0!</v>
      </c>
      <c r="AG180" s="187" t="e">
        <f t="shared" si="44"/>
        <v>#DIV/0!</v>
      </c>
      <c r="AH180" s="187" t="e">
        <f t="shared" si="44"/>
        <v>#DIV/0!</v>
      </c>
      <c r="AI180" s="187" t="e">
        <f t="shared" si="44"/>
        <v>#DIV/0!</v>
      </c>
      <c r="AJ180" s="187" t="e">
        <f t="shared" si="44"/>
        <v>#DIV/0!</v>
      </c>
      <c r="AK180" s="187" t="e">
        <f t="shared" si="44"/>
        <v>#DIV/0!</v>
      </c>
      <c r="AL180" s="187" t="e">
        <f t="shared" si="44"/>
        <v>#DIV/0!</v>
      </c>
      <c r="AM180" s="187" t="e">
        <f t="shared" si="44"/>
        <v>#DIV/0!</v>
      </c>
      <c r="AN180" s="187" t="e">
        <f t="shared" si="44"/>
        <v>#DIV/0!</v>
      </c>
    </row>
    <row r="181" spans="2:40" x14ac:dyDescent="0.15">
      <c r="B181" s="303" t="s">
        <v>26</v>
      </c>
      <c r="C181" s="141" t="s">
        <v>1037</v>
      </c>
      <c r="D181" s="107">
        <f>SUMIFS('caseload data'!E:E,'caseload data'!$D:$D,"PO",'caseload data'!$A:$A,'national caseload'!$B$181:$B$183,'caseload data'!$B:$B,"custody")</f>
        <v>0</v>
      </c>
      <c r="E181" s="107">
        <f>SUMIFS('caseload data'!F:F,'caseload data'!$D:$D,"PO",'caseload data'!$A:$A,'national caseload'!$B$181:$B$183,'caseload data'!$B:$B,"custody")</f>
        <v>0</v>
      </c>
      <c r="F181" s="107">
        <f>SUMIFS('caseload data'!G:G,'caseload data'!$D:$D,"PO",'caseload data'!$A:$A,'national caseload'!$B$181:$B$183,'caseload data'!$B:$B,"custody")</f>
        <v>0</v>
      </c>
      <c r="G181" s="107">
        <f>SUMIFS('caseload data'!H:H,'caseload data'!$D:$D,"PO",'caseload data'!$A:$A,'national caseload'!$B$181:$B$183,'caseload data'!$B:$B,"custody")</f>
        <v>0</v>
      </c>
      <c r="H181" s="107">
        <f>SUMIFS('caseload data'!I:I,'caseload data'!$D:$D,"PO",'caseload data'!$A:$A,'national caseload'!$B$181:$B$183,'caseload data'!$B:$B,"custody")</f>
        <v>0</v>
      </c>
      <c r="I181" s="107">
        <f>SUMIFS('caseload data'!J:J,'caseload data'!$D:$D,"PO",'caseload data'!$A:$A,'national caseload'!$B$181:$B$183,'caseload data'!$B:$B,"custody")</f>
        <v>0</v>
      </c>
      <c r="J181" s="107">
        <f>SUMIFS('caseload data'!K:K,'caseload data'!$D:$D,"PO",'caseload data'!$A:$A,'national caseload'!$B$181:$B$183,'caseload data'!$B:$B,"custody")</f>
        <v>0</v>
      </c>
      <c r="K181" s="107">
        <f>SUMIFS('caseload data'!L:L,'caseload data'!$D:$D,"PO",'caseload data'!$A:$A,'national caseload'!$B$181:$B$183,'caseload data'!$B:$B,"custody")</f>
        <v>0</v>
      </c>
      <c r="L181" s="107">
        <f>SUMIFS('caseload data'!M:M,'caseload data'!$D:$D,"PO",'caseload data'!$A:$A,'national caseload'!$B$181:$B$183,'caseload data'!$B:$B,"custody")</f>
        <v>0</v>
      </c>
      <c r="M181" s="107">
        <f>SUMIFS('caseload data'!N:N,'caseload data'!$D:$D,"PO",'caseload data'!$A:$A,'national caseload'!$B$181:$B$183,'caseload data'!$B:$B,"custody")</f>
        <v>0</v>
      </c>
      <c r="N181" s="107">
        <f>SUMIFS('caseload data'!O:O,'caseload data'!$D:$D,"PO",'caseload data'!$A:$A,'national caseload'!$B$181:$B$183,'caseload data'!$B:$B,"custody")</f>
        <v>0</v>
      </c>
      <c r="O181" s="107">
        <f>SUMIFS('caseload data'!P:P,'caseload data'!$D:$D,"PO",'caseload data'!$A:$A,'national caseload'!$B$181:$B$183,'caseload data'!$B:$B,"custody")</f>
        <v>0</v>
      </c>
      <c r="P181" s="107">
        <f>SUMIFS('caseload data'!Q:Q,'caseload data'!$D:$D,"PO",'caseload data'!$A:$A,'national caseload'!$B$181:$B$183,'caseload data'!$B:$B,"custody")</f>
        <v>0</v>
      </c>
      <c r="Q181" s="107">
        <f>SUMIFS('caseload data'!R:R,'caseload data'!$D:$D,"PO",'caseload data'!$A:$A,'national caseload'!$B$181:$B$183,'caseload data'!$B:$B,"custody")</f>
        <v>0</v>
      </c>
      <c r="R181" s="107">
        <f>SUMIFS('caseload data'!S:S,'caseload data'!$D:$D,"PO",'caseload data'!$A:$A,'national caseload'!$B$181:$B$183,'caseload data'!$B:$B,"custody")</f>
        <v>0</v>
      </c>
      <c r="S181" s="107">
        <f>SUMIFS('caseload data'!T:T,'caseload data'!$D:$D,"PO",'caseload data'!$A:$A,'national caseload'!$B$181:$B$183,'caseload data'!$B:$B,"custody")</f>
        <v>0</v>
      </c>
      <c r="T181" s="107">
        <f>SUMIFS('caseload data'!V:V,'caseload data'!D:D,"PO",'caseload data'!A:A,'national caseload'!B181:B183,'caseload data'!B:B,"custody")</f>
        <v>0</v>
      </c>
      <c r="U181" s="76"/>
      <c r="V181" s="76"/>
      <c r="W181" s="303" t="s">
        <v>26</v>
      </c>
      <c r="X181" s="141" t="s">
        <v>1037</v>
      </c>
      <c r="Y181" s="187" t="e">
        <f>SUM(D181)/SUM(D$181:D$184)</f>
        <v>#DIV/0!</v>
      </c>
      <c r="Z181" s="187" t="e">
        <f t="shared" ref="Z181:AN184" si="45">SUM(E181)/SUM(E$181:E$184)</f>
        <v>#DIV/0!</v>
      </c>
      <c r="AA181" s="187" t="e">
        <f t="shared" si="45"/>
        <v>#DIV/0!</v>
      </c>
      <c r="AB181" s="187" t="e">
        <f t="shared" si="45"/>
        <v>#DIV/0!</v>
      </c>
      <c r="AC181" s="187" t="e">
        <f t="shared" si="45"/>
        <v>#DIV/0!</v>
      </c>
      <c r="AD181" s="187" t="e">
        <f t="shared" si="45"/>
        <v>#DIV/0!</v>
      </c>
      <c r="AE181" s="187" t="e">
        <f t="shared" si="45"/>
        <v>#DIV/0!</v>
      </c>
      <c r="AF181" s="187" t="e">
        <f t="shared" si="45"/>
        <v>#DIV/0!</v>
      </c>
      <c r="AG181" s="187" t="e">
        <f t="shared" si="45"/>
        <v>#DIV/0!</v>
      </c>
      <c r="AH181" s="187" t="e">
        <f t="shared" si="45"/>
        <v>#DIV/0!</v>
      </c>
      <c r="AI181" s="187" t="e">
        <f t="shared" si="45"/>
        <v>#DIV/0!</v>
      </c>
      <c r="AJ181" s="187" t="e">
        <f t="shared" si="45"/>
        <v>#DIV/0!</v>
      </c>
      <c r="AK181" s="187" t="e">
        <f t="shared" si="45"/>
        <v>#DIV/0!</v>
      </c>
      <c r="AL181" s="187" t="e">
        <f t="shared" si="45"/>
        <v>#DIV/0!</v>
      </c>
      <c r="AM181" s="187" t="e">
        <f t="shared" si="45"/>
        <v>#DIV/0!</v>
      </c>
      <c r="AN181" s="187" t="e">
        <f t="shared" si="45"/>
        <v>#DIV/0!</v>
      </c>
    </row>
    <row r="182" spans="2:40" x14ac:dyDescent="0.15">
      <c r="B182" s="304"/>
      <c r="C182" s="142" t="s">
        <v>1038</v>
      </c>
      <c r="D182" s="107">
        <f>SUMIFS('caseload data'!E:E,'caseload data'!$D:$D,"PSO",'caseload data'!$A:$A,"South West",'caseload data'!$B:$B,"custody")</f>
        <v>0</v>
      </c>
      <c r="E182" s="107">
        <f>SUMIFS('caseload data'!F:F,'caseload data'!$D:$D,"PSO",'caseload data'!$A:$A,"South West",'caseload data'!$B:$B,"custody")</f>
        <v>0</v>
      </c>
      <c r="F182" s="107">
        <f>SUMIFS('caseload data'!G:G,'caseload data'!$D:$D,"PSO",'caseload data'!$A:$A,"South West",'caseload data'!$B:$B,"custody")</f>
        <v>0</v>
      </c>
      <c r="G182" s="107">
        <f>SUMIFS('caseload data'!H:H,'caseload data'!$D:$D,"PSO",'caseload data'!$A:$A,"South West",'caseload data'!$B:$B,"custody")</f>
        <v>0</v>
      </c>
      <c r="H182" s="107">
        <f>SUMIFS('caseload data'!I:I,'caseload data'!$D:$D,"PSO",'caseload data'!$A:$A,"South West",'caseload data'!$B:$B,"custody")</f>
        <v>0</v>
      </c>
      <c r="I182" s="107">
        <f>SUMIFS('caseload data'!J:J,'caseload data'!$D:$D,"PSO",'caseload data'!$A:$A,"South West",'caseload data'!$B:$B,"custody")</f>
        <v>0</v>
      </c>
      <c r="J182" s="107">
        <f>SUMIFS('caseload data'!K:K,'caseload data'!$D:$D,"PSO",'caseload data'!$A:$A,"South West",'caseload data'!$B:$B,"custody")</f>
        <v>0</v>
      </c>
      <c r="K182" s="107">
        <f>SUMIFS('caseload data'!L:L,'caseload data'!$D:$D,"PSO",'caseload data'!$A:$A,"South West",'caseload data'!$B:$B,"custody")</f>
        <v>0</v>
      </c>
      <c r="L182" s="107">
        <f>SUMIFS('caseload data'!M:M,'caseload data'!$D:$D,"PSO",'caseload data'!$A:$A,"South West",'caseload data'!$B:$B,"custody")</f>
        <v>0</v>
      </c>
      <c r="M182" s="107">
        <f>SUMIFS('caseload data'!N:N,'caseload data'!$D:$D,"PSO",'caseload data'!$A:$A,"South West",'caseload data'!$B:$B,"custody")</f>
        <v>0</v>
      </c>
      <c r="N182" s="107">
        <f>SUMIFS('caseload data'!O:O,'caseload data'!$D:$D,"PSO",'caseload data'!$A:$A,"South West",'caseload data'!$B:$B,"custody")</f>
        <v>0</v>
      </c>
      <c r="O182" s="107">
        <f>SUMIFS('caseload data'!P:P,'caseload data'!$D:$D,"PSO",'caseload data'!$A:$A,"South West",'caseload data'!$B:$B,"custody")</f>
        <v>0</v>
      </c>
      <c r="P182" s="107">
        <f>SUMIFS('caseload data'!Q:Q,'caseload data'!$D:$D,"PSO",'caseload data'!$A:$A,"South West",'caseload data'!$B:$B,"custody")</f>
        <v>0</v>
      </c>
      <c r="Q182" s="107">
        <f>SUMIFS('caseload data'!R:R,'caseload data'!$D:$D,"PSO",'caseload data'!$A:$A,"South West",'caseload data'!$B:$B,"custody")</f>
        <v>0</v>
      </c>
      <c r="R182" s="107">
        <f>SUMIFS('caseload data'!S:S,'caseload data'!$D:$D,"PSO",'caseload data'!$A:$A,"South West",'caseload data'!$B:$B,"custody")</f>
        <v>0</v>
      </c>
      <c r="S182" s="107">
        <f>SUMIFS('caseload data'!T:T,'caseload data'!$D:$D,"PSO",'caseload data'!$A:$A,"South West",'caseload data'!$B:$B,"custody")</f>
        <v>0</v>
      </c>
      <c r="T182" s="107">
        <f>SUMIFS('caseload data'!V:V,'caseload data'!D:D,"PSO",'caseload data'!A:A,"South West",'caseload data'!B:B,"custody")</f>
        <v>0</v>
      </c>
      <c r="U182" s="76"/>
      <c r="V182" s="76"/>
      <c r="W182" s="304"/>
      <c r="X182" s="142" t="s">
        <v>1038</v>
      </c>
      <c r="Y182" s="187" t="e">
        <f>SUM(D182)/SUM(D$181:D$184)</f>
        <v>#DIV/0!</v>
      </c>
      <c r="Z182" s="187" t="e">
        <f t="shared" si="45"/>
        <v>#DIV/0!</v>
      </c>
      <c r="AA182" s="187" t="e">
        <f t="shared" si="45"/>
        <v>#DIV/0!</v>
      </c>
      <c r="AB182" s="187" t="e">
        <f t="shared" si="45"/>
        <v>#DIV/0!</v>
      </c>
      <c r="AC182" s="187" t="e">
        <f t="shared" si="45"/>
        <v>#DIV/0!</v>
      </c>
      <c r="AD182" s="187" t="e">
        <f t="shared" si="45"/>
        <v>#DIV/0!</v>
      </c>
      <c r="AE182" s="187" t="e">
        <f t="shared" si="45"/>
        <v>#DIV/0!</v>
      </c>
      <c r="AF182" s="187" t="e">
        <f t="shared" si="45"/>
        <v>#DIV/0!</v>
      </c>
      <c r="AG182" s="187" t="e">
        <f t="shared" si="45"/>
        <v>#DIV/0!</v>
      </c>
      <c r="AH182" s="187" t="e">
        <f t="shared" si="45"/>
        <v>#DIV/0!</v>
      </c>
      <c r="AI182" s="187" t="e">
        <f t="shared" si="45"/>
        <v>#DIV/0!</v>
      </c>
      <c r="AJ182" s="187" t="e">
        <f t="shared" si="45"/>
        <v>#DIV/0!</v>
      </c>
      <c r="AK182" s="187" t="e">
        <f t="shared" si="45"/>
        <v>#DIV/0!</v>
      </c>
      <c r="AL182" s="187" t="e">
        <f t="shared" si="45"/>
        <v>#DIV/0!</v>
      </c>
      <c r="AM182" s="187" t="e">
        <f t="shared" si="45"/>
        <v>#DIV/0!</v>
      </c>
      <c r="AN182" s="187" t="e">
        <f t="shared" si="45"/>
        <v>#DIV/0!</v>
      </c>
    </row>
    <row r="183" spans="2:40" x14ac:dyDescent="0.15">
      <c r="B183" s="304"/>
      <c r="C183" s="142" t="s">
        <v>1039</v>
      </c>
      <c r="D183" s="107">
        <f>SUMIFS('caseload data'!E:E,'caseload data'!$D:$D,"TPO",'caseload data'!$A:$A,"South West",'caseload data'!$B:$B,"custody")</f>
        <v>0</v>
      </c>
      <c r="E183" s="107">
        <f>SUMIFS('caseload data'!F:F,'caseload data'!$D:$D,"TPO",'caseload data'!$A:$A,"South West",'caseload data'!$B:$B,"custody")</f>
        <v>0</v>
      </c>
      <c r="F183" s="107">
        <f>SUMIFS('caseload data'!G:G,'caseload data'!$D:$D,"TPO",'caseload data'!$A:$A,"South West",'caseload data'!$B:$B,"custody")</f>
        <v>0</v>
      </c>
      <c r="G183" s="107">
        <f>SUMIFS('caseload data'!H:H,'caseload data'!$D:$D,"TPO",'caseload data'!$A:$A,"South West",'caseload data'!$B:$B,"custody")</f>
        <v>0</v>
      </c>
      <c r="H183" s="107">
        <f>SUMIFS('caseload data'!I:I,'caseload data'!$D:$D,"TPO",'caseload data'!$A:$A,"South West",'caseload data'!$B:$B,"custody")</f>
        <v>0</v>
      </c>
      <c r="I183" s="107">
        <f>SUMIFS('caseload data'!J:J,'caseload data'!$D:$D,"TPO",'caseload data'!$A:$A,"South West",'caseload data'!$B:$B,"custody")</f>
        <v>0</v>
      </c>
      <c r="J183" s="107">
        <f>SUMIFS('caseload data'!K:K,'caseload data'!$D:$D,"TPO",'caseload data'!$A:$A,"South West",'caseload data'!$B:$B,"custody")</f>
        <v>0</v>
      </c>
      <c r="K183" s="107">
        <f>SUMIFS('caseload data'!L:L,'caseload data'!$D:$D,"TPO",'caseload data'!$A:$A,"South West",'caseload data'!$B:$B,"custody")</f>
        <v>0</v>
      </c>
      <c r="L183" s="107">
        <f>SUMIFS('caseload data'!M:M,'caseload data'!$D:$D,"TPO",'caseload data'!$A:$A,"South West",'caseload data'!$B:$B,"custody")</f>
        <v>0</v>
      </c>
      <c r="M183" s="107">
        <f>SUMIFS('caseload data'!N:N,'caseload data'!$D:$D,"TPO",'caseload data'!$A:$A,"South West",'caseload data'!$B:$B,"custody")</f>
        <v>0</v>
      </c>
      <c r="N183" s="107">
        <f>SUMIFS('caseload data'!O:O,'caseload data'!$D:$D,"TPO",'caseload data'!$A:$A,"South West",'caseload data'!$B:$B,"custody")</f>
        <v>0</v>
      </c>
      <c r="O183" s="107">
        <f>SUMIFS('caseload data'!P:P,'caseload data'!$D:$D,"TPO",'caseload data'!$A:$A,"South West",'caseload data'!$B:$B,"custody")</f>
        <v>0</v>
      </c>
      <c r="P183" s="107">
        <f>SUMIFS('caseload data'!Q:Q,'caseload data'!$D:$D,"TPO",'caseload data'!$A:$A,"South West",'caseload data'!$B:$B,"custody")</f>
        <v>0</v>
      </c>
      <c r="Q183" s="107">
        <f>SUMIFS('caseload data'!R:R,'caseload data'!$D:$D,"TPO",'caseload data'!$A:$A,"South West",'caseload data'!$B:$B,"custody")</f>
        <v>0</v>
      </c>
      <c r="R183" s="107">
        <f>SUMIFS('caseload data'!S:S,'caseload data'!$D:$D,"TPO",'caseload data'!$A:$A,"South West",'caseload data'!$B:$B,"custody")</f>
        <v>0</v>
      </c>
      <c r="S183" s="107">
        <f>SUMIFS('caseload data'!T:T,'caseload data'!$D:$D,"TPO",'caseload data'!$A:$A,"South West",'caseload data'!$B:$B,"custody")</f>
        <v>0</v>
      </c>
      <c r="T183" s="107">
        <f>SUMIFS('caseload data'!V:V,'caseload data'!D:D,"TPO",'caseload data'!A:A,"South West",'caseload data'!B:B,"custody")</f>
        <v>0</v>
      </c>
      <c r="U183" s="76"/>
      <c r="V183" s="76"/>
      <c r="W183" s="304"/>
      <c r="X183" s="142" t="s">
        <v>1039</v>
      </c>
      <c r="Y183" s="187" t="e">
        <f>SUM(D183)/SUM(D$181:D$184)</f>
        <v>#DIV/0!</v>
      </c>
      <c r="Z183" s="187" t="e">
        <f t="shared" si="45"/>
        <v>#DIV/0!</v>
      </c>
      <c r="AA183" s="187" t="e">
        <f t="shared" si="45"/>
        <v>#DIV/0!</v>
      </c>
      <c r="AB183" s="187" t="e">
        <f t="shared" si="45"/>
        <v>#DIV/0!</v>
      </c>
      <c r="AC183" s="187" t="e">
        <f t="shared" si="45"/>
        <v>#DIV/0!</v>
      </c>
      <c r="AD183" s="187" t="e">
        <f t="shared" si="45"/>
        <v>#DIV/0!</v>
      </c>
      <c r="AE183" s="187" t="e">
        <f t="shared" si="45"/>
        <v>#DIV/0!</v>
      </c>
      <c r="AF183" s="187" t="e">
        <f t="shared" si="45"/>
        <v>#DIV/0!</v>
      </c>
      <c r="AG183" s="187" t="e">
        <f t="shared" si="45"/>
        <v>#DIV/0!</v>
      </c>
      <c r="AH183" s="187" t="e">
        <f t="shared" si="45"/>
        <v>#DIV/0!</v>
      </c>
      <c r="AI183" s="187" t="e">
        <f t="shared" si="45"/>
        <v>#DIV/0!</v>
      </c>
      <c r="AJ183" s="187" t="e">
        <f t="shared" si="45"/>
        <v>#DIV/0!</v>
      </c>
      <c r="AK183" s="187" t="e">
        <f t="shared" si="45"/>
        <v>#DIV/0!</v>
      </c>
      <c r="AL183" s="187" t="e">
        <f t="shared" si="45"/>
        <v>#DIV/0!</v>
      </c>
      <c r="AM183" s="187" t="e">
        <f t="shared" si="45"/>
        <v>#DIV/0!</v>
      </c>
      <c r="AN183" s="187" t="e">
        <f t="shared" si="45"/>
        <v>#DIV/0!</v>
      </c>
    </row>
    <row r="184" spans="2:40" x14ac:dyDescent="0.15">
      <c r="B184" s="309"/>
      <c r="C184" s="143" t="s">
        <v>1040</v>
      </c>
      <c r="D184" s="107">
        <f>SUMIFS('caseload data'!E:E,'caseload data'!$D:$D,"SPO",'caseload data'!$A:$A,"South West",'caseload data'!$B:$B,"custody")</f>
        <v>0</v>
      </c>
      <c r="E184" s="107">
        <f>SUMIFS('caseload data'!F:F,'caseload data'!$D:$D,"SPO",'caseload data'!$A:$A,"South West",'caseload data'!$B:$B,"custody")</f>
        <v>0</v>
      </c>
      <c r="F184" s="107">
        <f>SUMIFS('caseload data'!G:G,'caseload data'!$D:$D,"SPO",'caseload data'!$A:$A,"South West",'caseload data'!$B:$B,"custody")</f>
        <v>0</v>
      </c>
      <c r="G184" s="107">
        <f>SUMIFS('caseload data'!H:H,'caseload data'!$D:$D,"SPO",'caseload data'!$A:$A,"South West",'caseload data'!$B:$B,"custody")</f>
        <v>0</v>
      </c>
      <c r="H184" s="107">
        <f>SUMIFS('caseload data'!I:I,'caseload data'!$D:$D,"SPO",'caseload data'!$A:$A,"South West",'caseload data'!$B:$B,"custody")</f>
        <v>0</v>
      </c>
      <c r="I184" s="107">
        <f>SUMIFS('caseload data'!J:J,'caseload data'!$D:$D,"SPO",'caseload data'!$A:$A,"South West",'caseload data'!$B:$B,"custody")</f>
        <v>0</v>
      </c>
      <c r="J184" s="107">
        <f>SUMIFS('caseload data'!K:K,'caseload data'!$D:$D,"SPO",'caseload data'!$A:$A,"South West",'caseload data'!$B:$B,"custody")</f>
        <v>0</v>
      </c>
      <c r="K184" s="107">
        <f>SUMIFS('caseload data'!L:L,'caseload data'!$D:$D,"SPO",'caseload data'!$A:$A,"South West",'caseload data'!$B:$B,"custody")</f>
        <v>0</v>
      </c>
      <c r="L184" s="107">
        <f>SUMIFS('caseload data'!M:M,'caseload data'!$D:$D,"SPO",'caseload data'!$A:$A,"South West",'caseload data'!$B:$B,"custody")</f>
        <v>0</v>
      </c>
      <c r="M184" s="107">
        <f>SUMIFS('caseload data'!N:N,'caseload data'!$D:$D,"SPO",'caseload data'!$A:$A,"South West",'caseload data'!$B:$B,"custody")</f>
        <v>0</v>
      </c>
      <c r="N184" s="107">
        <f>SUMIFS('caseload data'!O:O,'caseload data'!$D:$D,"SPO",'caseload data'!$A:$A,"South West",'caseload data'!$B:$B,"custody")</f>
        <v>0</v>
      </c>
      <c r="O184" s="107">
        <f>SUMIFS('caseload data'!P:P,'caseload data'!$D:$D,"SPO",'caseload data'!$A:$A,"South West",'caseload data'!$B:$B,"custody")</f>
        <v>0</v>
      </c>
      <c r="P184" s="107">
        <f>SUMIFS('caseload data'!Q:Q,'caseload data'!$D:$D,"SPO",'caseload data'!$A:$A,"South West",'caseload data'!$B:$B,"custody")</f>
        <v>0</v>
      </c>
      <c r="Q184" s="107">
        <f>SUMIFS('caseload data'!R:R,'caseload data'!$D:$D,"SPO",'caseload data'!$A:$A,"South West",'caseload data'!$B:$B,"custody")</f>
        <v>0</v>
      </c>
      <c r="R184" s="107">
        <f>SUMIFS('caseload data'!S:S,'caseload data'!$D:$D,"SPO",'caseload data'!$A:$A,"South West",'caseload data'!$B:$B,"custody")</f>
        <v>0</v>
      </c>
      <c r="S184" s="107">
        <f>SUMIFS('caseload data'!T:T,'caseload data'!$D:$D,"SPO",'caseload data'!$A:$A,"South West",'caseload data'!$B:$B,"custody")</f>
        <v>0</v>
      </c>
      <c r="T184" s="107">
        <f>SUMIFS('caseload data'!V:V,'caseload data'!$D:$D,"SPO",'caseload data'!$A:$A,"South West",'caseload data'!$B:$B,"custody")</f>
        <v>0</v>
      </c>
      <c r="U184" s="76"/>
      <c r="V184" s="76"/>
      <c r="W184" s="309"/>
      <c r="X184" s="143" t="s">
        <v>1040</v>
      </c>
      <c r="Y184" s="187" t="e">
        <f>SUM(D184)/SUM(D$181:D$184)</f>
        <v>#DIV/0!</v>
      </c>
      <c r="Z184" s="187" t="e">
        <f t="shared" si="45"/>
        <v>#DIV/0!</v>
      </c>
      <c r="AA184" s="187" t="e">
        <f t="shared" si="45"/>
        <v>#DIV/0!</v>
      </c>
      <c r="AB184" s="187" t="e">
        <f t="shared" si="45"/>
        <v>#DIV/0!</v>
      </c>
      <c r="AC184" s="187" t="e">
        <f t="shared" si="45"/>
        <v>#DIV/0!</v>
      </c>
      <c r="AD184" s="187" t="e">
        <f t="shared" si="45"/>
        <v>#DIV/0!</v>
      </c>
      <c r="AE184" s="187" t="e">
        <f t="shared" si="45"/>
        <v>#DIV/0!</v>
      </c>
      <c r="AF184" s="187" t="e">
        <f t="shared" si="45"/>
        <v>#DIV/0!</v>
      </c>
      <c r="AG184" s="187" t="e">
        <f t="shared" si="45"/>
        <v>#DIV/0!</v>
      </c>
      <c r="AH184" s="187" t="e">
        <f t="shared" si="45"/>
        <v>#DIV/0!</v>
      </c>
      <c r="AI184" s="187" t="e">
        <f t="shared" si="45"/>
        <v>#DIV/0!</v>
      </c>
      <c r="AJ184" s="187" t="e">
        <f t="shared" si="45"/>
        <v>#DIV/0!</v>
      </c>
      <c r="AK184" s="187" t="e">
        <f t="shared" si="45"/>
        <v>#DIV/0!</v>
      </c>
      <c r="AL184" s="187" t="e">
        <f t="shared" si="45"/>
        <v>#DIV/0!</v>
      </c>
      <c r="AM184" s="187" t="e">
        <f t="shared" si="45"/>
        <v>#DIV/0!</v>
      </c>
      <c r="AN184" s="187" t="e">
        <f t="shared" si="45"/>
        <v>#DIV/0!</v>
      </c>
    </row>
    <row r="185" spans="2:40" x14ac:dyDescent="0.15">
      <c r="B185" s="303" t="s">
        <v>27</v>
      </c>
      <c r="C185" s="141" t="s">
        <v>1037</v>
      </c>
      <c r="D185" s="107">
        <f>SUMIFS('caseload data'!E:E,'caseload data'!$D:$D,"PO",'caseload data'!$A:$A,$B$185,'caseload data'!$B:$B,"custody")</f>
        <v>0</v>
      </c>
      <c r="E185" s="107">
        <f>SUMIFS('caseload data'!F:F,'caseload data'!$D:$D,"PO",'caseload data'!$A:$A,$B$185,'caseload data'!$B:$B,"custody")</f>
        <v>0</v>
      </c>
      <c r="F185" s="107">
        <f>SUMIFS('caseload data'!G:G,'caseload data'!$D:$D,"PO",'caseload data'!$A:$A,$B$185,'caseload data'!$B:$B,"custody")</f>
        <v>0</v>
      </c>
      <c r="G185" s="107">
        <f>SUMIFS('caseload data'!H:H,'caseload data'!$D:$D,"PO",'caseload data'!$A:$A,$B$185,'caseload data'!$B:$B,"custody")</f>
        <v>0</v>
      </c>
      <c r="H185" s="107">
        <f>SUMIFS('caseload data'!I:I,'caseload data'!$D:$D,"PO",'caseload data'!$A:$A,$B$185,'caseload data'!$B:$B,"custody")</f>
        <v>0</v>
      </c>
      <c r="I185" s="107">
        <f>SUMIFS('caseload data'!J:J,'caseload data'!$D:$D,"PO",'caseload data'!$A:$A,$B$185,'caseload data'!$B:$B,"custody")</f>
        <v>0</v>
      </c>
      <c r="J185" s="107">
        <f>SUMIFS('caseload data'!K:K,'caseload data'!$D:$D,"PO",'caseload data'!$A:$A,$B$185,'caseload data'!$B:$B,"custody")</f>
        <v>0</v>
      </c>
      <c r="K185" s="107">
        <f>SUMIFS('caseload data'!L:L,'caseload data'!$D:$D,"PO",'caseload data'!$A:$A,$B$185,'caseload data'!$B:$B,"custody")</f>
        <v>0</v>
      </c>
      <c r="L185" s="107">
        <f>SUMIFS('caseload data'!M:M,'caseload data'!$D:$D,"PO",'caseload data'!$A:$A,$B$185,'caseload data'!$B:$B,"custody")</f>
        <v>0</v>
      </c>
      <c r="M185" s="107">
        <f>SUMIFS('caseload data'!N:N,'caseload data'!$D:$D,"PO",'caseload data'!$A:$A,$B$185,'caseload data'!$B:$B,"custody")</f>
        <v>0</v>
      </c>
      <c r="N185" s="107">
        <f>SUMIFS('caseload data'!O:O,'caseload data'!$D:$D,"PO",'caseload data'!$A:$A,$B$185,'caseload data'!$B:$B,"custody")</f>
        <v>0</v>
      </c>
      <c r="O185" s="107">
        <f>SUMIFS('caseload data'!P:P,'caseload data'!$D:$D,"PO",'caseload data'!$A:$A,$B$185,'caseload data'!$B:$B,"custody")</f>
        <v>0</v>
      </c>
      <c r="P185" s="107">
        <f>SUMIFS('caseload data'!Q:Q,'caseload data'!$D:$D,"PO",'caseload data'!$A:$A,$B$185,'caseload data'!$B:$B,"custody")</f>
        <v>0</v>
      </c>
      <c r="Q185" s="107">
        <f>SUMIFS('caseload data'!R:R,'caseload data'!$D:$D,"PO",'caseload data'!$A:$A,$B$185,'caseload data'!$B:$B,"custody")</f>
        <v>0</v>
      </c>
      <c r="R185" s="107">
        <f>SUMIFS('caseload data'!S:S,'caseload data'!$D:$D,"PO",'caseload data'!$A:$A,$B$185,'caseload data'!$B:$B,"custody")</f>
        <v>0</v>
      </c>
      <c r="S185" s="107">
        <f>SUMIFS('caseload data'!T:T,'caseload data'!$D:$D,"PO",'caseload data'!$A:$A,$B$185,'caseload data'!$B:$B,"custody")</f>
        <v>0</v>
      </c>
      <c r="T185" s="107">
        <f>SUMIFS('caseload data'!V:V,'caseload data'!D:D,"PO",'caseload data'!A:A,B185,'caseload data'!B:B,"custody")</f>
        <v>0</v>
      </c>
      <c r="U185" s="76"/>
      <c r="V185" s="76"/>
      <c r="W185" s="303" t="s">
        <v>27</v>
      </c>
      <c r="X185" s="141" t="s">
        <v>1037</v>
      </c>
      <c r="Y185" s="187" t="e">
        <f>SUM(D185)/SUM(D$185:D$188)</f>
        <v>#DIV/0!</v>
      </c>
      <c r="Z185" s="187" t="e">
        <f t="shared" ref="Z185:AN188" si="46">SUM(E185)/SUM(E$185:E$188)</f>
        <v>#DIV/0!</v>
      </c>
      <c r="AA185" s="187" t="e">
        <f t="shared" si="46"/>
        <v>#DIV/0!</v>
      </c>
      <c r="AB185" s="187" t="e">
        <f t="shared" si="46"/>
        <v>#DIV/0!</v>
      </c>
      <c r="AC185" s="187" t="e">
        <f t="shared" si="46"/>
        <v>#DIV/0!</v>
      </c>
      <c r="AD185" s="187" t="e">
        <f t="shared" si="46"/>
        <v>#DIV/0!</v>
      </c>
      <c r="AE185" s="187" t="e">
        <f t="shared" si="46"/>
        <v>#DIV/0!</v>
      </c>
      <c r="AF185" s="187" t="e">
        <f t="shared" si="46"/>
        <v>#DIV/0!</v>
      </c>
      <c r="AG185" s="187" t="e">
        <f t="shared" si="46"/>
        <v>#DIV/0!</v>
      </c>
      <c r="AH185" s="187" t="e">
        <f t="shared" si="46"/>
        <v>#DIV/0!</v>
      </c>
      <c r="AI185" s="187" t="e">
        <f t="shared" si="46"/>
        <v>#DIV/0!</v>
      </c>
      <c r="AJ185" s="187" t="e">
        <f t="shared" si="46"/>
        <v>#DIV/0!</v>
      </c>
      <c r="AK185" s="187" t="e">
        <f t="shared" si="46"/>
        <v>#DIV/0!</v>
      </c>
      <c r="AL185" s="187" t="e">
        <f t="shared" si="46"/>
        <v>#DIV/0!</v>
      </c>
      <c r="AM185" s="187" t="e">
        <f t="shared" si="46"/>
        <v>#DIV/0!</v>
      </c>
      <c r="AN185" s="187" t="e">
        <f t="shared" si="46"/>
        <v>#DIV/0!</v>
      </c>
    </row>
    <row r="186" spans="2:40" x14ac:dyDescent="0.15">
      <c r="B186" s="304"/>
      <c r="C186" s="142" t="s">
        <v>1038</v>
      </c>
      <c r="D186" s="107">
        <f>SUMIFS('caseload data'!E:E,'caseload data'!$D:$D,"PSO",'caseload data'!$A:$A,"Wales",'caseload data'!$B:$B,"custody")</f>
        <v>0</v>
      </c>
      <c r="E186" s="107">
        <f>SUMIFS('caseload data'!F:F,'caseload data'!$D:$D,"PSO",'caseload data'!$A:$A,"Wales",'caseload data'!$B:$B,"custody")</f>
        <v>0</v>
      </c>
      <c r="F186" s="107">
        <f>SUMIFS('caseload data'!G:G,'caseload data'!$D:$D,"PSO",'caseload data'!$A:$A,"Wales",'caseload data'!$B:$B,"custody")</f>
        <v>0</v>
      </c>
      <c r="G186" s="107">
        <f>SUMIFS('caseload data'!H:H,'caseload data'!$D:$D,"PSO",'caseload data'!$A:$A,"Wales",'caseload data'!$B:$B,"custody")</f>
        <v>0</v>
      </c>
      <c r="H186" s="107">
        <f>SUMIFS('caseload data'!I:I,'caseload data'!$D:$D,"PSO",'caseload data'!$A:$A,"Wales",'caseload data'!$B:$B,"custody")</f>
        <v>0</v>
      </c>
      <c r="I186" s="107">
        <f>SUMIFS('caseload data'!J:J,'caseload data'!$D:$D,"PSO",'caseload data'!$A:$A,"Wales",'caseload data'!$B:$B,"custody")</f>
        <v>0</v>
      </c>
      <c r="J186" s="107">
        <f>SUMIFS('caseload data'!K:K,'caseload data'!$D:$D,"PSO",'caseload data'!$A:$A,"Wales",'caseload data'!$B:$B,"custody")</f>
        <v>0</v>
      </c>
      <c r="K186" s="107">
        <f>SUMIFS('caseload data'!L:L,'caseload data'!$D:$D,"PSO",'caseload data'!$A:$A,"Wales",'caseload data'!$B:$B,"custody")</f>
        <v>0</v>
      </c>
      <c r="L186" s="107">
        <f>SUMIFS('caseload data'!M:M,'caseload data'!$D:$D,"PSO",'caseload data'!$A:$A,"Wales",'caseload data'!$B:$B,"custody")</f>
        <v>0</v>
      </c>
      <c r="M186" s="107">
        <f>SUMIFS('caseload data'!N:N,'caseload data'!$D:$D,"PSO",'caseload data'!$A:$A,"Wales",'caseload data'!$B:$B,"custody")</f>
        <v>0</v>
      </c>
      <c r="N186" s="107">
        <f>SUMIFS('caseload data'!O:O,'caseload data'!$D:$D,"PSO",'caseload data'!$A:$A,"Wales",'caseload data'!$B:$B,"custody")</f>
        <v>0</v>
      </c>
      <c r="O186" s="107">
        <f>SUMIFS('caseload data'!P:P,'caseload data'!$D:$D,"PSO",'caseload data'!$A:$A,"Wales",'caseload data'!$B:$B,"custody")</f>
        <v>0</v>
      </c>
      <c r="P186" s="107">
        <f>SUMIFS('caseload data'!Q:Q,'caseload data'!$D:$D,"PSO",'caseload data'!$A:$A,"Wales",'caseload data'!$B:$B,"custody")</f>
        <v>0</v>
      </c>
      <c r="Q186" s="107">
        <f>SUMIFS('caseload data'!R:R,'caseload data'!$D:$D,"PSO",'caseload data'!$A:$A,"Wales",'caseload data'!$B:$B,"custody")</f>
        <v>0</v>
      </c>
      <c r="R186" s="107">
        <f>SUMIFS('caseload data'!S:S,'caseload data'!$D:$D,"PSO",'caseload data'!$A:$A,"Wales",'caseload data'!$B:$B,"custody")</f>
        <v>0</v>
      </c>
      <c r="S186" s="107">
        <f>SUMIFS('caseload data'!T:T,'caseload data'!$D:$D,"PSO",'caseload data'!$A:$A,"Wales",'caseload data'!$B:$B,"custody")</f>
        <v>0</v>
      </c>
      <c r="T186" s="107">
        <f>SUMIFS('caseload data'!V:V,'caseload data'!D:D,"PSO",'caseload data'!A:A,"Wales",'caseload data'!B:B,"custody")</f>
        <v>0</v>
      </c>
      <c r="U186" s="76"/>
      <c r="V186" s="76"/>
      <c r="W186" s="304"/>
      <c r="X186" s="142" t="s">
        <v>1038</v>
      </c>
      <c r="Y186" s="187" t="e">
        <f>SUM(D186)/SUM(D$185:D$188)</f>
        <v>#DIV/0!</v>
      </c>
      <c r="Z186" s="187" t="e">
        <f t="shared" si="46"/>
        <v>#DIV/0!</v>
      </c>
      <c r="AA186" s="187" t="e">
        <f t="shared" si="46"/>
        <v>#DIV/0!</v>
      </c>
      <c r="AB186" s="187" t="e">
        <f t="shared" si="46"/>
        <v>#DIV/0!</v>
      </c>
      <c r="AC186" s="187" t="e">
        <f t="shared" si="46"/>
        <v>#DIV/0!</v>
      </c>
      <c r="AD186" s="187" t="e">
        <f t="shared" si="46"/>
        <v>#DIV/0!</v>
      </c>
      <c r="AE186" s="187" t="e">
        <f t="shared" si="46"/>
        <v>#DIV/0!</v>
      </c>
      <c r="AF186" s="187" t="e">
        <f t="shared" si="46"/>
        <v>#DIV/0!</v>
      </c>
      <c r="AG186" s="187" t="e">
        <f t="shared" si="46"/>
        <v>#DIV/0!</v>
      </c>
      <c r="AH186" s="187" t="e">
        <f t="shared" si="46"/>
        <v>#DIV/0!</v>
      </c>
      <c r="AI186" s="187" t="e">
        <f t="shared" si="46"/>
        <v>#DIV/0!</v>
      </c>
      <c r="AJ186" s="187" t="e">
        <f t="shared" si="46"/>
        <v>#DIV/0!</v>
      </c>
      <c r="AK186" s="187" t="e">
        <f t="shared" si="46"/>
        <v>#DIV/0!</v>
      </c>
      <c r="AL186" s="187" t="e">
        <f t="shared" si="46"/>
        <v>#DIV/0!</v>
      </c>
      <c r="AM186" s="187" t="e">
        <f t="shared" si="46"/>
        <v>#DIV/0!</v>
      </c>
      <c r="AN186" s="187" t="e">
        <f t="shared" si="46"/>
        <v>#DIV/0!</v>
      </c>
    </row>
    <row r="187" spans="2:40" x14ac:dyDescent="0.15">
      <c r="B187" s="304"/>
      <c r="C187" s="142" t="s">
        <v>1039</v>
      </c>
      <c r="D187" s="107">
        <f>SUMIFS('caseload data'!E:E,'caseload data'!$D:$D,"TPO",'caseload data'!$A:$A,"Wales",'caseload data'!$B:$B,"custody")</f>
        <v>0</v>
      </c>
      <c r="E187" s="107">
        <f>SUMIFS('caseload data'!F:F,'caseload data'!$D:$D,"TPO",'caseload data'!$A:$A,"Wales",'caseload data'!$B:$B,"custody")</f>
        <v>0</v>
      </c>
      <c r="F187" s="107">
        <f>SUMIFS('caseload data'!G:G,'caseload data'!$D:$D,"TPO",'caseload data'!$A:$A,"Wales",'caseload data'!$B:$B,"custody")</f>
        <v>0</v>
      </c>
      <c r="G187" s="107">
        <f>SUMIFS('caseload data'!H:H,'caseload data'!$D:$D,"TPO",'caseload data'!$A:$A,"Wales",'caseload data'!$B:$B,"custody")</f>
        <v>0</v>
      </c>
      <c r="H187" s="107">
        <f>SUMIFS('caseload data'!I:I,'caseload data'!$D:$D,"TPO",'caseload data'!$A:$A,"Wales",'caseload data'!$B:$B,"custody")</f>
        <v>0</v>
      </c>
      <c r="I187" s="107">
        <f>SUMIFS('caseload data'!J:J,'caseload data'!$D:$D,"TPO",'caseload data'!$A:$A,"Wales",'caseload data'!$B:$B,"custody")</f>
        <v>0</v>
      </c>
      <c r="J187" s="107">
        <f>SUMIFS('caseload data'!K:K,'caseload data'!$D:$D,"TPO",'caseload data'!$A:$A,"Wales",'caseload data'!$B:$B,"custody")</f>
        <v>0</v>
      </c>
      <c r="K187" s="107">
        <f>SUMIFS('caseload data'!L:L,'caseload data'!$D:$D,"TPO",'caseload data'!$A:$A,"Wales",'caseload data'!$B:$B,"custody")</f>
        <v>0</v>
      </c>
      <c r="L187" s="107">
        <f>SUMIFS('caseload data'!M:M,'caseload data'!$D:$D,"TPO",'caseload data'!$A:$A,"Wales",'caseload data'!$B:$B,"custody")</f>
        <v>0</v>
      </c>
      <c r="M187" s="107">
        <f>SUMIFS('caseload data'!N:N,'caseload data'!$D:$D,"TPO",'caseload data'!$A:$A,"Wales",'caseload data'!$B:$B,"custody")</f>
        <v>0</v>
      </c>
      <c r="N187" s="107">
        <f>SUMIFS('caseload data'!O:O,'caseload data'!$D:$D,"TPO",'caseload data'!$A:$A,"Wales",'caseload data'!$B:$B,"custody")</f>
        <v>0</v>
      </c>
      <c r="O187" s="107">
        <f>SUMIFS('caseload data'!P:P,'caseload data'!$D:$D,"TPO",'caseload data'!$A:$A,"Wales",'caseload data'!$B:$B,"custody")</f>
        <v>0</v>
      </c>
      <c r="P187" s="107">
        <f>SUMIFS('caseload data'!Q:Q,'caseload data'!$D:$D,"TPO",'caseload data'!$A:$A,"Wales",'caseload data'!$B:$B,"custody")</f>
        <v>0</v>
      </c>
      <c r="Q187" s="107">
        <f>SUMIFS('caseload data'!R:R,'caseload data'!$D:$D,"TPO",'caseload data'!$A:$A,"Wales",'caseload data'!$B:$B,"custody")</f>
        <v>0</v>
      </c>
      <c r="R187" s="107">
        <f>SUMIFS('caseload data'!S:S,'caseload data'!$D:$D,"TPO",'caseload data'!$A:$A,"Wales",'caseload data'!$B:$B,"custody")</f>
        <v>0</v>
      </c>
      <c r="S187" s="107">
        <f>SUMIFS('caseload data'!T:T,'caseload data'!$D:$D,"TPO",'caseload data'!$A:$A,"Wales",'caseload data'!$B:$B,"custody")</f>
        <v>0</v>
      </c>
      <c r="T187" s="107">
        <f>SUMIFS('caseload data'!V:V,'caseload data'!D:D,"TPO",'caseload data'!A:A,"Wales",'caseload data'!B:B,"custody")</f>
        <v>0</v>
      </c>
      <c r="U187" s="76"/>
      <c r="V187" s="76"/>
      <c r="W187" s="304"/>
      <c r="X187" s="142" t="s">
        <v>1039</v>
      </c>
      <c r="Y187" s="187" t="e">
        <f>SUM(D187)/SUM(D$185:D$188)</f>
        <v>#DIV/0!</v>
      </c>
      <c r="Z187" s="187" t="e">
        <f t="shared" si="46"/>
        <v>#DIV/0!</v>
      </c>
      <c r="AA187" s="187" t="e">
        <f t="shared" si="46"/>
        <v>#DIV/0!</v>
      </c>
      <c r="AB187" s="187" t="e">
        <f t="shared" si="46"/>
        <v>#DIV/0!</v>
      </c>
      <c r="AC187" s="187" t="e">
        <f t="shared" si="46"/>
        <v>#DIV/0!</v>
      </c>
      <c r="AD187" s="187" t="e">
        <f t="shared" si="46"/>
        <v>#DIV/0!</v>
      </c>
      <c r="AE187" s="187" t="e">
        <f t="shared" si="46"/>
        <v>#DIV/0!</v>
      </c>
      <c r="AF187" s="187" t="e">
        <f t="shared" si="46"/>
        <v>#DIV/0!</v>
      </c>
      <c r="AG187" s="187" t="e">
        <f t="shared" si="46"/>
        <v>#DIV/0!</v>
      </c>
      <c r="AH187" s="187" t="e">
        <f t="shared" si="46"/>
        <v>#DIV/0!</v>
      </c>
      <c r="AI187" s="187" t="e">
        <f t="shared" si="46"/>
        <v>#DIV/0!</v>
      </c>
      <c r="AJ187" s="187" t="e">
        <f t="shared" si="46"/>
        <v>#DIV/0!</v>
      </c>
      <c r="AK187" s="187" t="e">
        <f t="shared" si="46"/>
        <v>#DIV/0!</v>
      </c>
      <c r="AL187" s="187" t="e">
        <f t="shared" si="46"/>
        <v>#DIV/0!</v>
      </c>
      <c r="AM187" s="187" t="e">
        <f t="shared" si="46"/>
        <v>#DIV/0!</v>
      </c>
      <c r="AN187" s="187" t="e">
        <f t="shared" si="46"/>
        <v>#DIV/0!</v>
      </c>
    </row>
    <row r="188" spans="2:40" x14ac:dyDescent="0.15">
      <c r="B188" s="309"/>
      <c r="C188" s="143" t="s">
        <v>1040</v>
      </c>
      <c r="D188" s="107">
        <f>SUMIFS('caseload data'!E:E,'caseload data'!$D:$D,"SPO",'caseload data'!$A:$A,"Wales",'caseload data'!$B:$B,"custody")</f>
        <v>0</v>
      </c>
      <c r="E188" s="107">
        <f>SUMIFS('caseload data'!F:F,'caseload data'!$D:$D,"SPO",'caseload data'!$A:$A,"Wales",'caseload data'!$B:$B,"custody")</f>
        <v>0</v>
      </c>
      <c r="F188" s="107">
        <f>SUMIFS('caseload data'!G:G,'caseload data'!$D:$D,"SPO",'caseload data'!$A:$A,"Wales",'caseload data'!$B:$B,"custody")</f>
        <v>0</v>
      </c>
      <c r="G188" s="107">
        <f>SUMIFS('caseload data'!H:H,'caseload data'!$D:$D,"SPO",'caseload data'!$A:$A,"Wales",'caseload data'!$B:$B,"custody")</f>
        <v>0</v>
      </c>
      <c r="H188" s="107">
        <f>SUMIFS('caseload data'!I:I,'caseload data'!$D:$D,"SPO",'caseload data'!$A:$A,"Wales",'caseload data'!$B:$B,"custody")</f>
        <v>0</v>
      </c>
      <c r="I188" s="107">
        <f>SUMIFS('caseload data'!J:J,'caseload data'!$D:$D,"SPO",'caseload data'!$A:$A,"Wales",'caseload data'!$B:$B,"custody")</f>
        <v>0</v>
      </c>
      <c r="J188" s="107">
        <f>SUMIFS('caseload data'!K:K,'caseload data'!$D:$D,"SPO",'caseload data'!$A:$A,"Wales",'caseload data'!$B:$B,"custody")</f>
        <v>0</v>
      </c>
      <c r="K188" s="107">
        <f>SUMIFS('caseload data'!L:L,'caseload data'!$D:$D,"SPO",'caseload data'!$A:$A,"Wales",'caseload data'!$B:$B,"custody")</f>
        <v>0</v>
      </c>
      <c r="L188" s="107">
        <f>SUMIFS('caseload data'!M:M,'caseload data'!$D:$D,"SPO",'caseload data'!$A:$A,"Wales",'caseload data'!$B:$B,"custody")</f>
        <v>0</v>
      </c>
      <c r="M188" s="107">
        <f>SUMIFS('caseload data'!N:N,'caseload data'!$D:$D,"SPO",'caseload data'!$A:$A,"Wales",'caseload data'!$B:$B,"custody")</f>
        <v>0</v>
      </c>
      <c r="N188" s="107">
        <f>SUMIFS('caseload data'!O:O,'caseload data'!$D:$D,"SPO",'caseload data'!$A:$A,"Wales",'caseload data'!$B:$B,"custody")</f>
        <v>0</v>
      </c>
      <c r="O188" s="107">
        <f>SUMIFS('caseload data'!P:P,'caseload data'!$D:$D,"SPO",'caseload data'!$A:$A,"Wales",'caseload data'!$B:$B,"custody")</f>
        <v>0</v>
      </c>
      <c r="P188" s="107">
        <f>SUMIFS('caseload data'!Q:Q,'caseload data'!$D:$D,"SPO",'caseload data'!$A:$A,"Wales",'caseload data'!$B:$B,"custody")</f>
        <v>0</v>
      </c>
      <c r="Q188" s="107">
        <f>SUMIFS('caseload data'!R:R,'caseload data'!$D:$D,"SPO",'caseload data'!$A:$A,"Wales",'caseload data'!$B:$B,"custody")</f>
        <v>0</v>
      </c>
      <c r="R188" s="107">
        <f>SUMIFS('caseload data'!S:S,'caseload data'!$D:$D,"SPO",'caseload data'!$A:$A,"Wales",'caseload data'!$B:$B,"custody")</f>
        <v>0</v>
      </c>
      <c r="S188" s="107">
        <f>SUMIFS('caseload data'!T:T,'caseload data'!$D:$D,"SPO",'caseload data'!$A:$A,"Wales",'caseload data'!$B:$B,"custody")</f>
        <v>0</v>
      </c>
      <c r="T188" s="107">
        <f>SUMIFS('caseload data'!V:V,'caseload data'!$D:$D,"SPO",'caseload data'!$A:$A,"Wales",'caseload data'!$B:$B,"custody")</f>
        <v>0</v>
      </c>
      <c r="U188" s="76"/>
      <c r="V188" s="76"/>
      <c r="W188" s="309"/>
      <c r="X188" s="143" t="s">
        <v>1040</v>
      </c>
      <c r="Y188" s="187" t="e">
        <f>SUM(D188)/SUM(D$185:D$188)</f>
        <v>#DIV/0!</v>
      </c>
      <c r="Z188" s="187" t="e">
        <f t="shared" si="46"/>
        <v>#DIV/0!</v>
      </c>
      <c r="AA188" s="187" t="e">
        <f t="shared" si="46"/>
        <v>#DIV/0!</v>
      </c>
      <c r="AB188" s="187" t="e">
        <f t="shared" si="46"/>
        <v>#DIV/0!</v>
      </c>
      <c r="AC188" s="187" t="e">
        <f t="shared" si="46"/>
        <v>#DIV/0!</v>
      </c>
      <c r="AD188" s="187" t="e">
        <f t="shared" si="46"/>
        <v>#DIV/0!</v>
      </c>
      <c r="AE188" s="187" t="e">
        <f t="shared" si="46"/>
        <v>#DIV/0!</v>
      </c>
      <c r="AF188" s="187" t="e">
        <f t="shared" si="46"/>
        <v>#DIV/0!</v>
      </c>
      <c r="AG188" s="187" t="e">
        <f t="shared" si="46"/>
        <v>#DIV/0!</v>
      </c>
      <c r="AH188" s="187" t="e">
        <f t="shared" si="46"/>
        <v>#DIV/0!</v>
      </c>
      <c r="AI188" s="187" t="e">
        <f t="shared" si="46"/>
        <v>#DIV/0!</v>
      </c>
      <c r="AJ188" s="187" t="e">
        <f t="shared" si="46"/>
        <v>#DIV/0!</v>
      </c>
      <c r="AK188" s="187" t="e">
        <f t="shared" si="46"/>
        <v>#DIV/0!</v>
      </c>
      <c r="AL188" s="187" t="e">
        <f t="shared" si="46"/>
        <v>#DIV/0!</v>
      </c>
      <c r="AM188" s="187" t="e">
        <f t="shared" si="46"/>
        <v>#DIV/0!</v>
      </c>
      <c r="AN188" s="187" t="e">
        <f t="shared" si="46"/>
        <v>#DIV/0!</v>
      </c>
    </row>
    <row r="189" spans="2:40" x14ac:dyDescent="0.15">
      <c r="B189" s="303" t="s">
        <v>28</v>
      </c>
      <c r="C189" s="141" t="s">
        <v>1037</v>
      </c>
      <c r="D189" s="107">
        <f>SUMIFS('caseload data'!E:E,'caseload data'!$D:$D,"PO",'caseload data'!$A:$A,$B$189,'caseload data'!$B:$B,"custody")</f>
        <v>0</v>
      </c>
      <c r="E189" s="107">
        <f>SUMIFS('caseload data'!F:F,'caseload data'!$D:$D,"PO",'caseload data'!$A:$A,$B$189,'caseload data'!$B:$B,"custody")</f>
        <v>0</v>
      </c>
      <c r="F189" s="107">
        <f>SUMIFS('caseload data'!G:G,'caseload data'!$D:$D,"PO",'caseload data'!$A:$A,$B$189,'caseload data'!$B:$B,"custody")</f>
        <v>0</v>
      </c>
      <c r="G189" s="107">
        <f>SUMIFS('caseload data'!H:H,'caseload data'!$D:$D,"PO",'caseload data'!$A:$A,$B$189,'caseload data'!$B:$B,"custody")</f>
        <v>0</v>
      </c>
      <c r="H189" s="107">
        <f>SUMIFS('caseload data'!I:I,'caseload data'!$D:$D,"PO",'caseload data'!$A:$A,$B$189,'caseload data'!$B:$B,"custody")</f>
        <v>0</v>
      </c>
      <c r="I189" s="107">
        <f>SUMIFS('caseload data'!J:J,'caseload data'!$D:$D,"PO",'caseload data'!$A:$A,$B$189,'caseload data'!$B:$B,"custody")</f>
        <v>0</v>
      </c>
      <c r="J189" s="107">
        <f>SUMIFS('caseload data'!K:K,'caseload data'!$D:$D,"PO",'caseload data'!$A:$A,$B$189,'caseload data'!$B:$B,"custody")</f>
        <v>0</v>
      </c>
      <c r="K189" s="107">
        <f>SUMIFS('caseload data'!L:L,'caseload data'!$D:$D,"PO",'caseload data'!$A:$A,$B$189,'caseload data'!$B:$B,"custody")</f>
        <v>0</v>
      </c>
      <c r="L189" s="107">
        <f>SUMIFS('caseload data'!M:M,'caseload data'!$D:$D,"PO",'caseload data'!$A:$A,$B$189,'caseload data'!$B:$B,"custody")</f>
        <v>0</v>
      </c>
      <c r="M189" s="107">
        <f>SUMIFS('caseload data'!N:N,'caseload data'!$D:$D,"PO",'caseload data'!$A:$A,$B$189,'caseload data'!$B:$B,"custody")</f>
        <v>0</v>
      </c>
      <c r="N189" s="107">
        <f>SUMIFS('caseload data'!O:O,'caseload data'!$D:$D,"PO",'caseload data'!$A:$A,$B$189,'caseload data'!$B:$B,"custody")</f>
        <v>0</v>
      </c>
      <c r="O189" s="107">
        <f>SUMIFS('caseload data'!P:P,'caseload data'!$D:$D,"PO",'caseload data'!$A:$A,$B$189,'caseload data'!$B:$B,"custody")</f>
        <v>0</v>
      </c>
      <c r="P189" s="107">
        <f>SUMIFS('caseload data'!Q:Q,'caseload data'!$D:$D,"PO",'caseload data'!$A:$A,$B$189,'caseload data'!$B:$B,"custody")</f>
        <v>0</v>
      </c>
      <c r="Q189" s="107">
        <f>SUMIFS('caseload data'!R:R,'caseload data'!$D:$D,"PO",'caseload data'!$A:$A,$B$189,'caseload data'!$B:$B,"custody")</f>
        <v>0</v>
      </c>
      <c r="R189" s="107">
        <f>SUMIFS('caseload data'!S:S,'caseload data'!$D:$D,"PO",'caseload data'!$A:$A,$B$189,'caseload data'!$B:$B,"custody")</f>
        <v>0</v>
      </c>
      <c r="S189" s="107">
        <f>SUMIFS('caseload data'!T:T,'caseload data'!$D:$D,"PO",'caseload data'!$A:$A,$B$189,'caseload data'!$B:$B,"custody")</f>
        <v>0</v>
      </c>
      <c r="T189" s="107">
        <f>SUMIFS('caseload data'!V:V,'caseload data'!D:D,"PO",'caseload data'!A:A,B189,'caseload data'!B:B,"custody")</f>
        <v>0</v>
      </c>
      <c r="U189" s="76"/>
      <c r="V189" s="76"/>
      <c r="W189" s="303" t="s">
        <v>28</v>
      </c>
      <c r="X189" s="141" t="s">
        <v>1037</v>
      </c>
      <c r="Y189" s="187" t="e">
        <f>SUM(D189)/SUM(D$189:D$192)</f>
        <v>#DIV/0!</v>
      </c>
      <c r="Z189" s="187" t="e">
        <f t="shared" ref="Z189:AN192" si="47">SUM(E189)/SUM(E$189:E$192)</f>
        <v>#DIV/0!</v>
      </c>
      <c r="AA189" s="187" t="e">
        <f t="shared" si="47"/>
        <v>#DIV/0!</v>
      </c>
      <c r="AB189" s="187" t="e">
        <f t="shared" si="47"/>
        <v>#DIV/0!</v>
      </c>
      <c r="AC189" s="187" t="e">
        <f t="shared" si="47"/>
        <v>#DIV/0!</v>
      </c>
      <c r="AD189" s="187" t="e">
        <f t="shared" si="47"/>
        <v>#DIV/0!</v>
      </c>
      <c r="AE189" s="187" t="e">
        <f t="shared" si="47"/>
        <v>#DIV/0!</v>
      </c>
      <c r="AF189" s="187" t="e">
        <f t="shared" si="47"/>
        <v>#DIV/0!</v>
      </c>
      <c r="AG189" s="187" t="e">
        <f t="shared" si="47"/>
        <v>#DIV/0!</v>
      </c>
      <c r="AH189" s="187" t="e">
        <f t="shared" si="47"/>
        <v>#DIV/0!</v>
      </c>
      <c r="AI189" s="187" t="e">
        <f t="shared" si="47"/>
        <v>#DIV/0!</v>
      </c>
      <c r="AJ189" s="187" t="e">
        <f t="shared" si="47"/>
        <v>#DIV/0!</v>
      </c>
      <c r="AK189" s="187" t="e">
        <f t="shared" si="47"/>
        <v>#DIV/0!</v>
      </c>
      <c r="AL189" s="187" t="e">
        <f t="shared" si="47"/>
        <v>#DIV/0!</v>
      </c>
      <c r="AM189" s="187" t="e">
        <f t="shared" si="47"/>
        <v>#DIV/0!</v>
      </c>
      <c r="AN189" s="187" t="e">
        <f t="shared" si="47"/>
        <v>#DIV/0!</v>
      </c>
    </row>
    <row r="190" spans="2:40" x14ac:dyDescent="0.15">
      <c r="B190" s="304"/>
      <c r="C190" s="142" t="s">
        <v>1038</v>
      </c>
      <c r="D190" s="107">
        <f>SUMIFS('caseload data'!E:E,'caseload data'!$D:$D,"PSO",'caseload data'!$A:$A,B189,'caseload data'!$B:$B,"custody")</f>
        <v>0</v>
      </c>
      <c r="E190" s="107">
        <f>SUMIFS('caseload data'!F:F,'caseload data'!$D:$D,"PSO",'caseload data'!$A:$A,C189,'caseload data'!$B:$B,"custody")</f>
        <v>0</v>
      </c>
      <c r="F190" s="107">
        <f>SUMIFS('caseload data'!G:G,'caseload data'!$D:$D,"PSO",'caseload data'!$A:$A,D189,'caseload data'!$B:$B,"custody")</f>
        <v>0</v>
      </c>
      <c r="G190" s="107">
        <f>SUMIFS('caseload data'!H:H,'caseload data'!$D:$D,"PSO",'caseload data'!$A:$A,E189,'caseload data'!$B:$B,"custody")</f>
        <v>0</v>
      </c>
      <c r="H190" s="107">
        <f>SUMIFS('caseload data'!I:I,'caseload data'!$D:$D,"PSO",'caseload data'!$A:$A,F189,'caseload data'!$B:$B,"custody")</f>
        <v>0</v>
      </c>
      <c r="I190" s="107">
        <f>SUMIFS('caseload data'!J:J,'caseload data'!$D:$D,"PSO",'caseload data'!$A:$A,G189,'caseload data'!$B:$B,"custody")</f>
        <v>0</v>
      </c>
      <c r="J190" s="107">
        <f>SUMIFS('caseload data'!K:K,'caseload data'!$D:$D,"PSO",'caseload data'!$A:$A,H189,'caseload data'!$B:$B,"custody")</f>
        <v>0</v>
      </c>
      <c r="K190" s="107">
        <f>SUMIFS('caseload data'!L:L,'caseload data'!$D:$D,"PSO",'caseload data'!$A:$A,I189,'caseload data'!$B:$B,"custody")</f>
        <v>0</v>
      </c>
      <c r="L190" s="107">
        <f>SUMIFS('caseload data'!M:M,'caseload data'!$D:$D,"PSO",'caseload data'!$A:$A,J189,'caseload data'!$B:$B,"custody")</f>
        <v>0</v>
      </c>
      <c r="M190" s="107">
        <f>SUMIFS('caseload data'!N:N,'caseload data'!$D:$D,"PSO",'caseload data'!$A:$A,K189,'caseload data'!$B:$B,"custody")</f>
        <v>0</v>
      </c>
      <c r="N190" s="107">
        <f>SUMIFS('caseload data'!O:O,'caseload data'!$D:$D,"PSO",'caseload data'!$A:$A,L189,'caseload data'!$B:$B,"custody")</f>
        <v>0</v>
      </c>
      <c r="O190" s="107">
        <f>SUMIFS('caseload data'!P:P,'caseload data'!$D:$D,"PSO",'caseload data'!$A:$A,M189,'caseload data'!$B:$B,"custody")</f>
        <v>0</v>
      </c>
      <c r="P190" s="107">
        <f>SUMIFS('caseload data'!Q:Q,'caseload data'!$D:$D,"PSO",'caseload data'!$A:$A,N189,'caseload data'!$B:$B,"custody")</f>
        <v>0</v>
      </c>
      <c r="Q190" s="107">
        <f>SUMIFS('caseload data'!R:R,'caseload data'!$D:$D,"PSO",'caseload data'!$A:$A,O189,'caseload data'!$B:$B,"custody")</f>
        <v>0</v>
      </c>
      <c r="R190" s="107">
        <f>SUMIFS('caseload data'!S:S,'caseload data'!$D:$D,"PSO",'caseload data'!$A:$A,P189,'caseload data'!$B:$B,"custody")</f>
        <v>0</v>
      </c>
      <c r="S190" s="107">
        <f>SUMIFS('caseload data'!T:T,'caseload data'!$D:$D,"PSO",'caseload data'!$A:$A,Q189,'caseload data'!$B:$B,"custody")</f>
        <v>0</v>
      </c>
      <c r="T190" s="107">
        <f>SUMIFS('caseload data'!V:V,'caseload data'!D:D,"PSO",'caseload data'!A:A,B189)</f>
        <v>0</v>
      </c>
      <c r="U190" s="76"/>
      <c r="V190" s="76"/>
      <c r="W190" s="304"/>
      <c r="X190" s="142" t="s">
        <v>1038</v>
      </c>
      <c r="Y190" s="187" t="e">
        <f>SUM(D190)/SUM(D$189:D$192)</f>
        <v>#DIV/0!</v>
      </c>
      <c r="Z190" s="187" t="e">
        <f t="shared" si="47"/>
        <v>#DIV/0!</v>
      </c>
      <c r="AA190" s="187" t="e">
        <f t="shared" si="47"/>
        <v>#DIV/0!</v>
      </c>
      <c r="AB190" s="187" t="e">
        <f t="shared" si="47"/>
        <v>#DIV/0!</v>
      </c>
      <c r="AC190" s="187" t="e">
        <f t="shared" si="47"/>
        <v>#DIV/0!</v>
      </c>
      <c r="AD190" s="187" t="e">
        <f t="shared" si="47"/>
        <v>#DIV/0!</v>
      </c>
      <c r="AE190" s="187" t="e">
        <f t="shared" si="47"/>
        <v>#DIV/0!</v>
      </c>
      <c r="AF190" s="187" t="e">
        <f t="shared" si="47"/>
        <v>#DIV/0!</v>
      </c>
      <c r="AG190" s="187" t="e">
        <f t="shared" si="47"/>
        <v>#DIV/0!</v>
      </c>
      <c r="AH190" s="187" t="e">
        <f t="shared" si="47"/>
        <v>#DIV/0!</v>
      </c>
      <c r="AI190" s="187" t="e">
        <f t="shared" si="47"/>
        <v>#DIV/0!</v>
      </c>
      <c r="AJ190" s="187" t="e">
        <f t="shared" si="47"/>
        <v>#DIV/0!</v>
      </c>
      <c r="AK190" s="187" t="e">
        <f t="shared" si="47"/>
        <v>#DIV/0!</v>
      </c>
      <c r="AL190" s="187" t="e">
        <f t="shared" si="47"/>
        <v>#DIV/0!</v>
      </c>
      <c r="AM190" s="187" t="e">
        <f t="shared" si="47"/>
        <v>#DIV/0!</v>
      </c>
      <c r="AN190" s="187" t="e">
        <f t="shared" si="47"/>
        <v>#DIV/0!</v>
      </c>
    </row>
    <row r="191" spans="2:40" x14ac:dyDescent="0.15">
      <c r="B191" s="304"/>
      <c r="C191" s="142" t="s">
        <v>1039</v>
      </c>
      <c r="D191" s="107">
        <f>SUMIFS('caseload data'!E:E,'caseload data'!$D:$D,"TPO",'caseload data'!$A:$A,B189)</f>
        <v>0</v>
      </c>
      <c r="E191" s="107">
        <f>SUMIFS('caseload data'!F:F,'caseload data'!$D:$D,"TPO",'caseload data'!$A:$A,C189)</f>
        <v>0</v>
      </c>
      <c r="F191" s="107">
        <f>SUMIFS('caseload data'!G:G,'caseload data'!$D:$D,"TPO",'caseload data'!$A:$A,D189)</f>
        <v>0</v>
      </c>
      <c r="G191" s="107">
        <f>SUMIFS('caseload data'!H:H,'caseload data'!$D:$D,"TPO",'caseload data'!$A:$A,E189)</f>
        <v>0</v>
      </c>
      <c r="H191" s="107">
        <f>SUMIFS('caseload data'!I:I,'caseload data'!$D:$D,"TPO",'caseload data'!$A:$A,F189)</f>
        <v>0</v>
      </c>
      <c r="I191" s="107">
        <f>SUMIFS('caseload data'!J:J,'caseload data'!$D:$D,"TPO",'caseload data'!$A:$A,G189)</f>
        <v>0</v>
      </c>
      <c r="J191" s="107">
        <f>SUMIFS('caseload data'!K:K,'caseload data'!$D:$D,"TPO",'caseload data'!$A:$A,H189)</f>
        <v>0</v>
      </c>
      <c r="K191" s="107">
        <f>SUMIFS('caseload data'!L:L,'caseload data'!$D:$D,"TPO",'caseload data'!$A:$A,I189)</f>
        <v>0</v>
      </c>
      <c r="L191" s="107">
        <f>SUMIFS('caseload data'!M:M,'caseload data'!$D:$D,"TPO",'caseload data'!$A:$A,J189)</f>
        <v>0</v>
      </c>
      <c r="M191" s="107">
        <f>SUMIFS('caseload data'!N:N,'caseload data'!$D:$D,"TPO",'caseload data'!$A:$A,K189)</f>
        <v>0</v>
      </c>
      <c r="N191" s="107">
        <f>SUMIFS('caseload data'!O:O,'caseload data'!$D:$D,"TPO",'caseload data'!$A:$A,L189)</f>
        <v>0</v>
      </c>
      <c r="O191" s="107">
        <f>SUMIFS('caseload data'!P:P,'caseload data'!$D:$D,"TPO",'caseload data'!$A:$A,M189)</f>
        <v>0</v>
      </c>
      <c r="P191" s="107">
        <f>SUMIFS('caseload data'!Q:Q,'caseload data'!$D:$D,"TPO",'caseload data'!$A:$A,N189)</f>
        <v>0</v>
      </c>
      <c r="Q191" s="107">
        <f>SUMIFS('caseload data'!R:R,'caseload data'!$D:$D,"TPO",'caseload data'!$A:$A,O189)</f>
        <v>0</v>
      </c>
      <c r="R191" s="107">
        <f>SUMIFS('caseload data'!S:S,'caseload data'!$D:$D,"TPO",'caseload data'!$A:$A,P189)</f>
        <v>0</v>
      </c>
      <c r="S191" s="107">
        <f>SUMIFS('caseload data'!T:T,'caseload data'!$D:$D,"TPO",'caseload data'!$A:$A,Q189)</f>
        <v>0</v>
      </c>
      <c r="T191" s="107">
        <f>SUMIFS('caseload data'!V:V,'caseload data'!D:D,"TPO",'caseload data'!A:A,B189,'caseload data'!B:B,"custody")</f>
        <v>0</v>
      </c>
      <c r="U191" s="76"/>
      <c r="V191" s="76"/>
      <c r="W191" s="304"/>
      <c r="X191" s="142" t="s">
        <v>1039</v>
      </c>
      <c r="Y191" s="187" t="e">
        <f>SUM(D191)/SUM(D$189:D$192)</f>
        <v>#DIV/0!</v>
      </c>
      <c r="Z191" s="187" t="e">
        <f t="shared" si="47"/>
        <v>#DIV/0!</v>
      </c>
      <c r="AA191" s="187" t="e">
        <f t="shared" si="47"/>
        <v>#DIV/0!</v>
      </c>
      <c r="AB191" s="187" t="e">
        <f t="shared" si="47"/>
        <v>#DIV/0!</v>
      </c>
      <c r="AC191" s="187" t="e">
        <f t="shared" si="47"/>
        <v>#DIV/0!</v>
      </c>
      <c r="AD191" s="187" t="e">
        <f t="shared" si="47"/>
        <v>#DIV/0!</v>
      </c>
      <c r="AE191" s="187" t="e">
        <f t="shared" si="47"/>
        <v>#DIV/0!</v>
      </c>
      <c r="AF191" s="187" t="e">
        <f t="shared" si="47"/>
        <v>#DIV/0!</v>
      </c>
      <c r="AG191" s="187" t="e">
        <f t="shared" si="47"/>
        <v>#DIV/0!</v>
      </c>
      <c r="AH191" s="187" t="e">
        <f t="shared" si="47"/>
        <v>#DIV/0!</v>
      </c>
      <c r="AI191" s="187" t="e">
        <f t="shared" si="47"/>
        <v>#DIV/0!</v>
      </c>
      <c r="AJ191" s="187" t="e">
        <f t="shared" si="47"/>
        <v>#DIV/0!</v>
      </c>
      <c r="AK191" s="187" t="e">
        <f t="shared" si="47"/>
        <v>#DIV/0!</v>
      </c>
      <c r="AL191" s="187" t="e">
        <f t="shared" si="47"/>
        <v>#DIV/0!</v>
      </c>
      <c r="AM191" s="187" t="e">
        <f t="shared" si="47"/>
        <v>#DIV/0!</v>
      </c>
      <c r="AN191" s="187" t="e">
        <f t="shared" si="47"/>
        <v>#DIV/0!</v>
      </c>
    </row>
    <row r="192" spans="2:40" x14ac:dyDescent="0.15">
      <c r="B192" s="309"/>
      <c r="C192" s="143" t="s">
        <v>1040</v>
      </c>
      <c r="D192" s="107">
        <f>SUMIFS('caseload data'!E:E,'caseload data'!$D:$D,"SPO",'caseload data'!$A:$A,"West Midlands Region",'caseload data'!$B:$B,"custody")</f>
        <v>0</v>
      </c>
      <c r="E192" s="107">
        <f>SUMIFS('caseload data'!F:F,'caseload data'!$D:$D,"SPO",'caseload data'!$A:$A,"West Midlands Region",'caseload data'!$B:$B,"custody")</f>
        <v>0</v>
      </c>
      <c r="F192" s="107">
        <f>SUMIFS('caseload data'!G:G,'caseload data'!$D:$D,"SPO",'caseload data'!$A:$A,"West Midlands Region",'caseload data'!$B:$B,"custody")</f>
        <v>0</v>
      </c>
      <c r="G192" s="107">
        <f>SUMIFS('caseload data'!H:H,'caseload data'!$D:$D,"SPO",'caseload data'!$A:$A,"West Midlands Region",'caseload data'!$B:$B,"custody")</f>
        <v>0</v>
      </c>
      <c r="H192" s="107">
        <f>SUMIFS('caseload data'!I:I,'caseload data'!$D:$D,"SPO",'caseload data'!$A:$A,"West Midlands Region",'caseload data'!$B:$B,"custody")</f>
        <v>0</v>
      </c>
      <c r="I192" s="107">
        <f>SUMIFS('caseload data'!J:J,'caseload data'!$D:$D,"SPO",'caseload data'!$A:$A,"West Midlands Region",'caseload data'!$B:$B,"custody")</f>
        <v>0</v>
      </c>
      <c r="J192" s="107">
        <f>SUMIFS('caseload data'!K:K,'caseload data'!$D:$D,"SPO",'caseload data'!$A:$A,"West Midlands Region",'caseload data'!$B:$B,"custody")</f>
        <v>0</v>
      </c>
      <c r="K192" s="107">
        <f>SUMIFS('caseload data'!L:L,'caseload data'!$D:$D,"SPO",'caseload data'!$A:$A,"West Midlands Region",'caseload data'!$B:$B,"custody")</f>
        <v>0</v>
      </c>
      <c r="L192" s="107">
        <f>SUMIFS('caseload data'!M:M,'caseload data'!$D:$D,"SPO",'caseload data'!$A:$A,"West Midlands Region",'caseload data'!$B:$B,"custody")</f>
        <v>0</v>
      </c>
      <c r="M192" s="107">
        <f>SUMIFS('caseload data'!N:N,'caseload data'!$D:$D,"SPO",'caseload data'!$A:$A,"West Midlands Region",'caseload data'!$B:$B,"custody")</f>
        <v>0</v>
      </c>
      <c r="N192" s="107">
        <f>SUMIFS('caseload data'!O:O,'caseload data'!$D:$D,"SPO",'caseload data'!$A:$A,"West Midlands Region",'caseload data'!$B:$B,"custody")</f>
        <v>0</v>
      </c>
      <c r="O192" s="107">
        <f>SUMIFS('caseload data'!P:P,'caseload data'!$D:$D,"SPO",'caseload data'!$A:$A,"West Midlands Region",'caseload data'!$B:$B,"custody")</f>
        <v>0</v>
      </c>
      <c r="P192" s="107">
        <f>SUMIFS('caseload data'!Q:Q,'caseload data'!$D:$D,"SPO",'caseload data'!$A:$A,"West Midlands Region",'caseload data'!$B:$B,"custody")</f>
        <v>0</v>
      </c>
      <c r="Q192" s="107">
        <f>SUMIFS('caseload data'!R:R,'caseload data'!$D:$D,"SPO",'caseload data'!$A:$A,"West Midlands Region",'caseload data'!$B:$B,"custody")</f>
        <v>0</v>
      </c>
      <c r="R192" s="107">
        <f>SUMIFS('caseload data'!S:S,'caseload data'!$D:$D,"SPO",'caseload data'!$A:$A,"West Midlands Region",'caseload data'!$B:$B,"custody")</f>
        <v>0</v>
      </c>
      <c r="S192" s="107">
        <f>SUMIFS('caseload data'!T:T,'caseload data'!$D:$D,"SPO",'caseload data'!$A:$A,"West Midlands Region",'caseload data'!$B:$B,"custody")</f>
        <v>0</v>
      </c>
      <c r="T192" s="107">
        <f>SUMIFS('caseload data'!V:V,'caseload data'!$D:$D,"SPO",'caseload data'!$A:$A,"West Midlands Region",'caseload data'!$B:$B,"custody")</f>
        <v>0</v>
      </c>
      <c r="U192" s="76"/>
      <c r="V192" s="76"/>
      <c r="W192" s="309"/>
      <c r="X192" s="143" t="s">
        <v>1040</v>
      </c>
      <c r="Y192" s="187" t="e">
        <f>SUM(D192)/SUM(D$189:D$192)</f>
        <v>#DIV/0!</v>
      </c>
      <c r="Z192" s="187" t="e">
        <f t="shared" si="47"/>
        <v>#DIV/0!</v>
      </c>
      <c r="AA192" s="187" t="e">
        <f t="shared" si="47"/>
        <v>#DIV/0!</v>
      </c>
      <c r="AB192" s="187" t="e">
        <f t="shared" si="47"/>
        <v>#DIV/0!</v>
      </c>
      <c r="AC192" s="187" t="e">
        <f t="shared" si="47"/>
        <v>#DIV/0!</v>
      </c>
      <c r="AD192" s="187" t="e">
        <f t="shared" si="47"/>
        <v>#DIV/0!</v>
      </c>
      <c r="AE192" s="187" t="e">
        <f t="shared" si="47"/>
        <v>#DIV/0!</v>
      </c>
      <c r="AF192" s="187" t="e">
        <f t="shared" si="47"/>
        <v>#DIV/0!</v>
      </c>
      <c r="AG192" s="187" t="e">
        <f t="shared" si="47"/>
        <v>#DIV/0!</v>
      </c>
      <c r="AH192" s="187" t="e">
        <f t="shared" si="47"/>
        <v>#DIV/0!</v>
      </c>
      <c r="AI192" s="187" t="e">
        <f t="shared" si="47"/>
        <v>#DIV/0!</v>
      </c>
      <c r="AJ192" s="187" t="e">
        <f t="shared" si="47"/>
        <v>#DIV/0!</v>
      </c>
      <c r="AK192" s="187" t="e">
        <f t="shared" si="47"/>
        <v>#DIV/0!</v>
      </c>
      <c r="AL192" s="187" t="e">
        <f t="shared" si="47"/>
        <v>#DIV/0!</v>
      </c>
      <c r="AM192" s="187" t="e">
        <f t="shared" si="47"/>
        <v>#DIV/0!</v>
      </c>
      <c r="AN192" s="187" t="e">
        <f t="shared" si="47"/>
        <v>#DIV/0!</v>
      </c>
    </row>
    <row r="193" spans="2:40" x14ac:dyDescent="0.15">
      <c r="B193" s="303" t="s">
        <v>1409</v>
      </c>
      <c r="C193" s="141" t="s">
        <v>1037</v>
      </c>
      <c r="D193" s="107">
        <f>SUMIFS('caseload data'!E:E,'caseload data'!$D:$D,"PO",'caseload data'!$A:$A,$B$193,'caseload data'!$B:$B,"custody")</f>
        <v>0</v>
      </c>
      <c r="E193" s="107">
        <f>SUMIFS('caseload data'!F:F,'caseload data'!$D:$D,"PO",'caseload data'!$A:$A,$B$193,'caseload data'!$B:$B,"custody")</f>
        <v>0</v>
      </c>
      <c r="F193" s="107">
        <f>SUMIFS('caseload data'!G:G,'caseload data'!$D:$D,"PO",'caseload data'!$A:$A,$B$193,'caseload data'!$B:$B,"custody")</f>
        <v>0</v>
      </c>
      <c r="G193" s="107">
        <f>SUMIFS('caseload data'!H:H,'caseload data'!$D:$D,"PO",'caseload data'!$A:$A,$B$193,'caseload data'!$B:$B,"custody")</f>
        <v>0</v>
      </c>
      <c r="H193" s="107">
        <f>SUMIFS('caseload data'!I:I,'caseload data'!$D:$D,"PO",'caseload data'!$A:$A,$B$193,'caseload data'!$B:$B,"custody")</f>
        <v>0</v>
      </c>
      <c r="I193" s="107">
        <f>SUMIFS('caseload data'!J:J,'caseload data'!$D:$D,"PO",'caseload data'!$A:$A,$B$193,'caseload data'!$B:$B,"custody")</f>
        <v>0</v>
      </c>
      <c r="J193" s="107">
        <f>SUMIFS('caseload data'!K:K,'caseload data'!$D:$D,"PO",'caseload data'!$A:$A,$B$193,'caseload data'!$B:$B,"custody")</f>
        <v>0</v>
      </c>
      <c r="K193" s="107">
        <f>SUMIFS('caseload data'!L:L,'caseload data'!$D:$D,"PO",'caseload data'!$A:$A,$B$193,'caseload data'!$B:$B,"custody")</f>
        <v>0</v>
      </c>
      <c r="L193" s="107">
        <f>SUMIFS('caseload data'!M:M,'caseload data'!$D:$D,"PO",'caseload data'!$A:$A,$B$193,'caseload data'!$B:$B,"custody")</f>
        <v>0</v>
      </c>
      <c r="M193" s="107">
        <f>SUMIFS('caseload data'!N:N,'caseload data'!$D:$D,"PO",'caseload data'!$A:$A,$B$193,'caseload data'!$B:$B,"custody")</f>
        <v>0</v>
      </c>
      <c r="N193" s="107">
        <f>SUMIFS('caseload data'!O:O,'caseload data'!$D:$D,"PO",'caseload data'!$A:$A,$B$193,'caseload data'!$B:$B,"custody")</f>
        <v>0</v>
      </c>
      <c r="O193" s="107">
        <f>SUMIFS('caseload data'!P:P,'caseload data'!$D:$D,"PO",'caseload data'!$A:$A,$B$193,'caseload data'!$B:$B,"custody")</f>
        <v>0</v>
      </c>
      <c r="P193" s="107">
        <f>SUMIFS('caseload data'!Q:Q,'caseload data'!$D:$D,"PO",'caseload data'!$A:$A,$B$193,'caseload data'!$B:$B,"custody")</f>
        <v>0</v>
      </c>
      <c r="Q193" s="107">
        <f>SUMIFS('caseload data'!R:R,'caseload data'!$D:$D,"PO",'caseload data'!$A:$A,$B$193,'caseload data'!$B:$B,"custody")</f>
        <v>0</v>
      </c>
      <c r="R193" s="107">
        <f>SUMIFS('caseload data'!S:S,'caseload data'!$D:$D,"PO",'caseload data'!$A:$A,$B$193,'caseload data'!$B:$B,"custody")</f>
        <v>0</v>
      </c>
      <c r="S193" s="107">
        <f>SUMIFS('caseload data'!T:T,'caseload data'!$D:$D,"PO",'caseload data'!$A:$A,$B$193,'caseload data'!$B:$B,"custody")</f>
        <v>0</v>
      </c>
      <c r="T193" s="107">
        <f>SUMIFS('caseload data'!V:V,'caseload data'!D:D,"PO",'caseload data'!A:A,B193,'caseload data'!B:B,"custody")</f>
        <v>0</v>
      </c>
      <c r="U193" s="76"/>
      <c r="V193" s="76"/>
      <c r="W193" s="303" t="s">
        <v>1409</v>
      </c>
      <c r="X193" s="141" t="s">
        <v>1037</v>
      </c>
      <c r="Y193" s="187" t="e">
        <f>SUM(D193)/SUM(D$193:D$196)</f>
        <v>#DIV/0!</v>
      </c>
      <c r="Z193" s="187" t="e">
        <f t="shared" ref="Z193:AN196" si="48">SUM(E193)/SUM(E$193:E$196)</f>
        <v>#DIV/0!</v>
      </c>
      <c r="AA193" s="187" t="e">
        <f t="shared" si="48"/>
        <v>#DIV/0!</v>
      </c>
      <c r="AB193" s="187" t="e">
        <f t="shared" si="48"/>
        <v>#DIV/0!</v>
      </c>
      <c r="AC193" s="187" t="e">
        <f t="shared" si="48"/>
        <v>#DIV/0!</v>
      </c>
      <c r="AD193" s="187" t="e">
        <f t="shared" si="48"/>
        <v>#DIV/0!</v>
      </c>
      <c r="AE193" s="187" t="e">
        <f t="shared" si="48"/>
        <v>#DIV/0!</v>
      </c>
      <c r="AF193" s="187" t="e">
        <f t="shared" si="48"/>
        <v>#DIV/0!</v>
      </c>
      <c r="AG193" s="187" t="e">
        <f t="shared" si="48"/>
        <v>#DIV/0!</v>
      </c>
      <c r="AH193" s="187" t="e">
        <f t="shared" si="48"/>
        <v>#DIV/0!</v>
      </c>
      <c r="AI193" s="187" t="e">
        <f t="shared" si="48"/>
        <v>#DIV/0!</v>
      </c>
      <c r="AJ193" s="187" t="e">
        <f t="shared" si="48"/>
        <v>#DIV/0!</v>
      </c>
      <c r="AK193" s="187" t="e">
        <f t="shared" si="48"/>
        <v>#DIV/0!</v>
      </c>
      <c r="AL193" s="187" t="e">
        <f t="shared" si="48"/>
        <v>#DIV/0!</v>
      </c>
      <c r="AM193" s="187" t="e">
        <f t="shared" si="48"/>
        <v>#DIV/0!</v>
      </c>
      <c r="AN193" s="187" t="e">
        <f t="shared" si="48"/>
        <v>#DIV/0!</v>
      </c>
    </row>
    <row r="194" spans="2:40" x14ac:dyDescent="0.15">
      <c r="B194" s="304"/>
      <c r="C194" s="142" t="s">
        <v>1038</v>
      </c>
      <c r="D194" s="107">
        <f>SUMIFS('caseload data'!E:E,'caseload data'!$D:$D,"PSO",'caseload data'!$A:$A,B193,'caseload data'!$B:$B,"custody")</f>
        <v>0</v>
      </c>
      <c r="E194" s="107">
        <f>SUMIFS('caseload data'!F:F,'caseload data'!$D:$D,"PSO",'caseload data'!$A:$A,C193,'caseload data'!$B:$B,"custody")</f>
        <v>0</v>
      </c>
      <c r="F194" s="107">
        <f>SUMIFS('caseload data'!G:G,'caseload data'!$D:$D,"PSO",'caseload data'!$A:$A,D193,'caseload data'!$B:$B,"custody")</f>
        <v>0</v>
      </c>
      <c r="G194" s="107">
        <f>SUMIFS('caseload data'!H:H,'caseload data'!$D:$D,"PSO",'caseload data'!$A:$A,E193,'caseload data'!$B:$B,"custody")</f>
        <v>0</v>
      </c>
      <c r="H194" s="107">
        <f>SUMIFS('caseload data'!I:I,'caseload data'!$D:$D,"PSO",'caseload data'!$A:$A,F193,'caseload data'!$B:$B,"custody")</f>
        <v>0</v>
      </c>
      <c r="I194" s="107">
        <f>SUMIFS('caseload data'!J:J,'caseload data'!$D:$D,"PSO",'caseload data'!$A:$A,G193,'caseload data'!$B:$B,"custody")</f>
        <v>0</v>
      </c>
      <c r="J194" s="107">
        <f>SUMIFS('caseload data'!K:K,'caseload data'!$D:$D,"PSO",'caseload data'!$A:$A,H193,'caseload data'!$B:$B,"custody")</f>
        <v>0</v>
      </c>
      <c r="K194" s="107">
        <f>SUMIFS('caseload data'!L:L,'caseload data'!$D:$D,"PSO",'caseload data'!$A:$A,I193,'caseload data'!$B:$B,"custody")</f>
        <v>0</v>
      </c>
      <c r="L194" s="107">
        <f>SUMIFS('caseload data'!M:M,'caseload data'!$D:$D,"PSO",'caseload data'!$A:$A,J193,'caseload data'!$B:$B,"custody")</f>
        <v>0</v>
      </c>
      <c r="M194" s="107">
        <f>SUMIFS('caseload data'!N:N,'caseload data'!$D:$D,"PSO",'caseload data'!$A:$A,K193,'caseload data'!$B:$B,"custody")</f>
        <v>0</v>
      </c>
      <c r="N194" s="107">
        <f>SUMIFS('caseload data'!O:O,'caseload data'!$D:$D,"PSO",'caseload data'!$A:$A,L193,'caseload data'!$B:$B,"custody")</f>
        <v>0</v>
      </c>
      <c r="O194" s="107">
        <f>SUMIFS('caseload data'!P:P,'caseload data'!$D:$D,"PSO",'caseload data'!$A:$A,M193,'caseload data'!$B:$B,"custody")</f>
        <v>0</v>
      </c>
      <c r="P194" s="107">
        <f>SUMIFS('caseload data'!Q:Q,'caseload data'!$D:$D,"PSO",'caseload data'!$A:$A,N193,'caseload data'!$B:$B,"custody")</f>
        <v>0</v>
      </c>
      <c r="Q194" s="107">
        <f>SUMIFS('caseload data'!R:R,'caseload data'!$D:$D,"PSO",'caseload data'!$A:$A,O193,'caseload data'!$B:$B,"custody")</f>
        <v>0</v>
      </c>
      <c r="R194" s="107">
        <f>SUMIFS('caseload data'!S:S,'caseload data'!$D:$D,"PSO",'caseload data'!$A:$A,P193,'caseload data'!$B:$B,"custody")</f>
        <v>0</v>
      </c>
      <c r="S194" s="107">
        <f>SUMIFS('caseload data'!T:T,'caseload data'!$D:$D,"PSO",'caseload data'!$A:$A,Q193,'caseload data'!$B:$B,"custody")</f>
        <v>0</v>
      </c>
      <c r="T194" s="107">
        <f>SUMIFS('caseload data'!V:V,'caseload data'!D:D,"PSO",'caseload data'!A:A,B193,'caseload data'!B:B,"custody")</f>
        <v>0</v>
      </c>
      <c r="U194" s="76"/>
      <c r="V194" s="76"/>
      <c r="W194" s="304"/>
      <c r="X194" s="142" t="s">
        <v>1038</v>
      </c>
      <c r="Y194" s="187" t="e">
        <f>SUM(D194)/SUM(D$193:D$196)</f>
        <v>#DIV/0!</v>
      </c>
      <c r="Z194" s="187" t="e">
        <f t="shared" si="48"/>
        <v>#DIV/0!</v>
      </c>
      <c r="AA194" s="187" t="e">
        <f t="shared" si="48"/>
        <v>#DIV/0!</v>
      </c>
      <c r="AB194" s="187" t="e">
        <f t="shared" si="48"/>
        <v>#DIV/0!</v>
      </c>
      <c r="AC194" s="187" t="e">
        <f t="shared" si="48"/>
        <v>#DIV/0!</v>
      </c>
      <c r="AD194" s="187" t="e">
        <f t="shared" si="48"/>
        <v>#DIV/0!</v>
      </c>
      <c r="AE194" s="187" t="e">
        <f t="shared" si="48"/>
        <v>#DIV/0!</v>
      </c>
      <c r="AF194" s="187" t="e">
        <f t="shared" si="48"/>
        <v>#DIV/0!</v>
      </c>
      <c r="AG194" s="187" t="e">
        <f t="shared" si="48"/>
        <v>#DIV/0!</v>
      </c>
      <c r="AH194" s="187" t="e">
        <f t="shared" si="48"/>
        <v>#DIV/0!</v>
      </c>
      <c r="AI194" s="187" t="e">
        <f t="shared" si="48"/>
        <v>#DIV/0!</v>
      </c>
      <c r="AJ194" s="187" t="e">
        <f t="shared" si="48"/>
        <v>#DIV/0!</v>
      </c>
      <c r="AK194" s="187" t="e">
        <f t="shared" si="48"/>
        <v>#DIV/0!</v>
      </c>
      <c r="AL194" s="187" t="e">
        <f t="shared" si="48"/>
        <v>#DIV/0!</v>
      </c>
      <c r="AM194" s="187" t="e">
        <f t="shared" si="48"/>
        <v>#DIV/0!</v>
      </c>
      <c r="AN194" s="187" t="e">
        <f t="shared" si="48"/>
        <v>#DIV/0!</v>
      </c>
    </row>
    <row r="195" spans="2:40" x14ac:dyDescent="0.15">
      <c r="B195" s="304"/>
      <c r="C195" s="142" t="s">
        <v>1039</v>
      </c>
      <c r="D195" s="107">
        <f>SUMIFS('caseload data'!E:E,'caseload data'!$D:$D,"TPO",'caseload data'!$A:$A,B193,'caseload data'!$B:$B,"custody")</f>
        <v>0</v>
      </c>
      <c r="E195" s="107">
        <f>SUMIFS('caseload data'!F:F,'caseload data'!$D:$D,"TPO",'caseload data'!$A:$A,C193,'caseload data'!$B:$B,"custody")</f>
        <v>0</v>
      </c>
      <c r="F195" s="107">
        <f>SUMIFS('caseload data'!G:G,'caseload data'!$D:$D,"TPO",'caseload data'!$A:$A,D193,'caseload data'!$B:$B,"custody")</f>
        <v>0</v>
      </c>
      <c r="G195" s="107">
        <f>SUMIFS('caseload data'!H:H,'caseload data'!$D:$D,"TPO",'caseload data'!$A:$A,E193,'caseload data'!$B:$B,"custody")</f>
        <v>0</v>
      </c>
      <c r="H195" s="107">
        <f>SUMIFS('caseload data'!I:I,'caseload data'!$D:$D,"TPO",'caseload data'!$A:$A,F193,'caseload data'!$B:$B,"custody")</f>
        <v>0</v>
      </c>
      <c r="I195" s="107">
        <f>SUMIFS('caseload data'!J:J,'caseload data'!$D:$D,"TPO",'caseload data'!$A:$A,G193,'caseload data'!$B:$B,"custody")</f>
        <v>0</v>
      </c>
      <c r="J195" s="107">
        <f>SUMIFS('caseload data'!K:K,'caseload data'!$D:$D,"TPO",'caseload data'!$A:$A,H193,'caseload data'!$B:$B,"custody")</f>
        <v>0</v>
      </c>
      <c r="K195" s="107">
        <f>SUMIFS('caseload data'!L:L,'caseload data'!$D:$D,"TPO",'caseload data'!$A:$A,I193,'caseload data'!$B:$B,"custody")</f>
        <v>0</v>
      </c>
      <c r="L195" s="107">
        <f>SUMIFS('caseload data'!M:M,'caseload data'!$D:$D,"TPO",'caseload data'!$A:$A,J193,'caseload data'!$B:$B,"custody")</f>
        <v>0</v>
      </c>
      <c r="M195" s="107">
        <f>SUMIFS('caseload data'!N:N,'caseload data'!$D:$D,"TPO",'caseload data'!$A:$A,K193,'caseload data'!$B:$B,"custody")</f>
        <v>0</v>
      </c>
      <c r="N195" s="107">
        <f>SUMIFS('caseload data'!O:O,'caseload data'!$D:$D,"TPO",'caseload data'!$A:$A,L193,'caseload data'!$B:$B,"custody")</f>
        <v>0</v>
      </c>
      <c r="O195" s="107">
        <f>SUMIFS('caseload data'!P:P,'caseload data'!$D:$D,"TPO",'caseload data'!$A:$A,M193,'caseload data'!$B:$B,"custody")</f>
        <v>0</v>
      </c>
      <c r="P195" s="107">
        <f>SUMIFS('caseload data'!Q:Q,'caseload data'!$D:$D,"TPO",'caseload data'!$A:$A,N193,'caseload data'!$B:$B,"custody")</f>
        <v>0</v>
      </c>
      <c r="Q195" s="107">
        <f>SUMIFS('caseload data'!R:R,'caseload data'!$D:$D,"TPO",'caseload data'!$A:$A,O193,'caseload data'!$B:$B,"custody")</f>
        <v>0</v>
      </c>
      <c r="R195" s="107">
        <f>SUMIFS('caseload data'!S:S,'caseload data'!$D:$D,"TPO",'caseload data'!$A:$A,P193,'caseload data'!$B:$B,"custody")</f>
        <v>0</v>
      </c>
      <c r="S195" s="107">
        <f>SUMIFS('caseload data'!T:T,'caseload data'!$D:$D,"TPO",'caseload data'!$A:$A,Q193,'caseload data'!$B:$B,"custody")</f>
        <v>0</v>
      </c>
      <c r="T195" s="107">
        <f>SUMIFS('caseload data'!V:V,'caseload data'!D:D,"TPO",'caseload data'!A:A,B193,'caseload data'!B:B,"custody")</f>
        <v>0</v>
      </c>
      <c r="U195" s="76"/>
      <c r="V195" s="76"/>
      <c r="W195" s="304"/>
      <c r="X195" s="142" t="s">
        <v>1039</v>
      </c>
      <c r="Y195" s="187" t="e">
        <f>SUM(D195)/SUM(D$193:D$196)</f>
        <v>#DIV/0!</v>
      </c>
      <c r="Z195" s="187" t="e">
        <f t="shared" si="48"/>
        <v>#DIV/0!</v>
      </c>
      <c r="AA195" s="187" t="e">
        <f t="shared" si="48"/>
        <v>#DIV/0!</v>
      </c>
      <c r="AB195" s="187" t="e">
        <f t="shared" si="48"/>
        <v>#DIV/0!</v>
      </c>
      <c r="AC195" s="187" t="e">
        <f t="shared" si="48"/>
        <v>#DIV/0!</v>
      </c>
      <c r="AD195" s="187" t="e">
        <f t="shared" si="48"/>
        <v>#DIV/0!</v>
      </c>
      <c r="AE195" s="187" t="e">
        <f t="shared" si="48"/>
        <v>#DIV/0!</v>
      </c>
      <c r="AF195" s="187" t="e">
        <f t="shared" si="48"/>
        <v>#DIV/0!</v>
      </c>
      <c r="AG195" s="187" t="e">
        <f t="shared" si="48"/>
        <v>#DIV/0!</v>
      </c>
      <c r="AH195" s="187" t="e">
        <f t="shared" si="48"/>
        <v>#DIV/0!</v>
      </c>
      <c r="AI195" s="187" t="e">
        <f t="shared" si="48"/>
        <v>#DIV/0!</v>
      </c>
      <c r="AJ195" s="187" t="e">
        <f t="shared" si="48"/>
        <v>#DIV/0!</v>
      </c>
      <c r="AK195" s="187" t="e">
        <f t="shared" si="48"/>
        <v>#DIV/0!</v>
      </c>
      <c r="AL195" s="187" t="e">
        <f t="shared" si="48"/>
        <v>#DIV/0!</v>
      </c>
      <c r="AM195" s="187" t="e">
        <f t="shared" si="48"/>
        <v>#DIV/0!</v>
      </c>
      <c r="AN195" s="187" t="e">
        <f t="shared" si="48"/>
        <v>#DIV/0!</v>
      </c>
    </row>
    <row r="196" spans="2:40" x14ac:dyDescent="0.15">
      <c r="B196" s="309"/>
      <c r="C196" s="143" t="s">
        <v>1040</v>
      </c>
      <c r="D196" s="107">
        <f>SUMIFS('caseload data'!E:E,'caseload data'!$D:$D,"SPO",'caseload data'!$A:$A,"Yorkshire and The Humber",'caseload data'!$B:$B,"custody")</f>
        <v>0</v>
      </c>
      <c r="E196" s="107">
        <f>SUMIFS('caseload data'!F:F,'caseload data'!$D:$D,"SPO",'caseload data'!$A:$A,"Yorkshire and The Humber",'caseload data'!$B:$B,"custody")</f>
        <v>0</v>
      </c>
      <c r="F196" s="107">
        <f>SUMIFS('caseload data'!G:G,'caseload data'!$D:$D,"SPO",'caseload data'!$A:$A,"Yorkshire and The Humber",'caseload data'!$B:$B,"custody")</f>
        <v>0</v>
      </c>
      <c r="G196" s="107">
        <f>SUMIFS('caseload data'!H:H,'caseload data'!$D:$D,"SPO",'caseload data'!$A:$A,"Yorkshire and The Humber",'caseload data'!$B:$B,"custody")</f>
        <v>0</v>
      </c>
      <c r="H196" s="107">
        <f>SUMIFS('caseload data'!I:I,'caseload data'!$D:$D,"SPO",'caseload data'!$A:$A,"Yorkshire and The Humber",'caseload data'!$B:$B,"custody")</f>
        <v>0</v>
      </c>
      <c r="I196" s="107">
        <f>SUMIFS('caseload data'!J:J,'caseload data'!$D:$D,"SPO",'caseload data'!$A:$A,"Yorkshire and The Humber",'caseload data'!$B:$B,"custody")</f>
        <v>0</v>
      </c>
      <c r="J196" s="107">
        <f>SUMIFS('caseload data'!K:K,'caseload data'!$D:$D,"SPO",'caseload data'!$A:$A,"Yorkshire and The Humber",'caseload data'!$B:$B,"custody")</f>
        <v>0</v>
      </c>
      <c r="K196" s="107">
        <f>SUMIFS('caseload data'!L:L,'caseload data'!$D:$D,"SPO",'caseload data'!$A:$A,"Yorkshire and The Humber",'caseload data'!$B:$B,"custody")</f>
        <v>0</v>
      </c>
      <c r="L196" s="107">
        <f>SUMIFS('caseload data'!M:M,'caseload data'!$D:$D,"SPO",'caseload data'!$A:$A,"Yorkshire and The Humber",'caseload data'!$B:$B,"custody")</f>
        <v>0</v>
      </c>
      <c r="M196" s="107">
        <f>SUMIFS('caseload data'!N:N,'caseload data'!$D:$D,"SPO",'caseload data'!$A:$A,"Yorkshire and The Humber",'caseload data'!$B:$B,"custody")</f>
        <v>0</v>
      </c>
      <c r="N196" s="107">
        <f>SUMIFS('caseload data'!O:O,'caseload data'!$D:$D,"SPO",'caseload data'!$A:$A,"Yorkshire and The Humber",'caseload data'!$B:$B,"custody")</f>
        <v>0</v>
      </c>
      <c r="O196" s="107">
        <f>SUMIFS('caseload data'!P:P,'caseload data'!$D:$D,"SPO",'caseload data'!$A:$A,"Yorkshire and The Humber",'caseload data'!$B:$B,"custody")</f>
        <v>0</v>
      </c>
      <c r="P196" s="107">
        <f>SUMIFS('caseload data'!Q:Q,'caseload data'!$D:$D,"SPO",'caseload data'!$A:$A,"Yorkshire and The Humber",'caseload data'!$B:$B,"custody")</f>
        <v>0</v>
      </c>
      <c r="Q196" s="107">
        <f>SUMIFS('caseload data'!R:R,'caseload data'!$D:$D,"SPO",'caseload data'!$A:$A,"Yorkshire and The Humber",'caseload data'!$B:$B,"custody")</f>
        <v>0</v>
      </c>
      <c r="R196" s="107">
        <f>SUMIFS('caseload data'!S:S,'caseload data'!$D:$D,"SPO",'caseload data'!$A:$A,"Yorkshire and The Humber",'caseload data'!$B:$B,"custody")</f>
        <v>0</v>
      </c>
      <c r="S196" s="107">
        <f>SUMIFS('caseload data'!T:T,'caseload data'!$D:$D,"SPO",'caseload data'!$A:$A,"Yorkshire and The Humber",'caseload data'!$B:$B,"custody")</f>
        <v>0</v>
      </c>
      <c r="T196" s="107">
        <f>SUMIFS('caseload data'!V:V,'caseload data'!$D:$D,"SPO",'caseload data'!$A:$A,"Yorkshire and The Humber",'caseload data'!$B:$B,"custody")</f>
        <v>0</v>
      </c>
      <c r="U196" s="76"/>
      <c r="V196" s="76"/>
      <c r="W196" s="309"/>
      <c r="X196" s="143" t="s">
        <v>1040</v>
      </c>
      <c r="Y196" s="187" t="e">
        <f>SUM(D196)/SUM(D$193:D$196)</f>
        <v>#DIV/0!</v>
      </c>
      <c r="Z196" s="187" t="e">
        <f t="shared" si="48"/>
        <v>#DIV/0!</v>
      </c>
      <c r="AA196" s="187" t="e">
        <f t="shared" si="48"/>
        <v>#DIV/0!</v>
      </c>
      <c r="AB196" s="187" t="e">
        <f t="shared" si="48"/>
        <v>#DIV/0!</v>
      </c>
      <c r="AC196" s="187" t="e">
        <f t="shared" si="48"/>
        <v>#DIV/0!</v>
      </c>
      <c r="AD196" s="187" t="e">
        <f t="shared" si="48"/>
        <v>#DIV/0!</v>
      </c>
      <c r="AE196" s="187" t="e">
        <f t="shared" si="48"/>
        <v>#DIV/0!</v>
      </c>
      <c r="AF196" s="187" t="e">
        <f t="shared" si="48"/>
        <v>#DIV/0!</v>
      </c>
      <c r="AG196" s="187" t="e">
        <f t="shared" si="48"/>
        <v>#DIV/0!</v>
      </c>
      <c r="AH196" s="187" t="e">
        <f t="shared" si="48"/>
        <v>#DIV/0!</v>
      </c>
      <c r="AI196" s="187" t="e">
        <f t="shared" si="48"/>
        <v>#DIV/0!</v>
      </c>
      <c r="AJ196" s="187" t="e">
        <f t="shared" si="48"/>
        <v>#DIV/0!</v>
      </c>
      <c r="AK196" s="187" t="e">
        <f t="shared" si="48"/>
        <v>#DIV/0!</v>
      </c>
      <c r="AL196" s="187" t="e">
        <f t="shared" si="48"/>
        <v>#DIV/0!</v>
      </c>
      <c r="AM196" s="187" t="e">
        <f t="shared" si="48"/>
        <v>#DIV/0!</v>
      </c>
      <c r="AN196" s="187" t="e">
        <f t="shared" si="48"/>
        <v>#DIV/0!</v>
      </c>
    </row>
    <row r="197" spans="2:40" x14ac:dyDescent="0.15">
      <c r="B197" s="303" t="s">
        <v>29</v>
      </c>
      <c r="C197" s="141" t="s">
        <v>1037</v>
      </c>
      <c r="D197" s="107">
        <f>SUMIFS('caseload data'!E:E,'caseload data'!$D:$D,"PO",'caseload data'!$A:$A,$B197,'caseload data'!$B:$B,"custody")</f>
        <v>0</v>
      </c>
      <c r="E197" s="107">
        <f>SUMIFS('caseload data'!F:F,'caseload data'!$D:$D,"PO",'caseload data'!$A:$A,$B197,'caseload data'!$B:$B,"custody")</f>
        <v>0</v>
      </c>
      <c r="F197" s="107">
        <f>SUMIFS('caseload data'!G:G,'caseload data'!$D:$D,"PO",'caseload data'!$A:$A,$B197,'caseload data'!$B:$B,"custody")</f>
        <v>0</v>
      </c>
      <c r="G197" s="107">
        <f>SUMIFS('caseload data'!H:H,'caseload data'!$D:$D,"PO",'caseload data'!$A:$A,$B197,'caseload data'!$B:$B,"custody")</f>
        <v>0</v>
      </c>
      <c r="H197" s="107">
        <f>SUMIFS('caseload data'!I:I,'caseload data'!$D:$D,"PO",'caseload data'!$A:$A,$B197,'caseload data'!$B:$B,"custody")</f>
        <v>0</v>
      </c>
      <c r="I197" s="107">
        <f>SUMIFS('caseload data'!J:J,'caseload data'!$D:$D,"PO",'caseload data'!$A:$A,$B197,'caseload data'!$B:$B,"custody")</f>
        <v>0</v>
      </c>
      <c r="J197" s="107">
        <f>SUMIFS('caseload data'!K:K,'caseload data'!$D:$D,"PO",'caseload data'!$A:$A,$B197,'caseload data'!$B:$B,"custody")</f>
        <v>0</v>
      </c>
      <c r="K197" s="107">
        <f>SUMIFS('caseload data'!L:L,'caseload data'!$D:$D,"PO",'caseload data'!$A:$A,$B197,'caseload data'!$B:$B,"custody")</f>
        <v>0</v>
      </c>
      <c r="L197" s="107">
        <f>SUMIFS('caseload data'!M:M,'caseload data'!$D:$D,"PO",'caseload data'!$A:$A,$B197,'caseload data'!$B:$B,"custody")</f>
        <v>0</v>
      </c>
      <c r="M197" s="107">
        <f>SUMIFS('caseload data'!N:N,'caseload data'!$D:$D,"PO",'caseload data'!$A:$A,$B197,'caseload data'!$B:$B,"custody")</f>
        <v>0</v>
      </c>
      <c r="N197" s="107">
        <f>SUMIFS('caseload data'!O:O,'caseload data'!$D:$D,"PO",'caseload data'!$A:$A,$B197,'caseload data'!$B:$B,"custody")</f>
        <v>0</v>
      </c>
      <c r="O197" s="107">
        <f>SUMIFS('caseload data'!P:P,'caseload data'!$D:$D,"PO",'caseload data'!$A:$A,$B197,'caseload data'!$B:$B,"custody")</f>
        <v>0</v>
      </c>
      <c r="P197" s="107">
        <f>SUMIFS('caseload data'!Q:Q,'caseload data'!$D:$D,"PO",'caseload data'!$A:$A,$B197,'caseload data'!$B:$B,"custody")</f>
        <v>0</v>
      </c>
      <c r="Q197" s="107">
        <f>SUMIFS('caseload data'!R:R,'caseload data'!$D:$D,"PO",'caseload data'!$A:$A,$B197,'caseload data'!$B:$B,"custody")</f>
        <v>0</v>
      </c>
      <c r="R197" s="107">
        <f>SUMIFS('caseload data'!S:S,'caseload data'!$D:$D,"PO",'caseload data'!$A:$A,$B197,'caseload data'!$B:$B,"custody")</f>
        <v>0</v>
      </c>
      <c r="S197" s="107">
        <f>SUMIFS('caseload data'!T:T,'caseload data'!$D:$D,"PO",'caseload data'!$A:$A,$B197,'caseload data'!$B:$B,"custody")</f>
        <v>0</v>
      </c>
      <c r="T197" s="107">
        <f>SUMIFS('caseload data'!V:V,'caseload data'!$D:$D,"PO",'caseload data'!$A:$A,$B197,'caseload data'!$B:$B,"custody")</f>
        <v>0</v>
      </c>
      <c r="U197" s="76"/>
      <c r="V197" s="76"/>
      <c r="W197" s="303" t="s">
        <v>29</v>
      </c>
      <c r="X197" s="141" t="s">
        <v>1037</v>
      </c>
      <c r="Y197" s="187" t="e">
        <f>SUM(D197)/SUM(D$197:D$200)</f>
        <v>#DIV/0!</v>
      </c>
      <c r="Z197" s="187" t="e">
        <f t="shared" ref="Z197:AN200" si="49">SUM(E197)/SUM(E$197:E$200)</f>
        <v>#DIV/0!</v>
      </c>
      <c r="AA197" s="187" t="e">
        <f t="shared" si="49"/>
        <v>#DIV/0!</v>
      </c>
      <c r="AB197" s="187" t="e">
        <f t="shared" si="49"/>
        <v>#DIV/0!</v>
      </c>
      <c r="AC197" s="187" t="e">
        <f t="shared" si="49"/>
        <v>#DIV/0!</v>
      </c>
      <c r="AD197" s="187" t="e">
        <f t="shared" si="49"/>
        <v>#DIV/0!</v>
      </c>
      <c r="AE197" s="187" t="e">
        <f t="shared" si="49"/>
        <v>#DIV/0!</v>
      </c>
      <c r="AF197" s="187" t="e">
        <f t="shared" si="49"/>
        <v>#DIV/0!</v>
      </c>
      <c r="AG197" s="187" t="e">
        <f t="shared" si="49"/>
        <v>#DIV/0!</v>
      </c>
      <c r="AH197" s="187" t="e">
        <f t="shared" si="49"/>
        <v>#DIV/0!</v>
      </c>
      <c r="AI197" s="187" t="e">
        <f t="shared" si="49"/>
        <v>#DIV/0!</v>
      </c>
      <c r="AJ197" s="187" t="e">
        <f t="shared" si="49"/>
        <v>#DIV/0!</v>
      </c>
      <c r="AK197" s="187" t="e">
        <f t="shared" si="49"/>
        <v>#DIV/0!</v>
      </c>
      <c r="AL197" s="187" t="e">
        <f t="shared" si="49"/>
        <v>#DIV/0!</v>
      </c>
      <c r="AM197" s="187" t="e">
        <f t="shared" si="49"/>
        <v>#DIV/0!</v>
      </c>
      <c r="AN197" s="187" t="e">
        <f t="shared" si="49"/>
        <v>#DIV/0!</v>
      </c>
    </row>
    <row r="198" spans="2:40" x14ac:dyDescent="0.15">
      <c r="B198" s="304"/>
      <c r="C198" s="142" t="s">
        <v>1038</v>
      </c>
      <c r="D198" s="107">
        <f>SUMIFS('caseload data'!E:E,'caseload data'!$D:$D,"PSO",'caseload data'!$A:$A,$B197,'caseload data'!$B:$B,"custody")</f>
        <v>0</v>
      </c>
      <c r="E198" s="107">
        <f>SUMIFS('caseload data'!F:F,'caseload data'!$D:$D,"PSO",'caseload data'!$A:$A,$B197,'caseload data'!$B:$B,"custody")</f>
        <v>0</v>
      </c>
      <c r="F198" s="107">
        <f>SUMIFS('caseload data'!G:G,'caseload data'!$D:$D,"PSO",'caseload data'!$A:$A,$B197,'caseload data'!$B:$B,"custody")</f>
        <v>0</v>
      </c>
      <c r="G198" s="107">
        <f>SUMIFS('caseload data'!H:H,'caseload data'!$D:$D,"PSO",'caseload data'!$A:$A,$B197,'caseload data'!$B:$B,"custody")</f>
        <v>0</v>
      </c>
      <c r="H198" s="107">
        <f>SUMIFS('caseload data'!I:I,'caseload data'!$D:$D,"PSO",'caseload data'!$A:$A,$B197,'caseload data'!$B:$B,"custody")</f>
        <v>0</v>
      </c>
      <c r="I198" s="107">
        <f>SUMIFS('caseload data'!J:J,'caseload data'!$D:$D,"PSO",'caseload data'!$A:$A,$B197,'caseload data'!$B:$B,"custody")</f>
        <v>0</v>
      </c>
      <c r="J198" s="107">
        <f>SUMIFS('caseload data'!K:K,'caseload data'!$D:$D,"PSO",'caseload data'!$A:$A,$B197,'caseload data'!$B:$B,"custody")</f>
        <v>0</v>
      </c>
      <c r="K198" s="107">
        <f>SUMIFS('caseload data'!L:L,'caseload data'!$D:$D,"PSO",'caseload data'!$A:$A,$B197,'caseload data'!$B:$B,"custody")</f>
        <v>0</v>
      </c>
      <c r="L198" s="107">
        <f>SUMIFS('caseload data'!M:M,'caseload data'!$D:$D,"PSO",'caseload data'!$A:$A,$B197,'caseload data'!$B:$B,"custody")</f>
        <v>0</v>
      </c>
      <c r="M198" s="107">
        <f>SUMIFS('caseload data'!N:N,'caseload data'!$D:$D,"PSO",'caseload data'!$A:$A,$B197,'caseload data'!$B:$B,"custody")</f>
        <v>0</v>
      </c>
      <c r="N198" s="107">
        <f>SUMIFS('caseload data'!O:O,'caseload data'!$D:$D,"PSO",'caseload data'!$A:$A,$B197,'caseload data'!$B:$B,"custody")</f>
        <v>0</v>
      </c>
      <c r="O198" s="107">
        <f>SUMIFS('caseload data'!P:P,'caseload data'!$D:$D,"PSO",'caseload data'!$A:$A,$B197,'caseload data'!$B:$B,"custody")</f>
        <v>0</v>
      </c>
      <c r="P198" s="107">
        <f>SUMIFS('caseload data'!Q:Q,'caseload data'!$D:$D,"PSO",'caseload data'!$A:$A,$B197,'caseload data'!$B:$B,"custody")</f>
        <v>0</v>
      </c>
      <c r="Q198" s="107">
        <f>SUMIFS('caseload data'!R:R,'caseload data'!$D:$D,"PSO",'caseload data'!$A:$A,$B197,'caseload data'!$B:$B,"custody")</f>
        <v>0</v>
      </c>
      <c r="R198" s="107">
        <f>SUMIFS('caseload data'!S:S,'caseload data'!$D:$D,"PSO",'caseload data'!$A:$A,$B197,'caseload data'!$B:$B,"custody")</f>
        <v>0</v>
      </c>
      <c r="S198" s="107">
        <f>SUMIFS('caseload data'!T:T,'caseload data'!$D:$D,"PSO",'caseload data'!$A:$A,$B197,'caseload data'!$B:$B,"custody")</f>
        <v>0</v>
      </c>
      <c r="T198" s="107">
        <f>SUMIFS('caseload data'!V:V,'caseload data'!$D:$D,"PSO",'caseload data'!$A:$A,$B197,'caseload data'!$B:$B,"custody")</f>
        <v>0</v>
      </c>
      <c r="U198" s="76"/>
      <c r="V198" s="76"/>
      <c r="W198" s="304"/>
      <c r="X198" s="142" t="s">
        <v>1038</v>
      </c>
      <c r="Y198" s="187" t="e">
        <f t="shared" ref="Y198:Y200" si="50">SUM(D198)/SUM(D$197:D$200)</f>
        <v>#DIV/0!</v>
      </c>
      <c r="Z198" s="187" t="e">
        <f t="shared" si="49"/>
        <v>#DIV/0!</v>
      </c>
      <c r="AA198" s="187" t="e">
        <f t="shared" si="49"/>
        <v>#DIV/0!</v>
      </c>
      <c r="AB198" s="187" t="e">
        <f t="shared" si="49"/>
        <v>#DIV/0!</v>
      </c>
      <c r="AC198" s="187" t="e">
        <f t="shared" si="49"/>
        <v>#DIV/0!</v>
      </c>
      <c r="AD198" s="187" t="e">
        <f t="shared" si="49"/>
        <v>#DIV/0!</v>
      </c>
      <c r="AE198" s="187" t="e">
        <f t="shared" si="49"/>
        <v>#DIV/0!</v>
      </c>
      <c r="AF198" s="187" t="e">
        <f t="shared" si="49"/>
        <v>#DIV/0!</v>
      </c>
      <c r="AG198" s="187" t="e">
        <f t="shared" si="49"/>
        <v>#DIV/0!</v>
      </c>
      <c r="AH198" s="187" t="e">
        <f t="shared" si="49"/>
        <v>#DIV/0!</v>
      </c>
      <c r="AI198" s="187" t="e">
        <f t="shared" si="49"/>
        <v>#DIV/0!</v>
      </c>
      <c r="AJ198" s="187" t="e">
        <f t="shared" si="49"/>
        <v>#DIV/0!</v>
      </c>
      <c r="AK198" s="187" t="e">
        <f t="shared" si="49"/>
        <v>#DIV/0!</v>
      </c>
      <c r="AL198" s="187" t="e">
        <f t="shared" si="49"/>
        <v>#DIV/0!</v>
      </c>
      <c r="AM198" s="187" t="e">
        <f t="shared" si="49"/>
        <v>#DIV/0!</v>
      </c>
      <c r="AN198" s="187" t="e">
        <f t="shared" si="49"/>
        <v>#DIV/0!</v>
      </c>
    </row>
    <row r="199" spans="2:40" x14ac:dyDescent="0.15">
      <c r="B199" s="304"/>
      <c r="C199" s="142" t="s">
        <v>1039</v>
      </c>
      <c r="D199" s="107">
        <f>SUMIFS('caseload data'!E:E,'caseload data'!$D:$D,"TPO",'caseload data'!$A:$A,$B197,'caseload data'!$B:$B,"custody")</f>
        <v>0</v>
      </c>
      <c r="E199" s="107">
        <f>SUMIFS('caseload data'!F:F,'caseload data'!$D:$D,"TPO",'caseload data'!$A:$A,$B197,'caseload data'!$B:$B,"custody")</f>
        <v>0</v>
      </c>
      <c r="F199" s="107">
        <f>SUMIFS('caseload data'!G:G,'caseload data'!$D:$D,"TPO",'caseload data'!$A:$A,$B197,'caseload data'!$B:$B,"custody")</f>
        <v>0</v>
      </c>
      <c r="G199" s="107">
        <f>SUMIFS('caseload data'!H:H,'caseload data'!$D:$D,"TPO",'caseload data'!$A:$A,$B197,'caseload data'!$B:$B,"custody")</f>
        <v>0</v>
      </c>
      <c r="H199" s="107">
        <f>SUMIFS('caseload data'!I:I,'caseload data'!$D:$D,"TPO",'caseload data'!$A:$A,$B197,'caseload data'!$B:$B,"custody")</f>
        <v>0</v>
      </c>
      <c r="I199" s="107">
        <f>SUMIFS('caseload data'!J:J,'caseload data'!$D:$D,"TPO",'caseload data'!$A:$A,$B197,'caseload data'!$B:$B,"custody")</f>
        <v>0</v>
      </c>
      <c r="J199" s="107">
        <f>SUMIFS('caseload data'!K:K,'caseload data'!$D:$D,"TPO",'caseload data'!$A:$A,$B197,'caseload data'!$B:$B,"custody")</f>
        <v>0</v>
      </c>
      <c r="K199" s="107">
        <f>SUMIFS('caseload data'!L:L,'caseload data'!$D:$D,"TPO",'caseload data'!$A:$A,$B197,'caseload data'!$B:$B,"custody")</f>
        <v>0</v>
      </c>
      <c r="L199" s="107">
        <f>SUMIFS('caseload data'!M:M,'caseload data'!$D:$D,"TPO",'caseload data'!$A:$A,$B197,'caseload data'!$B:$B,"custody")</f>
        <v>0</v>
      </c>
      <c r="M199" s="107">
        <f>SUMIFS('caseload data'!N:N,'caseload data'!$D:$D,"TPO",'caseload data'!$A:$A,$B197,'caseload data'!$B:$B,"custody")</f>
        <v>0</v>
      </c>
      <c r="N199" s="107">
        <f>SUMIFS('caseload data'!O:O,'caseload data'!$D:$D,"TPO",'caseload data'!$A:$A,$B197,'caseload data'!$B:$B,"custody")</f>
        <v>0</v>
      </c>
      <c r="O199" s="107">
        <f>SUMIFS('caseload data'!P:P,'caseload data'!$D:$D,"TPO",'caseload data'!$A:$A,$B197,'caseload data'!$B:$B,"custody")</f>
        <v>0</v>
      </c>
      <c r="P199" s="107">
        <f>SUMIFS('caseload data'!Q:Q,'caseload data'!$D:$D,"TPO",'caseload data'!$A:$A,$B197,'caseload data'!$B:$B,"custody")</f>
        <v>0</v>
      </c>
      <c r="Q199" s="107">
        <f>SUMIFS('caseload data'!R:R,'caseload data'!$D:$D,"TPO",'caseload data'!$A:$A,$B197,'caseload data'!$B:$B,"custody")</f>
        <v>0</v>
      </c>
      <c r="R199" s="107">
        <f>SUMIFS('caseload data'!S:S,'caseload data'!$D:$D,"TPO",'caseload data'!$A:$A,$B197,'caseload data'!$B:$B,"custody")</f>
        <v>0</v>
      </c>
      <c r="S199" s="107">
        <f>SUMIFS('caseload data'!T:T,'caseload data'!$D:$D,"TPO",'caseload data'!$A:$A,$B197,'caseload data'!$B:$B,"custody")</f>
        <v>0</v>
      </c>
      <c r="T199" s="107">
        <f>SUMIFS('caseload data'!V:V,'caseload data'!$D:$D,"TPO",'caseload data'!$A:$A,$B197,'caseload data'!$B:$B,"custody")</f>
        <v>0</v>
      </c>
      <c r="U199" s="76"/>
      <c r="V199" s="76"/>
      <c r="W199" s="304"/>
      <c r="X199" s="142" t="s">
        <v>1039</v>
      </c>
      <c r="Y199" s="187" t="e">
        <f t="shared" si="50"/>
        <v>#DIV/0!</v>
      </c>
      <c r="Z199" s="187" t="e">
        <f t="shared" si="49"/>
        <v>#DIV/0!</v>
      </c>
      <c r="AA199" s="187" t="e">
        <f t="shared" si="49"/>
        <v>#DIV/0!</v>
      </c>
      <c r="AB199" s="187" t="e">
        <f t="shared" si="49"/>
        <v>#DIV/0!</v>
      </c>
      <c r="AC199" s="187" t="e">
        <f t="shared" si="49"/>
        <v>#DIV/0!</v>
      </c>
      <c r="AD199" s="187" t="e">
        <f t="shared" si="49"/>
        <v>#DIV/0!</v>
      </c>
      <c r="AE199" s="187" t="e">
        <f t="shared" si="49"/>
        <v>#DIV/0!</v>
      </c>
      <c r="AF199" s="187" t="e">
        <f t="shared" si="49"/>
        <v>#DIV/0!</v>
      </c>
      <c r="AG199" s="187" t="e">
        <f t="shared" si="49"/>
        <v>#DIV/0!</v>
      </c>
      <c r="AH199" s="187" t="e">
        <f t="shared" si="49"/>
        <v>#DIV/0!</v>
      </c>
      <c r="AI199" s="187" t="e">
        <f t="shared" si="49"/>
        <v>#DIV/0!</v>
      </c>
      <c r="AJ199" s="187" t="e">
        <f t="shared" si="49"/>
        <v>#DIV/0!</v>
      </c>
      <c r="AK199" s="187" t="e">
        <f t="shared" si="49"/>
        <v>#DIV/0!</v>
      </c>
      <c r="AL199" s="187" t="e">
        <f t="shared" si="49"/>
        <v>#DIV/0!</v>
      </c>
      <c r="AM199" s="187" t="e">
        <f t="shared" si="49"/>
        <v>#DIV/0!</v>
      </c>
      <c r="AN199" s="187" t="e">
        <f t="shared" si="49"/>
        <v>#DIV/0!</v>
      </c>
    </row>
    <row r="200" spans="2:40" x14ac:dyDescent="0.15">
      <c r="B200" s="305"/>
      <c r="C200" s="143" t="s">
        <v>1040</v>
      </c>
      <c r="D200" s="107">
        <f>SUMIFS('caseload data'!E:E,'caseload data'!$D:$D,"SPO",'caseload data'!$A:$A,$B197,'caseload data'!$B:$B,"custody")</f>
        <v>0</v>
      </c>
      <c r="E200" s="107">
        <f>SUMIFS('caseload data'!F:F,'caseload data'!$D:$D,"SPO",'caseload data'!$A:$A,$B197,'caseload data'!$B:$B,"custody")</f>
        <v>0</v>
      </c>
      <c r="F200" s="107">
        <f>SUMIFS('caseload data'!G:G,'caseload data'!$D:$D,"SPO",'caseload data'!$A:$A,$B197,'caseload data'!$B:$B,"custody")</f>
        <v>0</v>
      </c>
      <c r="G200" s="107">
        <f>SUMIFS('caseload data'!H:H,'caseload data'!$D:$D,"SPO",'caseload data'!$A:$A,$B197,'caseload data'!$B:$B,"custody")</f>
        <v>0</v>
      </c>
      <c r="H200" s="107">
        <f>SUMIFS('caseload data'!I:I,'caseload data'!$D:$D,"SPO",'caseload data'!$A:$A,$B197,'caseload data'!$B:$B,"custody")</f>
        <v>0</v>
      </c>
      <c r="I200" s="107">
        <f>SUMIFS('caseload data'!J:J,'caseload data'!$D:$D,"SPO",'caseload data'!$A:$A,$B197,'caseload data'!$B:$B,"custody")</f>
        <v>0</v>
      </c>
      <c r="J200" s="107">
        <f>SUMIFS('caseload data'!K:K,'caseload data'!$D:$D,"SPO",'caseload data'!$A:$A,$B197,'caseload data'!$B:$B,"custody")</f>
        <v>0</v>
      </c>
      <c r="K200" s="107">
        <f>SUMIFS('caseload data'!L:L,'caseload data'!$D:$D,"SPO",'caseload data'!$A:$A,$B197,'caseload data'!$B:$B,"custody")</f>
        <v>0</v>
      </c>
      <c r="L200" s="107">
        <f>SUMIFS('caseload data'!M:M,'caseload data'!$D:$D,"SPO",'caseload data'!$A:$A,$B197,'caseload data'!$B:$B,"custody")</f>
        <v>0</v>
      </c>
      <c r="M200" s="107">
        <f>SUMIFS('caseload data'!N:N,'caseload data'!$D:$D,"SPO",'caseload data'!$A:$A,$B197,'caseload data'!$B:$B,"custody")</f>
        <v>0</v>
      </c>
      <c r="N200" s="107">
        <f>SUMIFS('caseload data'!O:O,'caseload data'!$D:$D,"SPO",'caseload data'!$A:$A,$B197,'caseload data'!$B:$B,"custody")</f>
        <v>0</v>
      </c>
      <c r="O200" s="107">
        <f>SUMIFS('caseload data'!P:P,'caseload data'!$D:$D,"SPO",'caseload data'!$A:$A,$B197,'caseload data'!$B:$B,"custody")</f>
        <v>0</v>
      </c>
      <c r="P200" s="107">
        <f>SUMIFS('caseload data'!Q:Q,'caseload data'!$D:$D,"SPO",'caseload data'!$A:$A,$B197,'caseload data'!$B:$B,"custody")</f>
        <v>0</v>
      </c>
      <c r="Q200" s="107">
        <f>SUMIFS('caseload data'!R:R,'caseload data'!$D:$D,"SPO",'caseload data'!$A:$A,$B197,'caseload data'!$B:$B,"custody")</f>
        <v>0</v>
      </c>
      <c r="R200" s="107">
        <f>SUMIFS('caseload data'!S:S,'caseload data'!$D:$D,"SPO",'caseload data'!$A:$A,$B197,'caseload data'!$B:$B,"custody")</f>
        <v>0</v>
      </c>
      <c r="S200" s="107">
        <f>SUMIFS('caseload data'!T:T,'caseload data'!$D:$D,"SPO",'caseload data'!$A:$A,$B197,'caseload data'!$B:$B,"custody")</f>
        <v>0</v>
      </c>
      <c r="T200" s="107">
        <f>SUMIFS('caseload data'!V:V,'caseload data'!$D:$D,"SPO",'caseload data'!$A:$A,$B197,'caseload data'!$B:$B,"custody")</f>
        <v>0</v>
      </c>
      <c r="U200" s="76"/>
      <c r="V200" s="76"/>
      <c r="W200" s="305"/>
      <c r="X200" s="143" t="s">
        <v>1040</v>
      </c>
      <c r="Y200" s="187" t="e">
        <f t="shared" si="50"/>
        <v>#DIV/0!</v>
      </c>
      <c r="Z200" s="187" t="e">
        <f t="shared" si="49"/>
        <v>#DIV/0!</v>
      </c>
      <c r="AA200" s="187" t="e">
        <f t="shared" si="49"/>
        <v>#DIV/0!</v>
      </c>
      <c r="AB200" s="187" t="e">
        <f t="shared" si="49"/>
        <v>#DIV/0!</v>
      </c>
      <c r="AC200" s="187" t="e">
        <f t="shared" si="49"/>
        <v>#DIV/0!</v>
      </c>
      <c r="AD200" s="187" t="e">
        <f t="shared" si="49"/>
        <v>#DIV/0!</v>
      </c>
      <c r="AE200" s="187" t="e">
        <f t="shared" si="49"/>
        <v>#DIV/0!</v>
      </c>
      <c r="AF200" s="187" t="e">
        <f t="shared" si="49"/>
        <v>#DIV/0!</v>
      </c>
      <c r="AG200" s="187" t="e">
        <f t="shared" si="49"/>
        <v>#DIV/0!</v>
      </c>
      <c r="AH200" s="187" t="e">
        <f t="shared" si="49"/>
        <v>#DIV/0!</v>
      </c>
      <c r="AI200" s="187" t="e">
        <f t="shared" si="49"/>
        <v>#DIV/0!</v>
      </c>
      <c r="AJ200" s="187" t="e">
        <f t="shared" si="49"/>
        <v>#DIV/0!</v>
      </c>
      <c r="AK200" s="187" t="e">
        <f t="shared" si="49"/>
        <v>#DIV/0!</v>
      </c>
      <c r="AL200" s="187" t="e">
        <f t="shared" si="49"/>
        <v>#DIV/0!</v>
      </c>
      <c r="AM200" s="187" t="e">
        <f t="shared" si="49"/>
        <v>#DIV/0!</v>
      </c>
      <c r="AN200" s="187" t="e">
        <f t="shared" si="49"/>
        <v>#DIV/0!</v>
      </c>
    </row>
    <row r="201" spans="2:40" x14ac:dyDescent="0.15">
      <c r="B201" s="303" t="s">
        <v>30</v>
      </c>
      <c r="C201" s="141" t="s">
        <v>1037</v>
      </c>
      <c r="D201" s="107">
        <f>SUMIFS('caseload data'!E:E,'caseload data'!$D:$D,"PO",'caseload data'!$A:$A,$B201,'caseload data'!$B:$B,"custody")</f>
        <v>0</v>
      </c>
      <c r="E201" s="107">
        <f>SUMIFS('caseload data'!F:F,'caseload data'!$D:$D,"PO",'caseload data'!$A:$A,$B201,'caseload data'!$B:$B,"custody")</f>
        <v>0</v>
      </c>
      <c r="F201" s="107">
        <f>SUMIFS('caseload data'!G:G,'caseload data'!$D:$D,"PO",'caseload data'!$A:$A,$B201,'caseload data'!$B:$B,"custody")</f>
        <v>0</v>
      </c>
      <c r="G201" s="107">
        <f>SUMIFS('caseload data'!H:H,'caseload data'!$D:$D,"PO",'caseload data'!$A:$A,$B201,'caseload data'!$B:$B,"custody")</f>
        <v>0</v>
      </c>
      <c r="H201" s="107">
        <f>SUMIFS('caseload data'!I:I,'caseload data'!$D:$D,"PO",'caseload data'!$A:$A,$B201,'caseload data'!$B:$B,"custody")</f>
        <v>0</v>
      </c>
      <c r="I201" s="107">
        <f>SUMIFS('caseload data'!J:J,'caseload data'!$D:$D,"PO",'caseload data'!$A:$A,$B201,'caseload data'!$B:$B,"custody")</f>
        <v>0</v>
      </c>
      <c r="J201" s="107">
        <f>SUMIFS('caseload data'!K:K,'caseload data'!$D:$D,"PO",'caseload data'!$A:$A,$B201,'caseload data'!$B:$B,"custody")</f>
        <v>0</v>
      </c>
      <c r="K201" s="107">
        <f>SUMIFS('caseload data'!L:L,'caseload data'!$D:$D,"PO",'caseload data'!$A:$A,$B201,'caseload data'!$B:$B,"custody")</f>
        <v>0</v>
      </c>
      <c r="L201" s="107">
        <f>SUMIFS('caseload data'!M:M,'caseload data'!$D:$D,"PO",'caseload data'!$A:$A,$B201,'caseload data'!$B:$B,"custody")</f>
        <v>0</v>
      </c>
      <c r="M201" s="107">
        <f>SUMIFS('caseload data'!N:N,'caseload data'!$D:$D,"PO",'caseload data'!$A:$A,$B201,'caseload data'!$B:$B,"custody")</f>
        <v>0</v>
      </c>
      <c r="N201" s="107">
        <f>SUMIFS('caseload data'!O:O,'caseload data'!$D:$D,"PO",'caseload data'!$A:$A,$B201,'caseload data'!$B:$B,"custody")</f>
        <v>0</v>
      </c>
      <c r="O201" s="107">
        <f>SUMIFS('caseload data'!P:P,'caseload data'!$D:$D,"PO",'caseload data'!$A:$A,$B201,'caseload data'!$B:$B,"custody")</f>
        <v>0</v>
      </c>
      <c r="P201" s="107">
        <f>SUMIFS('caseload data'!Q:Q,'caseload data'!$D:$D,"PO",'caseload data'!$A:$A,$B201,'caseload data'!$B:$B,"custody")</f>
        <v>0</v>
      </c>
      <c r="Q201" s="107">
        <f>SUMIFS('caseload data'!R:R,'caseload data'!$D:$D,"PO",'caseload data'!$A:$A,$B201,'caseload data'!$B:$B,"custody")</f>
        <v>0</v>
      </c>
      <c r="R201" s="107">
        <f>SUMIFS('caseload data'!S:S,'caseload data'!$D:$D,"PO",'caseload data'!$A:$A,$B201,'caseload data'!$B:$B,"custody")</f>
        <v>0</v>
      </c>
      <c r="S201" s="107">
        <f>SUMIFS('caseload data'!T:T,'caseload data'!$D:$D,"PO",'caseload data'!$A:$A,$B201,'caseload data'!$B:$B,"custody")</f>
        <v>0</v>
      </c>
      <c r="T201" s="107">
        <f>SUMIFS('caseload data'!V:V,'caseload data'!$D:$D,"PO",'caseload data'!$A:$A,$B201,'caseload data'!$B:$B,"custody")</f>
        <v>0</v>
      </c>
      <c r="U201" s="76"/>
      <c r="V201" s="76"/>
      <c r="W201" s="303" t="s">
        <v>30</v>
      </c>
      <c r="X201" s="141" t="s">
        <v>1037</v>
      </c>
      <c r="Y201" s="187" t="e">
        <f>SUM(D201)/SUM(D$201:D$204)</f>
        <v>#DIV/0!</v>
      </c>
      <c r="Z201" s="187" t="e">
        <f t="shared" ref="Z201:AN204" si="51">SUM(E201)/SUM(E$201:E$204)</f>
        <v>#DIV/0!</v>
      </c>
      <c r="AA201" s="187" t="e">
        <f t="shared" si="51"/>
        <v>#DIV/0!</v>
      </c>
      <c r="AB201" s="187" t="e">
        <f t="shared" si="51"/>
        <v>#DIV/0!</v>
      </c>
      <c r="AC201" s="187" t="e">
        <f t="shared" si="51"/>
        <v>#DIV/0!</v>
      </c>
      <c r="AD201" s="187" t="e">
        <f t="shared" si="51"/>
        <v>#DIV/0!</v>
      </c>
      <c r="AE201" s="187" t="e">
        <f t="shared" si="51"/>
        <v>#DIV/0!</v>
      </c>
      <c r="AF201" s="187" t="e">
        <f t="shared" si="51"/>
        <v>#DIV/0!</v>
      </c>
      <c r="AG201" s="187" t="e">
        <f t="shared" si="51"/>
        <v>#DIV/0!</v>
      </c>
      <c r="AH201" s="187" t="e">
        <f t="shared" si="51"/>
        <v>#DIV/0!</v>
      </c>
      <c r="AI201" s="187" t="e">
        <f t="shared" si="51"/>
        <v>#DIV/0!</v>
      </c>
      <c r="AJ201" s="187" t="e">
        <f t="shared" si="51"/>
        <v>#DIV/0!</v>
      </c>
      <c r="AK201" s="187" t="e">
        <f t="shared" si="51"/>
        <v>#DIV/0!</v>
      </c>
      <c r="AL201" s="187" t="e">
        <f t="shared" si="51"/>
        <v>#DIV/0!</v>
      </c>
      <c r="AM201" s="187" t="e">
        <f t="shared" si="51"/>
        <v>#DIV/0!</v>
      </c>
      <c r="AN201" s="187" t="e">
        <f t="shared" si="51"/>
        <v>#DIV/0!</v>
      </c>
    </row>
    <row r="202" spans="2:40" x14ac:dyDescent="0.15">
      <c r="B202" s="304"/>
      <c r="C202" s="142" t="s">
        <v>1038</v>
      </c>
      <c r="D202" s="107">
        <f>SUMIFS('caseload data'!E:E,'caseload data'!$D:$D,"PSO",'caseload data'!$A:$A,$B201,'caseload data'!$B:$B,"custody")</f>
        <v>0</v>
      </c>
      <c r="E202" s="107">
        <f>SUMIFS('caseload data'!F:F,'caseload data'!$D:$D,"PSO",'caseload data'!$A:$A,$B201,'caseload data'!$B:$B,"custody")</f>
        <v>0</v>
      </c>
      <c r="F202" s="107">
        <f>SUMIFS('caseload data'!G:G,'caseload data'!$D:$D,"PSO",'caseload data'!$A:$A,$B201,'caseload data'!$B:$B,"custody")</f>
        <v>0</v>
      </c>
      <c r="G202" s="107">
        <f>SUMIFS('caseload data'!H:H,'caseload data'!$D:$D,"PSO",'caseload data'!$A:$A,$B201,'caseload data'!$B:$B,"custody")</f>
        <v>0</v>
      </c>
      <c r="H202" s="107">
        <f>SUMIFS('caseload data'!I:I,'caseload data'!$D:$D,"PSO",'caseload data'!$A:$A,$B201,'caseload data'!$B:$B,"custody")</f>
        <v>0</v>
      </c>
      <c r="I202" s="107">
        <f>SUMIFS('caseload data'!J:J,'caseload data'!$D:$D,"PSO",'caseload data'!$A:$A,$B201,'caseload data'!$B:$B,"custody")</f>
        <v>0</v>
      </c>
      <c r="J202" s="107">
        <f>SUMIFS('caseload data'!K:K,'caseload data'!$D:$D,"PSO",'caseload data'!$A:$A,$B201,'caseload data'!$B:$B,"custody")</f>
        <v>0</v>
      </c>
      <c r="K202" s="107">
        <f>SUMIFS('caseload data'!L:L,'caseload data'!$D:$D,"PSO",'caseload data'!$A:$A,$B201,'caseload data'!$B:$B,"custody")</f>
        <v>0</v>
      </c>
      <c r="L202" s="107">
        <f>SUMIFS('caseload data'!M:M,'caseload data'!$D:$D,"PSO",'caseload data'!$A:$A,$B201,'caseload data'!$B:$B,"custody")</f>
        <v>0</v>
      </c>
      <c r="M202" s="107">
        <f>SUMIFS('caseload data'!N:N,'caseload data'!$D:$D,"PSO",'caseload data'!$A:$A,$B201,'caseload data'!$B:$B,"custody")</f>
        <v>0</v>
      </c>
      <c r="N202" s="107">
        <f>SUMIFS('caseload data'!O:O,'caseload data'!$D:$D,"PSO",'caseload data'!$A:$A,$B201,'caseload data'!$B:$B,"custody")</f>
        <v>0</v>
      </c>
      <c r="O202" s="107">
        <f>SUMIFS('caseload data'!P:P,'caseload data'!$D:$D,"PSO",'caseload data'!$A:$A,$B201,'caseload data'!$B:$B,"custody")</f>
        <v>0</v>
      </c>
      <c r="P202" s="107">
        <f>SUMIFS('caseload data'!Q:Q,'caseload data'!$D:$D,"PSO",'caseload data'!$A:$A,$B201,'caseload data'!$B:$B,"custody")</f>
        <v>0</v>
      </c>
      <c r="Q202" s="107">
        <f>SUMIFS('caseload data'!R:R,'caseload data'!$D:$D,"PSO",'caseload data'!$A:$A,$B201,'caseload data'!$B:$B,"custody")</f>
        <v>0</v>
      </c>
      <c r="R202" s="107">
        <f>SUMIFS('caseload data'!S:S,'caseload data'!$D:$D,"PSO",'caseload data'!$A:$A,$B201,'caseload data'!$B:$B,"custody")</f>
        <v>0</v>
      </c>
      <c r="S202" s="107">
        <f>SUMIFS('caseload data'!T:T,'caseload data'!$D:$D,"PSO",'caseload data'!$A:$A,$B201,'caseload data'!$B:$B,"custody")</f>
        <v>0</v>
      </c>
      <c r="T202" s="107">
        <f>SUMIFS('caseload data'!V:V,'caseload data'!$D:$D,"PSO",'caseload data'!$A:$A,$B201,'caseload data'!$B:$B,"custody")</f>
        <v>0</v>
      </c>
      <c r="U202" s="76"/>
      <c r="V202" s="76"/>
      <c r="W202" s="304"/>
      <c r="X202" s="142" t="s">
        <v>1038</v>
      </c>
      <c r="Y202" s="187" t="e">
        <f t="shared" ref="Y202:Y204" si="52">SUM(D202)/SUM(D$201:D$204)</f>
        <v>#DIV/0!</v>
      </c>
      <c r="Z202" s="187" t="e">
        <f t="shared" si="51"/>
        <v>#DIV/0!</v>
      </c>
      <c r="AA202" s="187" t="e">
        <f t="shared" si="51"/>
        <v>#DIV/0!</v>
      </c>
      <c r="AB202" s="187" t="e">
        <f t="shared" si="51"/>
        <v>#DIV/0!</v>
      </c>
      <c r="AC202" s="187" t="e">
        <f t="shared" si="51"/>
        <v>#DIV/0!</v>
      </c>
      <c r="AD202" s="187" t="e">
        <f t="shared" si="51"/>
        <v>#DIV/0!</v>
      </c>
      <c r="AE202" s="187" t="e">
        <f t="shared" si="51"/>
        <v>#DIV/0!</v>
      </c>
      <c r="AF202" s="187" t="e">
        <f t="shared" si="51"/>
        <v>#DIV/0!</v>
      </c>
      <c r="AG202" s="187" t="e">
        <f t="shared" si="51"/>
        <v>#DIV/0!</v>
      </c>
      <c r="AH202" s="187" t="e">
        <f t="shared" si="51"/>
        <v>#DIV/0!</v>
      </c>
      <c r="AI202" s="187" t="e">
        <f t="shared" si="51"/>
        <v>#DIV/0!</v>
      </c>
      <c r="AJ202" s="187" t="e">
        <f t="shared" si="51"/>
        <v>#DIV/0!</v>
      </c>
      <c r="AK202" s="187" t="e">
        <f t="shared" si="51"/>
        <v>#DIV/0!</v>
      </c>
      <c r="AL202" s="187" t="e">
        <f t="shared" si="51"/>
        <v>#DIV/0!</v>
      </c>
      <c r="AM202" s="187" t="e">
        <f t="shared" si="51"/>
        <v>#DIV/0!</v>
      </c>
      <c r="AN202" s="187" t="e">
        <f t="shared" si="51"/>
        <v>#DIV/0!</v>
      </c>
    </row>
    <row r="203" spans="2:40" x14ac:dyDescent="0.15">
      <c r="B203" s="304"/>
      <c r="C203" s="142" t="s">
        <v>1039</v>
      </c>
      <c r="D203" s="107">
        <f>SUMIFS('caseload data'!E:E,'caseload data'!$D:$D,"TPO",'caseload data'!$A:$A,$B201,'caseload data'!$B:$B,"custody")</f>
        <v>0</v>
      </c>
      <c r="E203" s="107">
        <f>SUMIFS('caseload data'!F:F,'caseload data'!$D:$D,"TPO",'caseload data'!$A:$A,$B201,'caseload data'!$B:$B,"custody")</f>
        <v>0</v>
      </c>
      <c r="F203" s="107">
        <f>SUMIFS('caseload data'!G:G,'caseload data'!$D:$D,"TPO",'caseload data'!$A:$A,$B201,'caseload data'!$B:$B,"custody")</f>
        <v>0</v>
      </c>
      <c r="G203" s="107">
        <f>SUMIFS('caseload data'!H:H,'caseload data'!$D:$D,"TPO",'caseload data'!$A:$A,$B201,'caseload data'!$B:$B,"custody")</f>
        <v>0</v>
      </c>
      <c r="H203" s="107">
        <f>SUMIFS('caseload data'!I:I,'caseload data'!$D:$D,"TPO",'caseload data'!$A:$A,$B201,'caseload data'!$B:$B,"custody")</f>
        <v>0</v>
      </c>
      <c r="I203" s="107">
        <f>SUMIFS('caseload data'!J:J,'caseload data'!$D:$D,"TPO",'caseload data'!$A:$A,$B201,'caseload data'!$B:$B,"custody")</f>
        <v>0</v>
      </c>
      <c r="J203" s="107">
        <f>SUMIFS('caseload data'!K:K,'caseload data'!$D:$D,"TPO",'caseload data'!$A:$A,$B201,'caseload data'!$B:$B,"custody")</f>
        <v>0</v>
      </c>
      <c r="K203" s="107">
        <f>SUMIFS('caseload data'!L:L,'caseload data'!$D:$D,"TPO",'caseload data'!$A:$A,$B201,'caseload data'!$B:$B,"custody")</f>
        <v>0</v>
      </c>
      <c r="L203" s="107">
        <f>SUMIFS('caseload data'!M:M,'caseload data'!$D:$D,"TPO",'caseload data'!$A:$A,$B201,'caseload data'!$B:$B,"custody")</f>
        <v>0</v>
      </c>
      <c r="M203" s="107">
        <f>SUMIFS('caseload data'!N:N,'caseload data'!$D:$D,"TPO",'caseload data'!$A:$A,$B201,'caseload data'!$B:$B,"custody")</f>
        <v>0</v>
      </c>
      <c r="N203" s="107">
        <f>SUMIFS('caseload data'!O:O,'caseload data'!$D:$D,"TPO",'caseload data'!$A:$A,$B201,'caseload data'!$B:$B,"custody")</f>
        <v>0</v>
      </c>
      <c r="O203" s="107">
        <f>SUMIFS('caseload data'!P:P,'caseload data'!$D:$D,"TPO",'caseload data'!$A:$A,$B201,'caseload data'!$B:$B,"custody")</f>
        <v>0</v>
      </c>
      <c r="P203" s="107">
        <f>SUMIFS('caseload data'!Q:Q,'caseload data'!$D:$D,"TPO",'caseload data'!$A:$A,$B201,'caseload data'!$B:$B,"custody")</f>
        <v>0</v>
      </c>
      <c r="Q203" s="107">
        <f>SUMIFS('caseload data'!R:R,'caseload data'!$D:$D,"TPO",'caseload data'!$A:$A,$B201,'caseload data'!$B:$B,"custody")</f>
        <v>0</v>
      </c>
      <c r="R203" s="107">
        <f>SUMIFS('caseload data'!S:S,'caseload data'!$D:$D,"TPO",'caseload data'!$A:$A,$B201,'caseload data'!$B:$B,"custody")</f>
        <v>0</v>
      </c>
      <c r="S203" s="107">
        <f>SUMIFS('caseload data'!T:T,'caseload data'!$D:$D,"TPO",'caseload data'!$A:$A,$B201,'caseload data'!$B:$B,"custody")</f>
        <v>0</v>
      </c>
      <c r="T203" s="107">
        <f>SUMIFS('caseload data'!V:V,'caseload data'!$D:$D,"TPO",'caseload data'!$A:$A,$B201,'caseload data'!$B:$B,"custody")</f>
        <v>0</v>
      </c>
      <c r="U203" s="76"/>
      <c r="V203" s="76"/>
      <c r="W203" s="304"/>
      <c r="X203" s="142" t="s">
        <v>1039</v>
      </c>
      <c r="Y203" s="187" t="e">
        <f t="shared" si="52"/>
        <v>#DIV/0!</v>
      </c>
      <c r="Z203" s="187" t="e">
        <f t="shared" si="51"/>
        <v>#DIV/0!</v>
      </c>
      <c r="AA203" s="187" t="e">
        <f t="shared" si="51"/>
        <v>#DIV/0!</v>
      </c>
      <c r="AB203" s="187" t="e">
        <f t="shared" si="51"/>
        <v>#DIV/0!</v>
      </c>
      <c r="AC203" s="187" t="e">
        <f t="shared" si="51"/>
        <v>#DIV/0!</v>
      </c>
      <c r="AD203" s="187" t="e">
        <f t="shared" si="51"/>
        <v>#DIV/0!</v>
      </c>
      <c r="AE203" s="187" t="e">
        <f t="shared" si="51"/>
        <v>#DIV/0!</v>
      </c>
      <c r="AF203" s="187" t="e">
        <f t="shared" si="51"/>
        <v>#DIV/0!</v>
      </c>
      <c r="AG203" s="187" t="e">
        <f t="shared" si="51"/>
        <v>#DIV/0!</v>
      </c>
      <c r="AH203" s="187" t="e">
        <f t="shared" si="51"/>
        <v>#DIV/0!</v>
      </c>
      <c r="AI203" s="187" t="e">
        <f t="shared" si="51"/>
        <v>#DIV/0!</v>
      </c>
      <c r="AJ203" s="187" t="e">
        <f t="shared" si="51"/>
        <v>#DIV/0!</v>
      </c>
      <c r="AK203" s="187" t="e">
        <f t="shared" si="51"/>
        <v>#DIV/0!</v>
      </c>
      <c r="AL203" s="187" t="e">
        <f t="shared" si="51"/>
        <v>#DIV/0!</v>
      </c>
      <c r="AM203" s="187" t="e">
        <f t="shared" si="51"/>
        <v>#DIV/0!</v>
      </c>
      <c r="AN203" s="187" t="e">
        <f t="shared" si="51"/>
        <v>#DIV/0!</v>
      </c>
    </row>
    <row r="204" spans="2:40" x14ac:dyDescent="0.15">
      <c r="B204" s="305"/>
      <c r="C204" s="143" t="s">
        <v>1040</v>
      </c>
      <c r="D204" s="107">
        <f>SUMIFS('caseload data'!E:E,'caseload data'!$D:$D,"SPO",'caseload data'!$A:$A,$B201,'caseload data'!$B:$B,"custody")</f>
        <v>0</v>
      </c>
      <c r="E204" s="107">
        <f>SUMIFS('caseload data'!F:F,'caseload data'!$D:$D,"SPO",'caseload data'!$A:$A,$B201,'caseload data'!$B:$B,"custody")</f>
        <v>0</v>
      </c>
      <c r="F204" s="107">
        <f>SUMIFS('caseload data'!G:G,'caseload data'!$D:$D,"SPO",'caseload data'!$A:$A,$B201,'caseload data'!$B:$B,"custody")</f>
        <v>0</v>
      </c>
      <c r="G204" s="107">
        <f>SUMIFS('caseload data'!H:H,'caseload data'!$D:$D,"SPO",'caseload data'!$A:$A,$B201,'caseload data'!$B:$B,"custody")</f>
        <v>0</v>
      </c>
      <c r="H204" s="107">
        <f>SUMIFS('caseload data'!I:I,'caseload data'!$D:$D,"SPO",'caseload data'!$A:$A,$B201,'caseload data'!$B:$B,"custody")</f>
        <v>0</v>
      </c>
      <c r="I204" s="107">
        <f>SUMIFS('caseload data'!J:J,'caseload data'!$D:$D,"SPO",'caseload data'!$A:$A,$B201,'caseload data'!$B:$B,"custody")</f>
        <v>0</v>
      </c>
      <c r="J204" s="107">
        <f>SUMIFS('caseload data'!K:K,'caseload data'!$D:$D,"SPO",'caseload data'!$A:$A,$B201,'caseload data'!$B:$B,"custody")</f>
        <v>0</v>
      </c>
      <c r="K204" s="107">
        <f>SUMIFS('caseload data'!L:L,'caseload data'!$D:$D,"SPO",'caseload data'!$A:$A,$B201,'caseload data'!$B:$B,"custody")</f>
        <v>0</v>
      </c>
      <c r="L204" s="107">
        <f>SUMIFS('caseload data'!M:M,'caseload data'!$D:$D,"SPO",'caseload data'!$A:$A,$B201,'caseload data'!$B:$B,"custody")</f>
        <v>0</v>
      </c>
      <c r="M204" s="107">
        <f>SUMIFS('caseload data'!N:N,'caseload data'!$D:$D,"SPO",'caseload data'!$A:$A,$B201,'caseload data'!$B:$B,"custody")</f>
        <v>0</v>
      </c>
      <c r="N204" s="107">
        <f>SUMIFS('caseload data'!O:O,'caseload data'!$D:$D,"SPO",'caseload data'!$A:$A,$B201,'caseload data'!$B:$B,"custody")</f>
        <v>0</v>
      </c>
      <c r="O204" s="107">
        <f>SUMIFS('caseload data'!P:P,'caseload data'!$D:$D,"SPO",'caseload data'!$A:$A,$B201,'caseload data'!$B:$B,"custody")</f>
        <v>0</v>
      </c>
      <c r="P204" s="107">
        <f>SUMIFS('caseload data'!Q:Q,'caseload data'!$D:$D,"SPO",'caseload data'!$A:$A,$B201,'caseload data'!$B:$B,"custody")</f>
        <v>0</v>
      </c>
      <c r="Q204" s="107">
        <f>SUMIFS('caseload data'!R:R,'caseload data'!$D:$D,"SPO",'caseload data'!$A:$A,$B201,'caseload data'!$B:$B,"custody")</f>
        <v>0</v>
      </c>
      <c r="R204" s="107">
        <f>SUMIFS('caseload data'!S:S,'caseload data'!$D:$D,"SPO",'caseload data'!$A:$A,$B201,'caseload data'!$B:$B,"custody")</f>
        <v>0</v>
      </c>
      <c r="S204" s="107">
        <f>SUMIFS('caseload data'!T:T,'caseload data'!$D:$D,"SPO",'caseload data'!$A:$A,$B201,'caseload data'!$B:$B,"custody")</f>
        <v>0</v>
      </c>
      <c r="T204" s="107">
        <f>SUMIFS('caseload data'!V:V,'caseload data'!$D:$D,"SPO",'caseload data'!$A:$A,$B201,'caseload data'!$B:$B,"custody")</f>
        <v>0</v>
      </c>
      <c r="U204" s="76"/>
      <c r="V204" s="76"/>
      <c r="W204" s="305"/>
      <c r="X204" s="143" t="s">
        <v>1040</v>
      </c>
      <c r="Y204" s="187" t="e">
        <f t="shared" si="52"/>
        <v>#DIV/0!</v>
      </c>
      <c r="Z204" s="187" t="e">
        <f t="shared" si="51"/>
        <v>#DIV/0!</v>
      </c>
      <c r="AA204" s="187" t="e">
        <f t="shared" si="51"/>
        <v>#DIV/0!</v>
      </c>
      <c r="AB204" s="187" t="e">
        <f t="shared" si="51"/>
        <v>#DIV/0!</v>
      </c>
      <c r="AC204" s="187" t="e">
        <f t="shared" si="51"/>
        <v>#DIV/0!</v>
      </c>
      <c r="AD204" s="187" t="e">
        <f t="shared" si="51"/>
        <v>#DIV/0!</v>
      </c>
      <c r="AE204" s="187" t="e">
        <f t="shared" si="51"/>
        <v>#DIV/0!</v>
      </c>
      <c r="AF204" s="187" t="e">
        <f t="shared" si="51"/>
        <v>#DIV/0!</v>
      </c>
      <c r="AG204" s="187" t="e">
        <f t="shared" si="51"/>
        <v>#DIV/0!</v>
      </c>
      <c r="AH204" s="187" t="e">
        <f t="shared" si="51"/>
        <v>#DIV/0!</v>
      </c>
      <c r="AI204" s="187" t="e">
        <f t="shared" si="51"/>
        <v>#DIV/0!</v>
      </c>
      <c r="AJ204" s="187" t="e">
        <f t="shared" si="51"/>
        <v>#DIV/0!</v>
      </c>
      <c r="AK204" s="187" t="e">
        <f t="shared" si="51"/>
        <v>#DIV/0!</v>
      </c>
      <c r="AL204" s="187" t="e">
        <f t="shared" si="51"/>
        <v>#DIV/0!</v>
      </c>
      <c r="AM204" s="187" t="e">
        <f t="shared" si="51"/>
        <v>#DIV/0!</v>
      </c>
      <c r="AN204" s="187" t="e">
        <f t="shared" si="51"/>
        <v>#DIV/0!</v>
      </c>
    </row>
    <row r="205" spans="2:40" x14ac:dyDescent="0.15">
      <c r="B205" s="303" t="s">
        <v>34</v>
      </c>
      <c r="C205" s="141" t="s">
        <v>1037</v>
      </c>
      <c r="D205" s="107">
        <f>SUMIFS('caseload data'!E:E,'caseload data'!$D:$D,"PO",'caseload data'!$A:$A,$B205,'caseload data'!$B:$B,"custody")</f>
        <v>0</v>
      </c>
      <c r="E205" s="107">
        <f>SUMIFS('caseload data'!F:F,'caseload data'!$D:$D,"PO",'caseload data'!$A:$A,$B205,'caseload data'!$B:$B,"custody")</f>
        <v>0</v>
      </c>
      <c r="F205" s="107">
        <f>SUMIFS('caseload data'!G:G,'caseload data'!$D:$D,"PO",'caseload data'!$A:$A,$B205,'caseload data'!$B:$B,"custody")</f>
        <v>0</v>
      </c>
      <c r="G205" s="107">
        <f>SUMIFS('caseload data'!H:H,'caseload data'!$D:$D,"PO",'caseload data'!$A:$A,$B205,'caseload data'!$B:$B,"custody")</f>
        <v>0</v>
      </c>
      <c r="H205" s="107">
        <f>SUMIFS('caseload data'!I:I,'caseload data'!$D:$D,"PO",'caseload data'!$A:$A,$B205,'caseload data'!$B:$B,"custody")</f>
        <v>0</v>
      </c>
      <c r="I205" s="107">
        <f>SUMIFS('caseload data'!J:J,'caseload data'!$D:$D,"PO",'caseload data'!$A:$A,$B205,'caseload data'!$B:$B,"custody")</f>
        <v>0</v>
      </c>
      <c r="J205" s="107">
        <f>SUMIFS('caseload data'!K:K,'caseload data'!$D:$D,"PO",'caseload data'!$A:$A,$B205,'caseload data'!$B:$B,"custody")</f>
        <v>0</v>
      </c>
      <c r="K205" s="107">
        <f>SUMIFS('caseload data'!L:L,'caseload data'!$D:$D,"PO",'caseload data'!$A:$A,$B205,'caseload data'!$B:$B,"custody")</f>
        <v>0</v>
      </c>
      <c r="L205" s="107">
        <f>SUMIFS('caseload data'!M:M,'caseload data'!$D:$D,"PO",'caseload data'!$A:$A,$B205,'caseload data'!$B:$B,"custody")</f>
        <v>0</v>
      </c>
      <c r="M205" s="107">
        <f>SUMIFS('caseload data'!N:N,'caseload data'!$D:$D,"PO",'caseload data'!$A:$A,$B205,'caseload data'!$B:$B,"custody")</f>
        <v>0</v>
      </c>
      <c r="N205" s="107">
        <f>SUMIFS('caseload data'!O:O,'caseload data'!$D:$D,"PO",'caseload data'!$A:$A,$B205,'caseload data'!$B:$B,"custody")</f>
        <v>0</v>
      </c>
      <c r="O205" s="107">
        <f>SUMIFS('caseload data'!P:P,'caseload data'!$D:$D,"PO",'caseload data'!$A:$A,$B205,'caseload data'!$B:$B,"custody")</f>
        <v>0</v>
      </c>
      <c r="P205" s="107">
        <f>SUMIFS('caseload data'!Q:Q,'caseload data'!$D:$D,"PO",'caseload data'!$A:$A,$B205,'caseload data'!$B:$B,"custody")</f>
        <v>0</v>
      </c>
      <c r="Q205" s="107">
        <f>SUMIFS('caseload data'!R:R,'caseload data'!$D:$D,"PO",'caseload data'!$A:$A,$B205,'caseload data'!$B:$B,"custody")</f>
        <v>0</v>
      </c>
      <c r="R205" s="107">
        <f>SUMIFS('caseload data'!S:S,'caseload data'!$D:$D,"PO",'caseload data'!$A:$A,$B205,'caseload data'!$B:$B,"custody")</f>
        <v>0</v>
      </c>
      <c r="S205" s="107">
        <f>SUMIFS('caseload data'!T:T,'caseload data'!$D:$D,"PO",'caseload data'!$A:$A,$B205,'caseload data'!$B:$B,"custody")</f>
        <v>0</v>
      </c>
      <c r="T205" s="107">
        <f>SUMIFS('caseload data'!V:V,'caseload data'!$D:$D,"PO",'caseload data'!$A:$A,$B205,'caseload data'!$B:$B,"custody")</f>
        <v>0</v>
      </c>
      <c r="U205" s="76"/>
      <c r="V205" s="76"/>
      <c r="W205" s="303" t="s">
        <v>34</v>
      </c>
      <c r="X205" s="141" t="s">
        <v>1037</v>
      </c>
      <c r="Y205" s="187" t="e">
        <f>SUM(D205)/SUM(D$205:D$208)</f>
        <v>#DIV/0!</v>
      </c>
      <c r="Z205" s="187" t="e">
        <f t="shared" ref="Z205:AN208" si="53">SUM(E205)/SUM(E$205:E$208)</f>
        <v>#DIV/0!</v>
      </c>
      <c r="AA205" s="187" t="e">
        <f t="shared" si="53"/>
        <v>#DIV/0!</v>
      </c>
      <c r="AB205" s="187" t="e">
        <f t="shared" si="53"/>
        <v>#DIV/0!</v>
      </c>
      <c r="AC205" s="187" t="e">
        <f t="shared" si="53"/>
        <v>#DIV/0!</v>
      </c>
      <c r="AD205" s="187" t="e">
        <f t="shared" si="53"/>
        <v>#DIV/0!</v>
      </c>
      <c r="AE205" s="187" t="e">
        <f t="shared" si="53"/>
        <v>#DIV/0!</v>
      </c>
      <c r="AF205" s="187" t="e">
        <f t="shared" si="53"/>
        <v>#DIV/0!</v>
      </c>
      <c r="AG205" s="187" t="e">
        <f t="shared" si="53"/>
        <v>#DIV/0!</v>
      </c>
      <c r="AH205" s="187" t="e">
        <f t="shared" si="53"/>
        <v>#DIV/0!</v>
      </c>
      <c r="AI205" s="187" t="e">
        <f t="shared" si="53"/>
        <v>#DIV/0!</v>
      </c>
      <c r="AJ205" s="187" t="e">
        <f t="shared" si="53"/>
        <v>#DIV/0!</v>
      </c>
      <c r="AK205" s="187" t="e">
        <f t="shared" si="53"/>
        <v>#DIV/0!</v>
      </c>
      <c r="AL205" s="187" t="e">
        <f t="shared" si="53"/>
        <v>#DIV/0!</v>
      </c>
      <c r="AM205" s="187" t="e">
        <f t="shared" si="53"/>
        <v>#DIV/0!</v>
      </c>
      <c r="AN205" s="187" t="e">
        <f t="shared" si="53"/>
        <v>#DIV/0!</v>
      </c>
    </row>
    <row r="206" spans="2:40" x14ac:dyDescent="0.15">
      <c r="B206" s="304"/>
      <c r="C206" s="142" t="s">
        <v>1038</v>
      </c>
      <c r="D206" s="107">
        <f>SUMIFS('caseload data'!E:E,'caseload data'!$D:$D,"PSO",'caseload data'!$A:$A,$B205,'caseload data'!$B:$B,"custody")</f>
        <v>0</v>
      </c>
      <c r="E206" s="107">
        <f>SUMIFS('caseload data'!F:F,'caseload data'!$D:$D,"PSO",'caseload data'!$A:$A,$B205,'caseload data'!$B:$B,"custody")</f>
        <v>0</v>
      </c>
      <c r="F206" s="107">
        <f>SUMIFS('caseload data'!G:G,'caseload data'!$D:$D,"PSO",'caseload data'!$A:$A,$B205,'caseload data'!$B:$B,"custody")</f>
        <v>0</v>
      </c>
      <c r="G206" s="107">
        <f>SUMIFS('caseload data'!H:H,'caseload data'!$D:$D,"PSO",'caseload data'!$A:$A,$B205,'caseload data'!$B:$B,"custody")</f>
        <v>0</v>
      </c>
      <c r="H206" s="107">
        <f>SUMIFS('caseload data'!I:I,'caseload data'!$D:$D,"PSO",'caseload data'!$A:$A,$B205,'caseload data'!$B:$B,"custody")</f>
        <v>0</v>
      </c>
      <c r="I206" s="107">
        <f>SUMIFS('caseload data'!J:J,'caseload data'!$D:$D,"PSO",'caseload data'!$A:$A,$B205,'caseload data'!$B:$B,"custody")</f>
        <v>0</v>
      </c>
      <c r="J206" s="107">
        <f>SUMIFS('caseload data'!K:K,'caseload data'!$D:$D,"PSO",'caseload data'!$A:$A,$B205,'caseload data'!$B:$B,"custody")</f>
        <v>0</v>
      </c>
      <c r="K206" s="107">
        <f>SUMIFS('caseload data'!L:L,'caseload data'!$D:$D,"PSO",'caseload data'!$A:$A,$B205,'caseload data'!$B:$B,"custody")</f>
        <v>0</v>
      </c>
      <c r="L206" s="107">
        <f>SUMIFS('caseload data'!M:M,'caseload data'!$D:$D,"PSO",'caseload data'!$A:$A,$B205,'caseload data'!$B:$B,"custody")</f>
        <v>0</v>
      </c>
      <c r="M206" s="107">
        <f>SUMIFS('caseload data'!N:N,'caseload data'!$D:$D,"PSO",'caseload data'!$A:$A,$B205,'caseload data'!$B:$B,"custody")</f>
        <v>0</v>
      </c>
      <c r="N206" s="107">
        <f>SUMIFS('caseload data'!O:O,'caseload data'!$D:$D,"PSO",'caseload data'!$A:$A,$B205,'caseload data'!$B:$B,"custody")</f>
        <v>0</v>
      </c>
      <c r="O206" s="107">
        <f>SUMIFS('caseload data'!P:P,'caseload data'!$D:$D,"PSO",'caseload data'!$A:$A,$B205,'caseload data'!$B:$B,"custody")</f>
        <v>0</v>
      </c>
      <c r="P206" s="107">
        <f>SUMIFS('caseload data'!Q:Q,'caseload data'!$D:$D,"PSO",'caseload data'!$A:$A,$B205,'caseload data'!$B:$B,"custody")</f>
        <v>0</v>
      </c>
      <c r="Q206" s="107">
        <f>SUMIFS('caseload data'!R:R,'caseload data'!$D:$D,"PSO",'caseload data'!$A:$A,$B205,'caseload data'!$B:$B,"custody")</f>
        <v>0</v>
      </c>
      <c r="R206" s="107">
        <f>SUMIFS('caseload data'!S:S,'caseload data'!$D:$D,"PSO",'caseload data'!$A:$A,$B205,'caseload data'!$B:$B,"custody")</f>
        <v>0</v>
      </c>
      <c r="S206" s="107">
        <f>SUMIFS('caseload data'!T:T,'caseload data'!$D:$D,"PSO",'caseload data'!$A:$A,$B205,'caseload data'!$B:$B,"custody")</f>
        <v>0</v>
      </c>
      <c r="T206" s="107">
        <f>SUMIFS('caseload data'!V:V,'caseload data'!$D:$D,"PSO",'caseload data'!$A:$A,$B205,'caseload data'!$B:$B,"custody")</f>
        <v>0</v>
      </c>
      <c r="U206" s="76"/>
      <c r="V206" s="76"/>
      <c r="W206" s="304"/>
      <c r="X206" s="142" t="s">
        <v>1038</v>
      </c>
      <c r="Y206" s="187" t="e">
        <f t="shared" ref="Y206:Y208" si="54">SUM(D206)/SUM(D$205:D$208)</f>
        <v>#DIV/0!</v>
      </c>
      <c r="Z206" s="187" t="e">
        <f t="shared" si="53"/>
        <v>#DIV/0!</v>
      </c>
      <c r="AA206" s="187" t="e">
        <f t="shared" si="53"/>
        <v>#DIV/0!</v>
      </c>
      <c r="AB206" s="187" t="e">
        <f t="shared" si="53"/>
        <v>#DIV/0!</v>
      </c>
      <c r="AC206" s="187" t="e">
        <f t="shared" si="53"/>
        <v>#DIV/0!</v>
      </c>
      <c r="AD206" s="187" t="e">
        <f t="shared" si="53"/>
        <v>#DIV/0!</v>
      </c>
      <c r="AE206" s="187" t="e">
        <f t="shared" si="53"/>
        <v>#DIV/0!</v>
      </c>
      <c r="AF206" s="187" t="e">
        <f t="shared" si="53"/>
        <v>#DIV/0!</v>
      </c>
      <c r="AG206" s="187" t="e">
        <f t="shared" si="53"/>
        <v>#DIV/0!</v>
      </c>
      <c r="AH206" s="187" t="e">
        <f t="shared" si="53"/>
        <v>#DIV/0!</v>
      </c>
      <c r="AI206" s="187" t="e">
        <f t="shared" si="53"/>
        <v>#DIV/0!</v>
      </c>
      <c r="AJ206" s="187" t="e">
        <f t="shared" si="53"/>
        <v>#DIV/0!</v>
      </c>
      <c r="AK206" s="187" t="e">
        <f t="shared" si="53"/>
        <v>#DIV/0!</v>
      </c>
      <c r="AL206" s="187" t="e">
        <f t="shared" si="53"/>
        <v>#DIV/0!</v>
      </c>
      <c r="AM206" s="187" t="e">
        <f t="shared" si="53"/>
        <v>#DIV/0!</v>
      </c>
      <c r="AN206" s="187" t="e">
        <f t="shared" si="53"/>
        <v>#DIV/0!</v>
      </c>
    </row>
    <row r="207" spans="2:40" x14ac:dyDescent="0.15">
      <c r="B207" s="304"/>
      <c r="C207" s="142" t="s">
        <v>1039</v>
      </c>
      <c r="D207" s="107">
        <f>SUMIFS('caseload data'!E:E,'caseload data'!$D:$D,"TPO",'caseload data'!$A:$A,$B205,'caseload data'!$B:$B,"custody")</f>
        <v>0</v>
      </c>
      <c r="E207" s="107">
        <f>SUMIFS('caseload data'!F:F,'caseload data'!$D:$D,"TPO",'caseload data'!$A:$A,$B205,'caseload data'!$B:$B,"custody")</f>
        <v>0</v>
      </c>
      <c r="F207" s="107">
        <f>SUMIFS('caseload data'!G:G,'caseload data'!$D:$D,"TPO",'caseload data'!$A:$A,$B205,'caseload data'!$B:$B,"custody")</f>
        <v>0</v>
      </c>
      <c r="G207" s="107">
        <f>SUMIFS('caseload data'!H:H,'caseload data'!$D:$D,"TPO",'caseload data'!$A:$A,$B205,'caseload data'!$B:$B,"custody")</f>
        <v>0</v>
      </c>
      <c r="H207" s="107">
        <f>SUMIFS('caseload data'!I:I,'caseload data'!$D:$D,"TPO",'caseload data'!$A:$A,$B205,'caseload data'!$B:$B,"custody")</f>
        <v>0</v>
      </c>
      <c r="I207" s="107">
        <f>SUMIFS('caseload data'!J:J,'caseload data'!$D:$D,"TPO",'caseload data'!$A:$A,$B205,'caseload data'!$B:$B,"custody")</f>
        <v>0</v>
      </c>
      <c r="J207" s="107">
        <f>SUMIFS('caseload data'!K:K,'caseload data'!$D:$D,"TPO",'caseload data'!$A:$A,$B205,'caseload data'!$B:$B,"custody")</f>
        <v>0</v>
      </c>
      <c r="K207" s="107">
        <f>SUMIFS('caseload data'!L:L,'caseload data'!$D:$D,"TPO",'caseload data'!$A:$A,$B205,'caseload data'!$B:$B,"custody")</f>
        <v>0</v>
      </c>
      <c r="L207" s="107">
        <f>SUMIFS('caseload data'!M:M,'caseload data'!$D:$D,"TPO",'caseload data'!$A:$A,$B205,'caseload data'!$B:$B,"custody")</f>
        <v>0</v>
      </c>
      <c r="M207" s="107">
        <f>SUMIFS('caseload data'!N:N,'caseload data'!$D:$D,"TPO",'caseload data'!$A:$A,$B205,'caseload data'!$B:$B,"custody")</f>
        <v>0</v>
      </c>
      <c r="N207" s="107">
        <f>SUMIFS('caseload data'!O:O,'caseload data'!$D:$D,"TPO",'caseload data'!$A:$A,$B205,'caseload data'!$B:$B,"custody")</f>
        <v>0</v>
      </c>
      <c r="O207" s="107">
        <f>SUMIFS('caseload data'!P:P,'caseload data'!$D:$D,"TPO",'caseload data'!$A:$A,$B205,'caseload data'!$B:$B,"custody")</f>
        <v>0</v>
      </c>
      <c r="P207" s="107">
        <f>SUMIFS('caseload data'!Q:Q,'caseload data'!$D:$D,"TPO",'caseload data'!$A:$A,$B205,'caseload data'!$B:$B,"custody")</f>
        <v>0</v>
      </c>
      <c r="Q207" s="107">
        <f>SUMIFS('caseload data'!R:R,'caseload data'!$D:$D,"TPO",'caseload data'!$A:$A,$B205,'caseload data'!$B:$B,"custody")</f>
        <v>0</v>
      </c>
      <c r="R207" s="107">
        <f>SUMIFS('caseload data'!S:S,'caseload data'!$D:$D,"TPO",'caseload data'!$A:$A,$B205,'caseload data'!$B:$B,"custody")</f>
        <v>0</v>
      </c>
      <c r="S207" s="107">
        <f>SUMIFS('caseload data'!T:T,'caseload data'!$D:$D,"TPO",'caseload data'!$A:$A,$B205,'caseload data'!$B:$B,"custody")</f>
        <v>0</v>
      </c>
      <c r="T207" s="107">
        <f>SUMIFS('caseload data'!V:V,'caseload data'!$D:$D,"TPO",'caseload data'!$A:$A,$B205,'caseload data'!$B:$B,"custody")</f>
        <v>0</v>
      </c>
      <c r="U207" s="76"/>
      <c r="V207" s="76"/>
      <c r="W207" s="304"/>
      <c r="X207" s="142" t="s">
        <v>1039</v>
      </c>
      <c r="Y207" s="187" t="e">
        <f t="shared" si="54"/>
        <v>#DIV/0!</v>
      </c>
      <c r="Z207" s="187" t="e">
        <f t="shared" si="53"/>
        <v>#DIV/0!</v>
      </c>
      <c r="AA207" s="187" t="e">
        <f t="shared" si="53"/>
        <v>#DIV/0!</v>
      </c>
      <c r="AB207" s="187" t="e">
        <f t="shared" si="53"/>
        <v>#DIV/0!</v>
      </c>
      <c r="AC207" s="187" t="e">
        <f t="shared" si="53"/>
        <v>#DIV/0!</v>
      </c>
      <c r="AD207" s="187" t="e">
        <f t="shared" si="53"/>
        <v>#DIV/0!</v>
      </c>
      <c r="AE207" s="187" t="e">
        <f t="shared" si="53"/>
        <v>#DIV/0!</v>
      </c>
      <c r="AF207" s="187" t="e">
        <f t="shared" si="53"/>
        <v>#DIV/0!</v>
      </c>
      <c r="AG207" s="187" t="e">
        <f t="shared" si="53"/>
        <v>#DIV/0!</v>
      </c>
      <c r="AH207" s="187" t="e">
        <f t="shared" si="53"/>
        <v>#DIV/0!</v>
      </c>
      <c r="AI207" s="187" t="e">
        <f t="shared" si="53"/>
        <v>#DIV/0!</v>
      </c>
      <c r="AJ207" s="187" t="e">
        <f t="shared" si="53"/>
        <v>#DIV/0!</v>
      </c>
      <c r="AK207" s="187" t="e">
        <f t="shared" si="53"/>
        <v>#DIV/0!</v>
      </c>
      <c r="AL207" s="187" t="e">
        <f t="shared" si="53"/>
        <v>#DIV/0!</v>
      </c>
      <c r="AM207" s="187" t="e">
        <f t="shared" si="53"/>
        <v>#DIV/0!</v>
      </c>
      <c r="AN207" s="187" t="e">
        <f t="shared" si="53"/>
        <v>#DIV/0!</v>
      </c>
    </row>
    <row r="208" spans="2:40" ht="15" thickBot="1" x14ac:dyDescent="0.2">
      <c r="B208" s="305"/>
      <c r="C208" s="143" t="s">
        <v>1040</v>
      </c>
      <c r="D208" s="107">
        <f>SUMIFS('caseload data'!E:E,'caseload data'!$D:$D,"SPO",'caseload data'!$A:$A,$B205,'caseload data'!$B:$B,"custody")</f>
        <v>0</v>
      </c>
      <c r="E208" s="107">
        <f>SUMIFS('caseload data'!F:F,'caseload data'!$D:$D,"SPO",'caseload data'!$A:$A,$B205,'caseload data'!$B:$B,"custody")</f>
        <v>0</v>
      </c>
      <c r="F208" s="107">
        <f>SUMIFS('caseload data'!G:G,'caseload data'!$D:$D,"SPO",'caseload data'!$A:$A,$B205,'caseload data'!$B:$B,"custody")</f>
        <v>0</v>
      </c>
      <c r="G208" s="107">
        <f>SUMIFS('caseload data'!H:H,'caseload data'!$D:$D,"SPO",'caseload data'!$A:$A,$B205,'caseload data'!$B:$B,"custody")</f>
        <v>0</v>
      </c>
      <c r="H208" s="107">
        <f>SUMIFS('caseload data'!I:I,'caseload data'!$D:$D,"SPO",'caseload data'!$A:$A,$B205,'caseload data'!$B:$B,"custody")</f>
        <v>0</v>
      </c>
      <c r="I208" s="107">
        <f>SUMIFS('caseload data'!J:J,'caseload data'!$D:$D,"SPO",'caseload data'!$A:$A,$B205,'caseload data'!$B:$B,"custody")</f>
        <v>0</v>
      </c>
      <c r="J208" s="107">
        <f>SUMIFS('caseload data'!K:K,'caseload data'!$D:$D,"SPO",'caseload data'!$A:$A,$B205,'caseload data'!$B:$B,"custody")</f>
        <v>0</v>
      </c>
      <c r="K208" s="107">
        <f>SUMIFS('caseload data'!L:L,'caseload data'!$D:$D,"SPO",'caseload data'!$A:$A,$B205,'caseload data'!$B:$B,"custody")</f>
        <v>0</v>
      </c>
      <c r="L208" s="107">
        <f>SUMIFS('caseload data'!M:M,'caseload data'!$D:$D,"SPO",'caseload data'!$A:$A,$B205,'caseload data'!$B:$B,"custody")</f>
        <v>0</v>
      </c>
      <c r="M208" s="107">
        <f>SUMIFS('caseload data'!N:N,'caseload data'!$D:$D,"SPO",'caseload data'!$A:$A,$B205,'caseload data'!$B:$B,"custody")</f>
        <v>0</v>
      </c>
      <c r="N208" s="107">
        <f>SUMIFS('caseload data'!O:O,'caseload data'!$D:$D,"SPO",'caseload data'!$A:$A,$B205,'caseload data'!$B:$B,"custody")</f>
        <v>0</v>
      </c>
      <c r="O208" s="107">
        <f>SUMIFS('caseload data'!P:P,'caseload data'!$D:$D,"SPO",'caseload data'!$A:$A,$B205,'caseload data'!$B:$B,"custody")</f>
        <v>0</v>
      </c>
      <c r="P208" s="107">
        <f>SUMIFS('caseload data'!Q:Q,'caseload data'!$D:$D,"SPO",'caseload data'!$A:$A,$B205,'caseload data'!$B:$B,"custody")</f>
        <v>0</v>
      </c>
      <c r="Q208" s="107">
        <f>SUMIFS('caseload data'!R:R,'caseload data'!$D:$D,"SPO",'caseload data'!$A:$A,$B205,'caseload data'!$B:$B,"custody")</f>
        <v>0</v>
      </c>
      <c r="R208" s="107">
        <f>SUMIFS('caseload data'!S:S,'caseload data'!$D:$D,"SPO",'caseload data'!$A:$A,$B205,'caseload data'!$B:$B,"custody")</f>
        <v>0</v>
      </c>
      <c r="S208" s="107">
        <f>SUMIFS('caseload data'!T:T,'caseload data'!$D:$D,"SPO",'caseload data'!$A:$A,$B205,'caseload data'!$B:$B,"custody")</f>
        <v>0</v>
      </c>
      <c r="T208" s="107">
        <f>SUMIFS('caseload data'!V:V,'caseload data'!$D:$D,"SPO",'caseload data'!$A:$A,$B205,'caseload data'!$B:$B,"custody")</f>
        <v>0</v>
      </c>
      <c r="U208" s="76"/>
      <c r="V208" s="76"/>
      <c r="W208" s="305"/>
      <c r="X208" s="143" t="s">
        <v>1040</v>
      </c>
      <c r="Y208" s="187" t="e">
        <f t="shared" si="54"/>
        <v>#DIV/0!</v>
      </c>
      <c r="Z208" s="187" t="e">
        <f t="shared" si="53"/>
        <v>#DIV/0!</v>
      </c>
      <c r="AA208" s="187" t="e">
        <f t="shared" si="53"/>
        <v>#DIV/0!</v>
      </c>
      <c r="AB208" s="187" t="e">
        <f t="shared" si="53"/>
        <v>#DIV/0!</v>
      </c>
      <c r="AC208" s="187" t="e">
        <f t="shared" si="53"/>
        <v>#DIV/0!</v>
      </c>
      <c r="AD208" s="187" t="e">
        <f t="shared" si="53"/>
        <v>#DIV/0!</v>
      </c>
      <c r="AE208" s="187" t="e">
        <f t="shared" si="53"/>
        <v>#DIV/0!</v>
      </c>
      <c r="AF208" s="187" t="e">
        <f t="shared" si="53"/>
        <v>#DIV/0!</v>
      </c>
      <c r="AG208" s="187" t="e">
        <f t="shared" si="53"/>
        <v>#DIV/0!</v>
      </c>
      <c r="AH208" s="187" t="e">
        <f t="shared" si="53"/>
        <v>#DIV/0!</v>
      </c>
      <c r="AI208" s="187" t="e">
        <f t="shared" si="53"/>
        <v>#DIV/0!</v>
      </c>
      <c r="AJ208" s="187" t="e">
        <f t="shared" si="53"/>
        <v>#DIV/0!</v>
      </c>
      <c r="AK208" s="187" t="e">
        <f t="shared" si="53"/>
        <v>#DIV/0!</v>
      </c>
      <c r="AL208" s="187" t="e">
        <f t="shared" si="53"/>
        <v>#DIV/0!</v>
      </c>
      <c r="AM208" s="187" t="e">
        <f t="shared" si="53"/>
        <v>#DIV/0!</v>
      </c>
      <c r="AN208" s="187" t="e">
        <f t="shared" si="53"/>
        <v>#DIV/0!</v>
      </c>
    </row>
    <row r="209" spans="2:40" x14ac:dyDescent="0.15">
      <c r="B209" s="327" t="s">
        <v>1240</v>
      </c>
      <c r="C209" s="150" t="s">
        <v>1037</v>
      </c>
      <c r="D209" s="151">
        <f>SUMIFS('caseload data'!E:E,'caseload data'!$D:$D,"PO",'caseload data'!$B:$B,"custody")</f>
        <v>0</v>
      </c>
      <c r="E209" s="151">
        <f>SUMIFS('caseload data'!F:F,'caseload data'!$D:$D,"PO",'caseload data'!$B:$B,"custody")</f>
        <v>0</v>
      </c>
      <c r="F209" s="151">
        <f>SUMIFS('caseload data'!G:G,'caseload data'!$D:$D,"PO",'caseload data'!$B:$B,"custody")</f>
        <v>0</v>
      </c>
      <c r="G209" s="151">
        <f>SUMIFS('caseload data'!H:H,'caseload data'!$D:$D,"PO",'caseload data'!$B:$B,"custody")</f>
        <v>0</v>
      </c>
      <c r="H209" s="151">
        <f>SUMIFS('caseload data'!I:I,'caseload data'!$D:$D,"PO",'caseload data'!$B:$B,"custody")</f>
        <v>0</v>
      </c>
      <c r="I209" s="151">
        <f>SUMIFS('caseload data'!J:J,'caseload data'!$D:$D,"PO",'caseload data'!$B:$B,"custody")</f>
        <v>0</v>
      </c>
      <c r="J209" s="151">
        <f>SUMIFS('caseload data'!K:K,'caseload data'!$D:$D,"PO",'caseload data'!$B:$B,"custody")</f>
        <v>0</v>
      </c>
      <c r="K209" s="151">
        <f>SUMIFS('caseload data'!L:L,'caseload data'!$D:$D,"PO",'caseload data'!$B:$B,"custody")</f>
        <v>0</v>
      </c>
      <c r="L209" s="151">
        <f>SUMIFS('caseload data'!M:M,'caseload data'!$D:$D,"PO",'caseload data'!$B:$B,"custody")</f>
        <v>0</v>
      </c>
      <c r="M209" s="151">
        <f>SUMIFS('caseload data'!N:N,'caseload data'!$D:$D,"PO",'caseload data'!$B:$B,"custody")</f>
        <v>0</v>
      </c>
      <c r="N209" s="151">
        <f>SUMIFS('caseload data'!O:O,'caseload data'!$D:$D,"PO",'caseload data'!$B:$B,"custody")</f>
        <v>0</v>
      </c>
      <c r="O209" s="151">
        <f>SUMIFS('caseload data'!P:P,'caseload data'!$D:$D,"PO",'caseload data'!$B:$B,"custody")</f>
        <v>0</v>
      </c>
      <c r="P209" s="151">
        <f>SUMIFS('caseload data'!Q:Q,'caseload data'!$D:$D,"PO",'caseload data'!$B:$B,"custody")</f>
        <v>0</v>
      </c>
      <c r="Q209" s="151">
        <f>SUMIFS('caseload data'!R:R,'caseload data'!$D:$D,"PO",'caseload data'!$B:$B,"custody")</f>
        <v>0</v>
      </c>
      <c r="R209" s="151">
        <f>SUMIFS('caseload data'!S:S,'caseload data'!$D:$D,"PO",'caseload data'!$B:$B,"custody")</f>
        <v>0</v>
      </c>
      <c r="S209" s="151">
        <f>SUMIFS('caseload data'!T:T,'caseload data'!$D:$D,"PO",'caseload data'!$B:$B,"custody")</f>
        <v>0</v>
      </c>
      <c r="T209" s="152">
        <f>SUMIFS('caseload data'!V:V,'caseload data'!D:D,"PO",'caseload data'!B:B,"custody")</f>
        <v>0</v>
      </c>
      <c r="U209" s="76"/>
      <c r="V209" s="76"/>
      <c r="W209" s="319" t="s">
        <v>1240</v>
      </c>
      <c r="X209" s="150" t="s">
        <v>1037</v>
      </c>
      <c r="Y209" s="154" t="e">
        <f>SUM(D209)/SUM(D$209:D$212)</f>
        <v>#DIV/0!</v>
      </c>
      <c r="Z209" s="154" t="e">
        <f t="shared" ref="Z209:AN212" si="55">SUM(E209)/SUM(E$209:E$212)</f>
        <v>#DIV/0!</v>
      </c>
      <c r="AA209" s="154" t="e">
        <f t="shared" si="55"/>
        <v>#DIV/0!</v>
      </c>
      <c r="AB209" s="154" t="e">
        <f t="shared" si="55"/>
        <v>#DIV/0!</v>
      </c>
      <c r="AC209" s="154" t="e">
        <f t="shared" si="55"/>
        <v>#DIV/0!</v>
      </c>
      <c r="AD209" s="154" t="e">
        <f t="shared" si="55"/>
        <v>#DIV/0!</v>
      </c>
      <c r="AE209" s="154" t="e">
        <f t="shared" si="55"/>
        <v>#DIV/0!</v>
      </c>
      <c r="AF209" s="154" t="e">
        <f t="shared" si="55"/>
        <v>#DIV/0!</v>
      </c>
      <c r="AG209" s="154" t="e">
        <f t="shared" si="55"/>
        <v>#DIV/0!</v>
      </c>
      <c r="AH209" s="154" t="e">
        <f t="shared" si="55"/>
        <v>#DIV/0!</v>
      </c>
      <c r="AI209" s="154" t="e">
        <f t="shared" si="55"/>
        <v>#DIV/0!</v>
      </c>
      <c r="AJ209" s="154" t="e">
        <f t="shared" si="55"/>
        <v>#DIV/0!</v>
      </c>
      <c r="AK209" s="154" t="e">
        <f t="shared" si="55"/>
        <v>#DIV/0!</v>
      </c>
      <c r="AL209" s="154" t="e">
        <f t="shared" si="55"/>
        <v>#DIV/0!</v>
      </c>
      <c r="AM209" s="154" t="e">
        <f t="shared" si="55"/>
        <v>#DIV/0!</v>
      </c>
      <c r="AN209" s="154" t="e">
        <f t="shared" si="55"/>
        <v>#DIV/0!</v>
      </c>
    </row>
    <row r="210" spans="2:40" x14ac:dyDescent="0.15">
      <c r="B210" s="325"/>
      <c r="C210" s="153" t="s">
        <v>1038</v>
      </c>
      <c r="D210" s="151">
        <f>SUMIFS('caseload data'!E:E,'caseload data'!$D:$D,"PSO",'caseload data'!$B:$B,"custody")</f>
        <v>0</v>
      </c>
      <c r="E210" s="151">
        <f>SUMIFS('caseload data'!F:F,'caseload data'!$D:$D,"PSO",'caseload data'!$B:$B,"custody")</f>
        <v>0</v>
      </c>
      <c r="F210" s="151">
        <f>SUMIFS('caseload data'!G:G,'caseload data'!$D:$D,"PSO",'caseload data'!$B:$B,"custody")</f>
        <v>0</v>
      </c>
      <c r="G210" s="151">
        <f>SUMIFS('caseload data'!H:H,'caseload data'!$D:$D,"PSO",'caseload data'!$B:$B,"custody")</f>
        <v>0</v>
      </c>
      <c r="H210" s="151">
        <f>SUMIFS('caseload data'!I:I,'caseload data'!$D:$D,"PSO",'caseload data'!$B:$B,"custody")</f>
        <v>0</v>
      </c>
      <c r="I210" s="151">
        <f>SUMIFS('caseload data'!J:J,'caseload data'!$D:$D,"PSO",'caseload data'!$B:$B,"custody")</f>
        <v>0</v>
      </c>
      <c r="J210" s="151">
        <f>SUMIFS('caseload data'!K:K,'caseload data'!$D:$D,"PSO",'caseload data'!$B:$B,"custody")</f>
        <v>0</v>
      </c>
      <c r="K210" s="151">
        <f>SUMIFS('caseload data'!L:L,'caseload data'!$D:$D,"PSO",'caseload data'!$B:$B,"custody")</f>
        <v>0</v>
      </c>
      <c r="L210" s="151">
        <f>SUMIFS('caseload data'!M:M,'caseload data'!$D:$D,"PSO",'caseload data'!$B:$B,"custody")</f>
        <v>0</v>
      </c>
      <c r="M210" s="151">
        <f>SUMIFS('caseload data'!N:N,'caseload data'!$D:$D,"PSO",'caseload data'!$B:$B,"custody")</f>
        <v>0</v>
      </c>
      <c r="N210" s="151">
        <f>SUMIFS('caseload data'!O:O,'caseload data'!$D:$D,"PSO",'caseload data'!$B:$B,"custody")</f>
        <v>0</v>
      </c>
      <c r="O210" s="151">
        <f>SUMIFS('caseload data'!P:P,'caseload data'!$D:$D,"PSO",'caseload data'!$B:$B,"custody")</f>
        <v>0</v>
      </c>
      <c r="P210" s="151">
        <f>SUMIFS('caseload data'!Q:Q,'caseload data'!$D:$D,"PSO",'caseload data'!$B:$B,"custody")</f>
        <v>0</v>
      </c>
      <c r="Q210" s="151">
        <f>SUMIFS('caseload data'!R:R,'caseload data'!$D:$D,"PSO",'caseload data'!$B:$B,"custody")</f>
        <v>0</v>
      </c>
      <c r="R210" s="151">
        <f>SUMIFS('caseload data'!S:S,'caseload data'!$D:$D,"PSO",'caseload data'!$B:$B,"custody")</f>
        <v>0</v>
      </c>
      <c r="S210" s="151">
        <f>SUMIFS('caseload data'!T:T,'caseload data'!$D:$D,"PSO",'caseload data'!$B:$B,"custody")</f>
        <v>0</v>
      </c>
      <c r="T210" s="152">
        <f>SUMIFS('caseload data'!V:V,'caseload data'!D:D,"PSO",'caseload data'!B:B,"custody")</f>
        <v>0</v>
      </c>
      <c r="U210" s="76"/>
      <c r="V210" s="76"/>
      <c r="W210" s="328"/>
      <c r="X210" s="153" t="s">
        <v>1038</v>
      </c>
      <c r="Y210" s="154" t="e">
        <f>SUM(D210)/SUM(D$209:D$212)</f>
        <v>#DIV/0!</v>
      </c>
      <c r="Z210" s="154" t="e">
        <f t="shared" si="55"/>
        <v>#DIV/0!</v>
      </c>
      <c r="AA210" s="154" t="e">
        <f t="shared" si="55"/>
        <v>#DIV/0!</v>
      </c>
      <c r="AB210" s="154" t="e">
        <f t="shared" si="55"/>
        <v>#DIV/0!</v>
      </c>
      <c r="AC210" s="154" t="e">
        <f t="shared" si="55"/>
        <v>#DIV/0!</v>
      </c>
      <c r="AD210" s="154" t="e">
        <f t="shared" si="55"/>
        <v>#DIV/0!</v>
      </c>
      <c r="AE210" s="154" t="e">
        <f t="shared" si="55"/>
        <v>#DIV/0!</v>
      </c>
      <c r="AF210" s="154" t="e">
        <f t="shared" si="55"/>
        <v>#DIV/0!</v>
      </c>
      <c r="AG210" s="154" t="e">
        <f t="shared" si="55"/>
        <v>#DIV/0!</v>
      </c>
      <c r="AH210" s="154" t="e">
        <f t="shared" si="55"/>
        <v>#DIV/0!</v>
      </c>
      <c r="AI210" s="154" t="e">
        <f t="shared" si="55"/>
        <v>#DIV/0!</v>
      </c>
      <c r="AJ210" s="154" t="e">
        <f t="shared" si="55"/>
        <v>#DIV/0!</v>
      </c>
      <c r="AK210" s="154" t="e">
        <f t="shared" si="55"/>
        <v>#DIV/0!</v>
      </c>
      <c r="AL210" s="154" t="e">
        <f t="shared" si="55"/>
        <v>#DIV/0!</v>
      </c>
      <c r="AM210" s="154" t="e">
        <f t="shared" si="55"/>
        <v>#DIV/0!</v>
      </c>
      <c r="AN210" s="154" t="e">
        <f t="shared" si="55"/>
        <v>#DIV/0!</v>
      </c>
    </row>
    <row r="211" spans="2:40" x14ac:dyDescent="0.15">
      <c r="B211" s="325"/>
      <c r="C211" s="153" t="s">
        <v>1039</v>
      </c>
      <c r="D211" s="151">
        <f>SUMIFS('caseload data'!E:E,'caseload data'!$D:$D,"TPO",'caseload data'!$B:$B,"custody")</f>
        <v>0</v>
      </c>
      <c r="E211" s="151">
        <f>SUMIFS('caseload data'!F:F,'caseload data'!$D:$D,"TPO",'caseload data'!$B:$B,"custody")</f>
        <v>0</v>
      </c>
      <c r="F211" s="151">
        <f>SUMIFS('caseload data'!G:G,'caseload data'!$D:$D,"TPO",'caseload data'!$B:$B,"custody")</f>
        <v>0</v>
      </c>
      <c r="G211" s="151">
        <f>SUMIFS('caseload data'!H:H,'caseload data'!$D:$D,"TPO",'caseload data'!$B:$B,"custody")</f>
        <v>0</v>
      </c>
      <c r="H211" s="151">
        <f>SUMIFS('caseload data'!I:I,'caseload data'!$D:$D,"TPO",'caseload data'!$B:$B,"custody")</f>
        <v>0</v>
      </c>
      <c r="I211" s="151">
        <f>SUMIFS('caseload data'!J:J,'caseload data'!$D:$D,"TPO",'caseload data'!$B:$B,"custody")</f>
        <v>0</v>
      </c>
      <c r="J211" s="151">
        <f>SUMIFS('caseload data'!K:K,'caseload data'!$D:$D,"TPO",'caseload data'!$B:$B,"custody")</f>
        <v>0</v>
      </c>
      <c r="K211" s="151">
        <f>SUMIFS('caseload data'!L:L,'caseload data'!$D:$D,"TPO",'caseload data'!$B:$B,"custody")</f>
        <v>0</v>
      </c>
      <c r="L211" s="151">
        <f>SUMIFS('caseload data'!M:M,'caseload data'!$D:$D,"TPO",'caseload data'!$B:$B,"custody")</f>
        <v>0</v>
      </c>
      <c r="M211" s="151">
        <f>SUMIFS('caseload data'!N:N,'caseload data'!$D:$D,"TPO",'caseload data'!$B:$B,"custody")</f>
        <v>0</v>
      </c>
      <c r="N211" s="151">
        <f>SUMIFS('caseload data'!O:O,'caseload data'!$D:$D,"TPO",'caseload data'!$B:$B,"custody")</f>
        <v>0</v>
      </c>
      <c r="O211" s="151">
        <f>SUMIFS('caseload data'!P:P,'caseload data'!$D:$D,"TPO",'caseload data'!$B:$B,"custody")</f>
        <v>0</v>
      </c>
      <c r="P211" s="151">
        <f>SUMIFS('caseload data'!Q:Q,'caseload data'!$D:$D,"TPO",'caseload data'!$B:$B,"custody")</f>
        <v>0</v>
      </c>
      <c r="Q211" s="151">
        <f>SUMIFS('caseload data'!R:R,'caseload data'!$D:$D,"TPO",'caseload data'!$B:$B,"custody")</f>
        <v>0</v>
      </c>
      <c r="R211" s="151">
        <f>SUMIFS('caseload data'!S:S,'caseload data'!$D:$D,"TPO",'caseload data'!$B:$B,"custody")</f>
        <v>0</v>
      </c>
      <c r="S211" s="151">
        <f>SUMIFS('caseload data'!T:T,'caseload data'!$D:$D,"TPO",'caseload data'!$B:$B,"custody")</f>
        <v>0</v>
      </c>
      <c r="T211" s="152">
        <f>SUMIFS('caseload data'!V:V,'caseload data'!D:D,"TPO",'caseload data'!B:B,"custody")</f>
        <v>0</v>
      </c>
      <c r="U211" s="76"/>
      <c r="V211" s="76"/>
      <c r="W211" s="328"/>
      <c r="X211" s="153" t="s">
        <v>1039</v>
      </c>
      <c r="Y211" s="154" t="e">
        <f>SUM(D211)/SUM(D$209:D$212)</f>
        <v>#DIV/0!</v>
      </c>
      <c r="Z211" s="154" t="e">
        <f t="shared" si="55"/>
        <v>#DIV/0!</v>
      </c>
      <c r="AA211" s="154" t="e">
        <f t="shared" si="55"/>
        <v>#DIV/0!</v>
      </c>
      <c r="AB211" s="154" t="e">
        <f t="shared" si="55"/>
        <v>#DIV/0!</v>
      </c>
      <c r="AC211" s="154" t="e">
        <f t="shared" si="55"/>
        <v>#DIV/0!</v>
      </c>
      <c r="AD211" s="154" t="e">
        <f t="shared" si="55"/>
        <v>#DIV/0!</v>
      </c>
      <c r="AE211" s="154" t="e">
        <f t="shared" si="55"/>
        <v>#DIV/0!</v>
      </c>
      <c r="AF211" s="154" t="e">
        <f t="shared" si="55"/>
        <v>#DIV/0!</v>
      </c>
      <c r="AG211" s="154" t="e">
        <f t="shared" si="55"/>
        <v>#DIV/0!</v>
      </c>
      <c r="AH211" s="154" t="e">
        <f t="shared" si="55"/>
        <v>#DIV/0!</v>
      </c>
      <c r="AI211" s="154" t="e">
        <f t="shared" si="55"/>
        <v>#DIV/0!</v>
      </c>
      <c r="AJ211" s="154" t="e">
        <f t="shared" si="55"/>
        <v>#DIV/0!</v>
      </c>
      <c r="AK211" s="154" t="e">
        <f t="shared" si="55"/>
        <v>#DIV/0!</v>
      </c>
      <c r="AL211" s="154" t="e">
        <f t="shared" si="55"/>
        <v>#DIV/0!</v>
      </c>
      <c r="AM211" s="154" t="e">
        <f t="shared" si="55"/>
        <v>#DIV/0!</v>
      </c>
      <c r="AN211" s="154" t="e">
        <f t="shared" si="55"/>
        <v>#DIV/0!</v>
      </c>
    </row>
    <row r="212" spans="2:40" ht="15" thickBot="1" x14ac:dyDescent="0.2">
      <c r="B212" s="325"/>
      <c r="C212" s="153" t="s">
        <v>1040</v>
      </c>
      <c r="D212" s="151">
        <f>SUMIFS('caseload data'!E:E,'caseload data'!$D:$D,"SPO",'caseload data'!$B:$B,"custody")</f>
        <v>0</v>
      </c>
      <c r="E212" s="151">
        <f>SUMIFS('caseload data'!F:F,'caseload data'!$D:$D,"SPO",'caseload data'!$B:$B,"custody")</f>
        <v>0</v>
      </c>
      <c r="F212" s="151">
        <f>SUMIFS('caseload data'!G:G,'caseload data'!$D:$D,"SPO",'caseload data'!$B:$B,"custody")</f>
        <v>0</v>
      </c>
      <c r="G212" s="151">
        <f>SUMIFS('caseload data'!H:H,'caseload data'!$D:$D,"SPO",'caseload data'!$B:$B,"custody")</f>
        <v>0</v>
      </c>
      <c r="H212" s="151">
        <f>SUMIFS('caseload data'!I:I,'caseload data'!$D:$D,"SPO",'caseload data'!$B:$B,"custody")</f>
        <v>0</v>
      </c>
      <c r="I212" s="151">
        <f>SUMIFS('caseload data'!J:J,'caseload data'!$D:$D,"SPO",'caseload data'!$B:$B,"custody")</f>
        <v>0</v>
      </c>
      <c r="J212" s="151">
        <f>SUMIFS('caseload data'!K:K,'caseload data'!$D:$D,"SPO",'caseload data'!$B:$B,"custody")</f>
        <v>0</v>
      </c>
      <c r="K212" s="151">
        <f>SUMIFS('caseload data'!L:L,'caseload data'!$D:$D,"SPO",'caseload data'!$B:$B,"custody")</f>
        <v>0</v>
      </c>
      <c r="L212" s="151">
        <f>SUMIFS('caseload data'!M:M,'caseload data'!$D:$D,"SPO",'caseload data'!$B:$B,"custody")</f>
        <v>0</v>
      </c>
      <c r="M212" s="151">
        <f>SUMIFS('caseload data'!N:N,'caseload data'!$D:$D,"SPO",'caseload data'!$B:$B,"custody")</f>
        <v>0</v>
      </c>
      <c r="N212" s="151">
        <f>SUMIFS('caseload data'!O:O,'caseload data'!$D:$D,"SPO",'caseload data'!$B:$B,"custody")</f>
        <v>0</v>
      </c>
      <c r="O212" s="151">
        <f>SUMIFS('caseload data'!P:P,'caseload data'!$D:$D,"SPO",'caseload data'!$B:$B,"custody")</f>
        <v>0</v>
      </c>
      <c r="P212" s="151">
        <f>SUMIFS('caseload data'!Q:Q,'caseload data'!$D:$D,"SPO",'caseload data'!$B:$B,"custody")</f>
        <v>0</v>
      </c>
      <c r="Q212" s="151">
        <f>SUMIFS('caseload data'!R:R,'caseload data'!$D:$D,"SPO",'caseload data'!$B:$B,"custody")</f>
        <v>0</v>
      </c>
      <c r="R212" s="151">
        <f>SUMIFS('caseload data'!S:S,'caseload data'!$D:$D,"SPO",'caseload data'!$B:$B,"custody")</f>
        <v>0</v>
      </c>
      <c r="S212" s="151">
        <f>SUMIFS('caseload data'!T:T,'caseload data'!$D:$D,"SPO",'caseload data'!$B:$B,"custody")</f>
        <v>0</v>
      </c>
      <c r="T212" s="152">
        <f>SUMIFS('caseload data'!V:V,'caseload data'!$D:$D,"SPO",'caseload data'!$B:$B,"custody")</f>
        <v>0</v>
      </c>
      <c r="U212" s="76"/>
      <c r="V212" s="76"/>
      <c r="W212" s="329"/>
      <c r="X212" s="155" t="s">
        <v>1040</v>
      </c>
      <c r="Y212" s="154" t="e">
        <f>SUM(D212)/SUM(D$209:D$212)</f>
        <v>#DIV/0!</v>
      </c>
      <c r="Z212" s="154" t="e">
        <f t="shared" si="55"/>
        <v>#DIV/0!</v>
      </c>
      <c r="AA212" s="154" t="e">
        <f t="shared" si="55"/>
        <v>#DIV/0!</v>
      </c>
      <c r="AB212" s="154" t="e">
        <f t="shared" si="55"/>
        <v>#DIV/0!</v>
      </c>
      <c r="AC212" s="154" t="e">
        <f t="shared" si="55"/>
        <v>#DIV/0!</v>
      </c>
      <c r="AD212" s="154" t="e">
        <f t="shared" si="55"/>
        <v>#DIV/0!</v>
      </c>
      <c r="AE212" s="154" t="e">
        <f t="shared" si="55"/>
        <v>#DIV/0!</v>
      </c>
      <c r="AF212" s="154" t="e">
        <f t="shared" si="55"/>
        <v>#DIV/0!</v>
      </c>
      <c r="AG212" s="154" t="e">
        <f t="shared" si="55"/>
        <v>#DIV/0!</v>
      </c>
      <c r="AH212" s="154" t="e">
        <f t="shared" si="55"/>
        <v>#DIV/0!</v>
      </c>
      <c r="AI212" s="154" t="e">
        <f t="shared" si="55"/>
        <v>#DIV/0!</v>
      </c>
      <c r="AJ212" s="154" t="e">
        <f t="shared" si="55"/>
        <v>#DIV/0!</v>
      </c>
      <c r="AK212" s="154" t="e">
        <f t="shared" si="55"/>
        <v>#DIV/0!</v>
      </c>
      <c r="AL212" s="154" t="e">
        <f t="shared" si="55"/>
        <v>#DIV/0!</v>
      </c>
      <c r="AM212" s="154" t="e">
        <f t="shared" si="55"/>
        <v>#DIV/0!</v>
      </c>
      <c r="AN212" s="154" t="e">
        <f t="shared" si="55"/>
        <v>#DIV/0!</v>
      </c>
    </row>
    <row r="213" spans="2:40" ht="31.5" customHeight="1" thickBot="1" x14ac:dyDescent="0.2">
      <c r="B213" s="326"/>
      <c r="C213" s="147" t="s">
        <v>1241</v>
      </c>
      <c r="D213" s="148">
        <f>SUMIF('caseload data'!$B:$B,"custody",'caseload data'!E:E)</f>
        <v>0</v>
      </c>
      <c r="E213" s="148">
        <f>SUMIF('caseload data'!$B:$B,"custody",'caseload data'!F:F)</f>
        <v>0</v>
      </c>
      <c r="F213" s="148">
        <f>SUMIF('caseload data'!$B:$B,"custody",'caseload data'!G:G)</f>
        <v>0</v>
      </c>
      <c r="G213" s="148">
        <f>SUMIF('caseload data'!$B:$B,"custody",'caseload data'!H:H)</f>
        <v>0</v>
      </c>
      <c r="H213" s="148">
        <f>SUMIF('caseload data'!$B:$B,"custody",'caseload data'!I:I)</f>
        <v>0</v>
      </c>
      <c r="I213" s="148">
        <f>SUMIF('caseload data'!$B:$B,"custody",'caseload data'!J:J)</f>
        <v>0</v>
      </c>
      <c r="J213" s="148">
        <f>SUMIF('caseload data'!$B:$B,"custody",'caseload data'!K:K)</f>
        <v>0</v>
      </c>
      <c r="K213" s="148">
        <f>SUMIF('caseload data'!$B:$B,"custody",'caseload data'!L:L)</f>
        <v>0</v>
      </c>
      <c r="L213" s="148">
        <f>SUMIF('caseload data'!$B:$B,"custody",'caseload data'!M:M)</f>
        <v>0</v>
      </c>
      <c r="M213" s="148">
        <f>SUMIF('caseload data'!$B:$B,"custody",'caseload data'!N:N)</f>
        <v>0</v>
      </c>
      <c r="N213" s="148">
        <f>SUMIF('caseload data'!$B:$B,"custody",'caseload data'!O:O)</f>
        <v>0</v>
      </c>
      <c r="O213" s="148">
        <f>SUMIF('caseload data'!$B:$B,"custody",'caseload data'!P:P)</f>
        <v>0</v>
      </c>
      <c r="P213" s="148">
        <f>SUMIF('caseload data'!$B:$B,"custody",'caseload data'!Q:Q)</f>
        <v>0</v>
      </c>
      <c r="Q213" s="148">
        <f>SUMIF('caseload data'!$B:$B,"custody",'caseload data'!R:R)</f>
        <v>0</v>
      </c>
      <c r="R213" s="148">
        <f>SUMIF('caseload data'!$B:$B,"custody",'caseload data'!S:S)</f>
        <v>0</v>
      </c>
      <c r="S213" s="148">
        <f>SUMIF('caseload data'!$B:$B,"custody",'caseload data'!T:T)</f>
        <v>0</v>
      </c>
      <c r="T213" s="149">
        <f>SUMIF('caseload data'!B:B,"custody",'caseload data'!V:V)</f>
        <v>0</v>
      </c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</row>
  </sheetData>
  <mergeCells count="104">
    <mergeCell ref="B209:B213"/>
    <mergeCell ref="W165:W168"/>
    <mergeCell ref="W209:W212"/>
    <mergeCell ref="B173:B176"/>
    <mergeCell ref="W181:W184"/>
    <mergeCell ref="W153:W156"/>
    <mergeCell ref="B153:B156"/>
    <mergeCell ref="B165:B168"/>
    <mergeCell ref="B157:B160"/>
    <mergeCell ref="B193:B196"/>
    <mergeCell ref="B189:B192"/>
    <mergeCell ref="B185:B188"/>
    <mergeCell ref="B181:B184"/>
    <mergeCell ref="W157:W160"/>
    <mergeCell ref="W136:W139"/>
    <mergeCell ref="B136:B139"/>
    <mergeCell ref="W197:W200"/>
    <mergeCell ref="W201:W204"/>
    <mergeCell ref="B197:B200"/>
    <mergeCell ref="B201:B204"/>
    <mergeCell ref="W149:W152"/>
    <mergeCell ref="B55:B58"/>
    <mergeCell ref="W55:W58"/>
    <mergeCell ref="W128:W131"/>
    <mergeCell ref="W132:W135"/>
    <mergeCell ref="W193:W196"/>
    <mergeCell ref="W189:W192"/>
    <mergeCell ref="W185:W188"/>
    <mergeCell ref="B124:B127"/>
    <mergeCell ref="B128:B131"/>
    <mergeCell ref="W124:W127"/>
    <mergeCell ref="W173:W176"/>
    <mergeCell ref="B169:B172"/>
    <mergeCell ref="W169:W172"/>
    <mergeCell ref="B161:B164"/>
    <mergeCell ref="W161:W164"/>
    <mergeCell ref="B140:B144"/>
    <mergeCell ref="B149:B152"/>
    <mergeCell ref="A1:AN1"/>
    <mergeCell ref="A2:AN2"/>
    <mergeCell ref="B177:B180"/>
    <mergeCell ref="W177:W180"/>
    <mergeCell ref="B120:B123"/>
    <mergeCell ref="W120:W123"/>
    <mergeCell ref="W140:W143"/>
    <mergeCell ref="D147:T147"/>
    <mergeCell ref="Y9:AN9"/>
    <mergeCell ref="Y78:AN78"/>
    <mergeCell ref="Y147:AN147"/>
    <mergeCell ref="B39:B42"/>
    <mergeCell ref="W39:W42"/>
    <mergeCell ref="B108:B111"/>
    <mergeCell ref="W108:W111"/>
    <mergeCell ref="W116:W119"/>
    <mergeCell ref="B92:B95"/>
    <mergeCell ref="W92:W95"/>
    <mergeCell ref="B11:B14"/>
    <mergeCell ref="W11:W14"/>
    <mergeCell ref="B19:B22"/>
    <mergeCell ref="B67:B70"/>
    <mergeCell ref="B27:B30"/>
    <mergeCell ref="W27:W30"/>
    <mergeCell ref="D9:T9"/>
    <mergeCell ref="B71:B75"/>
    <mergeCell ref="B51:B54"/>
    <mergeCell ref="B35:B38"/>
    <mergeCell ref="W67:W70"/>
    <mergeCell ref="W19:W22"/>
    <mergeCell ref="B23:B26"/>
    <mergeCell ref="W23:W26"/>
    <mergeCell ref="W35:W38"/>
    <mergeCell ref="W31:W34"/>
    <mergeCell ref="B63:B66"/>
    <mergeCell ref="W59:W62"/>
    <mergeCell ref="W63:W66"/>
    <mergeCell ref="B47:B50"/>
    <mergeCell ref="W47:W50"/>
    <mergeCell ref="W51:W54"/>
    <mergeCell ref="B59:B62"/>
    <mergeCell ref="W71:W74"/>
    <mergeCell ref="B132:B135"/>
    <mergeCell ref="W205:W208"/>
    <mergeCell ref="B205:B208"/>
    <mergeCell ref="B15:B18"/>
    <mergeCell ref="W15:W18"/>
    <mergeCell ref="W43:W46"/>
    <mergeCell ref="B43:B46"/>
    <mergeCell ref="B31:B34"/>
    <mergeCell ref="B84:B87"/>
    <mergeCell ref="B116:B119"/>
    <mergeCell ref="W112:W115"/>
    <mergeCell ref="B112:B115"/>
    <mergeCell ref="B104:B107"/>
    <mergeCell ref="W104:W107"/>
    <mergeCell ref="D78:T78"/>
    <mergeCell ref="B96:B99"/>
    <mergeCell ref="W96:W99"/>
    <mergeCell ref="B80:B83"/>
    <mergeCell ref="B88:B91"/>
    <mergeCell ref="W80:W83"/>
    <mergeCell ref="W84:W87"/>
    <mergeCell ref="W88:W91"/>
    <mergeCell ref="W100:W103"/>
    <mergeCell ref="B100:B103"/>
  </mergeCells>
  <conditionalFormatting sqref="T18 T34 T38 T46 T50 T74 Y58 Y127 Y59:AN70 Y128:AN139">
    <cfRule type="cellIs" dxfId="5263" priority="3905" operator="equal">
      <formula>0</formula>
    </cfRule>
  </conditionalFormatting>
  <conditionalFormatting sqref="T152 T156 T160 T168 T188 T192 T196 T212">
    <cfRule type="cellIs" dxfId="5262" priority="3904" operator="equal">
      <formula>0</formula>
    </cfRule>
  </conditionalFormatting>
  <conditionalFormatting sqref="T83 T103 T107 T115 T119 D143:T143">
    <cfRule type="cellIs" dxfId="5261" priority="3903" operator="equal">
      <formula>0</formula>
    </cfRule>
  </conditionalFormatting>
  <conditionalFormatting sqref="T14">
    <cfRule type="cellIs" dxfId="5260" priority="3886" operator="equal">
      <formula>0</formula>
    </cfRule>
  </conditionalFormatting>
  <conditionalFormatting sqref="T22">
    <cfRule type="cellIs" dxfId="5259" priority="3869" operator="equal">
      <formula>0</formula>
    </cfRule>
  </conditionalFormatting>
  <conditionalFormatting sqref="T26">
    <cfRule type="cellIs" dxfId="5258" priority="3852" operator="equal">
      <formula>0</formula>
    </cfRule>
  </conditionalFormatting>
  <conditionalFormatting sqref="T30">
    <cfRule type="cellIs" dxfId="5257" priority="3835" operator="equal">
      <formula>0</formula>
    </cfRule>
  </conditionalFormatting>
  <conditionalFormatting sqref="T54">
    <cfRule type="cellIs" dxfId="5256" priority="3824" operator="equal">
      <formula>0</formula>
    </cfRule>
  </conditionalFormatting>
  <conditionalFormatting sqref="T58">
    <cfRule type="cellIs" dxfId="5255" priority="3813" operator="equal">
      <formula>0</formula>
    </cfRule>
  </conditionalFormatting>
  <conditionalFormatting sqref="T87">
    <cfRule type="cellIs" dxfId="5254" priority="3798" operator="equal">
      <formula>0</formula>
    </cfRule>
  </conditionalFormatting>
  <conditionalFormatting sqref="T91">
    <cfRule type="cellIs" dxfId="5253" priority="3783" operator="equal">
      <formula>0</formula>
    </cfRule>
  </conditionalFormatting>
  <conditionalFormatting sqref="T95">
    <cfRule type="cellIs" dxfId="5252" priority="3768" operator="equal">
      <formula>0</formula>
    </cfRule>
  </conditionalFormatting>
  <conditionalFormatting sqref="T99">
    <cfRule type="cellIs" dxfId="5251" priority="3753" operator="equal">
      <formula>0</formula>
    </cfRule>
  </conditionalFormatting>
  <conditionalFormatting sqref="T172">
    <cfRule type="cellIs" dxfId="5250" priority="3738" operator="equal">
      <formula>0</formula>
    </cfRule>
  </conditionalFormatting>
  <conditionalFormatting sqref="T164">
    <cfRule type="cellIs" dxfId="5249" priority="3723" operator="equal">
      <formula>0</formula>
    </cfRule>
  </conditionalFormatting>
  <conditionalFormatting sqref="T184">
    <cfRule type="cellIs" dxfId="5248" priority="3708" operator="equal">
      <formula>0</formula>
    </cfRule>
  </conditionalFormatting>
  <conditionalFormatting sqref="T176">
    <cfRule type="cellIs" dxfId="5247" priority="3693" operator="equal">
      <formula>0</formula>
    </cfRule>
  </conditionalFormatting>
  <conditionalFormatting sqref="T123">
    <cfRule type="cellIs" dxfId="5246" priority="3678" operator="equal">
      <formula>0</formula>
    </cfRule>
  </conditionalFormatting>
  <conditionalFormatting sqref="T127">
    <cfRule type="cellIs" dxfId="5245" priority="3663" operator="equal">
      <formula>0</formula>
    </cfRule>
  </conditionalFormatting>
  <conditionalFormatting sqref="T42">
    <cfRule type="cellIs" dxfId="5244" priority="3652" operator="equal">
      <formula>0</formula>
    </cfRule>
  </conditionalFormatting>
  <conditionalFormatting sqref="T111">
    <cfRule type="cellIs" dxfId="5243" priority="3641" operator="equal">
      <formula>0</formula>
    </cfRule>
  </conditionalFormatting>
  <conditionalFormatting sqref="T180">
    <cfRule type="cellIs" dxfId="5242" priority="3625" operator="equal">
      <formula>0</formula>
    </cfRule>
  </conditionalFormatting>
  <conditionalFormatting sqref="D12:D13">
    <cfRule type="cellIs" dxfId="5241" priority="3618" operator="equal">
      <formula>0</formula>
    </cfRule>
    <cfRule type="cellIs" dxfId="5240" priority="3619" operator="notEqual">
      <formula>0</formula>
    </cfRule>
  </conditionalFormatting>
  <conditionalFormatting sqref="D14">
    <cfRule type="cellIs" dxfId="5239" priority="3617" operator="equal">
      <formula>0</formula>
    </cfRule>
  </conditionalFormatting>
  <conditionalFormatting sqref="E12:E13">
    <cfRule type="cellIs" dxfId="5238" priority="3615" operator="equal">
      <formula>0</formula>
    </cfRule>
    <cfRule type="cellIs" dxfId="5237" priority="3616" operator="notEqual">
      <formula>0</formula>
    </cfRule>
  </conditionalFormatting>
  <conditionalFormatting sqref="E14">
    <cfRule type="cellIs" dxfId="5236" priority="3614" operator="equal">
      <formula>0</formula>
    </cfRule>
  </conditionalFormatting>
  <conditionalFormatting sqref="F12:F13">
    <cfRule type="cellIs" dxfId="5235" priority="3612" operator="equal">
      <formula>0</formula>
    </cfRule>
    <cfRule type="cellIs" dxfId="5234" priority="3613" operator="notEqual">
      <formula>0</formula>
    </cfRule>
  </conditionalFormatting>
  <conditionalFormatting sqref="F14">
    <cfRule type="cellIs" dxfId="5233" priority="3611" operator="equal">
      <formula>0</formula>
    </cfRule>
  </conditionalFormatting>
  <conditionalFormatting sqref="G12:G13">
    <cfRule type="cellIs" dxfId="5232" priority="3609" operator="equal">
      <formula>0</formula>
    </cfRule>
    <cfRule type="cellIs" dxfId="5231" priority="3610" operator="notEqual">
      <formula>0</formula>
    </cfRule>
  </conditionalFormatting>
  <conditionalFormatting sqref="G14">
    <cfRule type="cellIs" dxfId="5230" priority="3608" operator="equal">
      <formula>0</formula>
    </cfRule>
  </conditionalFormatting>
  <conditionalFormatting sqref="H12:H13">
    <cfRule type="cellIs" dxfId="5229" priority="3606" operator="equal">
      <formula>0</formula>
    </cfRule>
    <cfRule type="cellIs" dxfId="5228" priority="3607" operator="notEqual">
      <formula>0</formula>
    </cfRule>
  </conditionalFormatting>
  <conditionalFormatting sqref="H14">
    <cfRule type="cellIs" dxfId="5227" priority="3605" operator="equal">
      <formula>0</formula>
    </cfRule>
  </conditionalFormatting>
  <conditionalFormatting sqref="I12:I13">
    <cfRule type="cellIs" dxfId="5226" priority="3603" operator="equal">
      <formula>0</formula>
    </cfRule>
    <cfRule type="cellIs" dxfId="5225" priority="3604" operator="notEqual">
      <formula>0</formula>
    </cfRule>
  </conditionalFormatting>
  <conditionalFormatting sqref="I14">
    <cfRule type="cellIs" dxfId="5224" priority="3602" operator="equal">
      <formula>0</formula>
    </cfRule>
  </conditionalFormatting>
  <conditionalFormatting sqref="J12:J13">
    <cfRule type="cellIs" dxfId="5223" priority="3600" operator="equal">
      <formula>0</formula>
    </cfRule>
    <cfRule type="cellIs" dxfId="5222" priority="3601" operator="notEqual">
      <formula>0</formula>
    </cfRule>
  </conditionalFormatting>
  <conditionalFormatting sqref="J14">
    <cfRule type="cellIs" dxfId="5221" priority="3599" operator="equal">
      <formula>0</formula>
    </cfRule>
  </conditionalFormatting>
  <conditionalFormatting sqref="K12:K13">
    <cfRule type="cellIs" dxfId="5220" priority="3597" operator="equal">
      <formula>0</formula>
    </cfRule>
    <cfRule type="cellIs" dxfId="5219" priority="3598" operator="notEqual">
      <formula>0</formula>
    </cfRule>
  </conditionalFormatting>
  <conditionalFormatting sqref="K14">
    <cfRule type="cellIs" dxfId="5218" priority="3596" operator="equal">
      <formula>0</formula>
    </cfRule>
  </conditionalFormatting>
  <conditionalFormatting sqref="L14">
    <cfRule type="cellIs" dxfId="5217" priority="3595" operator="equal">
      <formula>0</formula>
    </cfRule>
  </conditionalFormatting>
  <conditionalFormatting sqref="M14">
    <cfRule type="cellIs" dxfId="5216" priority="3594" operator="equal">
      <formula>0</formula>
    </cfRule>
  </conditionalFormatting>
  <conditionalFormatting sqref="N14">
    <cfRule type="cellIs" dxfId="5215" priority="3593" operator="equal">
      <formula>0</formula>
    </cfRule>
  </conditionalFormatting>
  <conditionalFormatting sqref="O14">
    <cfRule type="cellIs" dxfId="5214" priority="3592" operator="equal">
      <formula>0</formula>
    </cfRule>
  </conditionalFormatting>
  <conditionalFormatting sqref="P11">
    <cfRule type="cellIs" dxfId="5213" priority="3590" operator="equal">
      <formula>0</formula>
    </cfRule>
    <cfRule type="cellIs" dxfId="5212" priority="3591" operator="notEqual">
      <formula>0</formula>
    </cfRule>
  </conditionalFormatting>
  <conditionalFormatting sqref="P14">
    <cfRule type="cellIs" dxfId="5211" priority="3589" operator="equal">
      <formula>0</formula>
    </cfRule>
  </conditionalFormatting>
  <conditionalFormatting sqref="Q11">
    <cfRule type="cellIs" dxfId="5210" priority="3587" operator="equal">
      <formula>0</formula>
    </cfRule>
    <cfRule type="cellIs" dxfId="5209" priority="3588" operator="notEqual">
      <formula>0</formula>
    </cfRule>
  </conditionalFormatting>
  <conditionalFormatting sqref="Q14">
    <cfRule type="cellIs" dxfId="5208" priority="3586" operator="equal">
      <formula>0</formula>
    </cfRule>
  </conditionalFormatting>
  <conditionalFormatting sqref="R11">
    <cfRule type="cellIs" dxfId="5207" priority="3584" operator="equal">
      <formula>0</formula>
    </cfRule>
    <cfRule type="cellIs" dxfId="5206" priority="3585" operator="notEqual">
      <formula>0</formula>
    </cfRule>
  </conditionalFormatting>
  <conditionalFormatting sqref="R14">
    <cfRule type="cellIs" dxfId="5205" priority="3583" operator="equal">
      <formula>0</formula>
    </cfRule>
  </conditionalFormatting>
  <conditionalFormatting sqref="S11">
    <cfRule type="cellIs" dxfId="5204" priority="3581" operator="equal">
      <formula>0</formula>
    </cfRule>
    <cfRule type="cellIs" dxfId="5203" priority="3582" operator="notEqual">
      <formula>0</formula>
    </cfRule>
  </conditionalFormatting>
  <conditionalFormatting sqref="S14">
    <cfRule type="cellIs" dxfId="5202" priority="3580" operator="equal">
      <formula>0</formula>
    </cfRule>
  </conditionalFormatting>
  <conditionalFormatting sqref="D16:D17">
    <cfRule type="cellIs" dxfId="5201" priority="3578" operator="equal">
      <formula>0</formula>
    </cfRule>
    <cfRule type="cellIs" dxfId="5200" priority="3579" operator="notEqual">
      <formula>0</formula>
    </cfRule>
  </conditionalFormatting>
  <conditionalFormatting sqref="D18">
    <cfRule type="cellIs" dxfId="5199" priority="3577" operator="equal">
      <formula>0</formula>
    </cfRule>
  </conditionalFormatting>
  <conditionalFormatting sqref="E16:E17">
    <cfRule type="cellIs" dxfId="5198" priority="3575" operator="equal">
      <formula>0</formula>
    </cfRule>
    <cfRule type="cellIs" dxfId="5197" priority="3576" operator="notEqual">
      <formula>0</formula>
    </cfRule>
  </conditionalFormatting>
  <conditionalFormatting sqref="E18">
    <cfRule type="cellIs" dxfId="5196" priority="3574" operator="equal">
      <formula>0</formula>
    </cfRule>
  </conditionalFormatting>
  <conditionalFormatting sqref="F16:F17">
    <cfRule type="cellIs" dxfId="5195" priority="3572" operator="equal">
      <formula>0</formula>
    </cfRule>
    <cfRule type="cellIs" dxfId="5194" priority="3573" operator="notEqual">
      <formula>0</formula>
    </cfRule>
  </conditionalFormatting>
  <conditionalFormatting sqref="F18">
    <cfRule type="cellIs" dxfId="5193" priority="3571" operator="equal">
      <formula>0</formula>
    </cfRule>
  </conditionalFormatting>
  <conditionalFormatting sqref="G16:G17">
    <cfRule type="cellIs" dxfId="5192" priority="3569" operator="equal">
      <formula>0</formula>
    </cfRule>
    <cfRule type="cellIs" dxfId="5191" priority="3570" operator="notEqual">
      <formula>0</formula>
    </cfRule>
  </conditionalFormatting>
  <conditionalFormatting sqref="G18">
    <cfRule type="cellIs" dxfId="5190" priority="3568" operator="equal">
      <formula>0</formula>
    </cfRule>
  </conditionalFormatting>
  <conditionalFormatting sqref="H16:H17">
    <cfRule type="cellIs" dxfId="5189" priority="3566" operator="equal">
      <formula>0</formula>
    </cfRule>
    <cfRule type="cellIs" dxfId="5188" priority="3567" operator="notEqual">
      <formula>0</formula>
    </cfRule>
  </conditionalFormatting>
  <conditionalFormatting sqref="H18">
    <cfRule type="cellIs" dxfId="5187" priority="3565" operator="equal">
      <formula>0</formula>
    </cfRule>
  </conditionalFormatting>
  <conditionalFormatting sqref="I16:I17">
    <cfRule type="cellIs" dxfId="5186" priority="3563" operator="equal">
      <formula>0</formula>
    </cfRule>
    <cfRule type="cellIs" dxfId="5185" priority="3564" operator="notEqual">
      <formula>0</formula>
    </cfRule>
  </conditionalFormatting>
  <conditionalFormatting sqref="I18">
    <cfRule type="cellIs" dxfId="5184" priority="3562" operator="equal">
      <formula>0</formula>
    </cfRule>
  </conditionalFormatting>
  <conditionalFormatting sqref="J16:J17">
    <cfRule type="cellIs" dxfId="5183" priority="3560" operator="equal">
      <formula>0</formula>
    </cfRule>
    <cfRule type="cellIs" dxfId="5182" priority="3561" operator="notEqual">
      <formula>0</formula>
    </cfRule>
  </conditionalFormatting>
  <conditionalFormatting sqref="J18">
    <cfRule type="cellIs" dxfId="5181" priority="3559" operator="equal">
      <formula>0</formula>
    </cfRule>
  </conditionalFormatting>
  <conditionalFormatting sqref="K16:K17">
    <cfRule type="cellIs" dxfId="5180" priority="3557" operator="equal">
      <formula>0</formula>
    </cfRule>
    <cfRule type="cellIs" dxfId="5179" priority="3558" operator="notEqual">
      <formula>0</formula>
    </cfRule>
  </conditionalFormatting>
  <conditionalFormatting sqref="K18">
    <cfRule type="cellIs" dxfId="5178" priority="3556" operator="equal">
      <formula>0</formula>
    </cfRule>
  </conditionalFormatting>
  <conditionalFormatting sqref="L18">
    <cfRule type="cellIs" dxfId="5177" priority="3555" operator="equal">
      <formula>0</formula>
    </cfRule>
  </conditionalFormatting>
  <conditionalFormatting sqref="M18">
    <cfRule type="cellIs" dxfId="5176" priority="3554" operator="equal">
      <formula>0</formula>
    </cfRule>
  </conditionalFormatting>
  <conditionalFormatting sqref="N18">
    <cfRule type="cellIs" dxfId="5175" priority="3553" operator="equal">
      <formula>0</formula>
    </cfRule>
  </conditionalFormatting>
  <conditionalFormatting sqref="O18">
    <cfRule type="cellIs" dxfId="5174" priority="3552" operator="equal">
      <formula>0</formula>
    </cfRule>
  </conditionalFormatting>
  <conditionalFormatting sqref="P15">
    <cfRule type="cellIs" dxfId="5173" priority="3550" operator="equal">
      <formula>0</formula>
    </cfRule>
    <cfRule type="cellIs" dxfId="5172" priority="3551" operator="notEqual">
      <formula>0</formula>
    </cfRule>
  </conditionalFormatting>
  <conditionalFormatting sqref="P18">
    <cfRule type="cellIs" dxfId="5171" priority="3549" operator="equal">
      <formula>0</formula>
    </cfRule>
  </conditionalFormatting>
  <conditionalFormatting sqref="Q15">
    <cfRule type="cellIs" dxfId="5170" priority="3547" operator="equal">
      <formula>0</formula>
    </cfRule>
    <cfRule type="cellIs" dxfId="5169" priority="3548" operator="notEqual">
      <formula>0</formula>
    </cfRule>
  </conditionalFormatting>
  <conditionalFormatting sqref="Q18">
    <cfRule type="cellIs" dxfId="5168" priority="3546" operator="equal">
      <formula>0</formula>
    </cfRule>
  </conditionalFormatting>
  <conditionalFormatting sqref="R15">
    <cfRule type="cellIs" dxfId="5167" priority="3544" operator="equal">
      <formula>0</formula>
    </cfRule>
    <cfRule type="cellIs" dxfId="5166" priority="3545" operator="notEqual">
      <formula>0</formula>
    </cfRule>
  </conditionalFormatting>
  <conditionalFormatting sqref="R18">
    <cfRule type="cellIs" dxfId="5165" priority="3543" operator="equal">
      <formula>0</formula>
    </cfRule>
  </conditionalFormatting>
  <conditionalFormatting sqref="S15">
    <cfRule type="cellIs" dxfId="5164" priority="3541" operator="equal">
      <formula>0</formula>
    </cfRule>
    <cfRule type="cellIs" dxfId="5163" priority="3542" operator="notEqual">
      <formula>0</formula>
    </cfRule>
  </conditionalFormatting>
  <conditionalFormatting sqref="S18">
    <cfRule type="cellIs" dxfId="5162" priority="3540" operator="equal">
      <formula>0</formula>
    </cfRule>
  </conditionalFormatting>
  <conditionalFormatting sqref="D20:D21">
    <cfRule type="cellIs" dxfId="5161" priority="3538" operator="equal">
      <formula>0</formula>
    </cfRule>
    <cfRule type="cellIs" dxfId="5160" priority="3539" operator="notEqual">
      <formula>0</formula>
    </cfRule>
  </conditionalFormatting>
  <conditionalFormatting sqref="D22">
    <cfRule type="cellIs" dxfId="5159" priority="3537" operator="equal">
      <formula>0</formula>
    </cfRule>
  </conditionalFormatting>
  <conditionalFormatting sqref="E20:E21">
    <cfRule type="cellIs" dxfId="5158" priority="3535" operator="equal">
      <formula>0</formula>
    </cfRule>
    <cfRule type="cellIs" dxfId="5157" priority="3536" operator="notEqual">
      <formula>0</formula>
    </cfRule>
  </conditionalFormatting>
  <conditionalFormatting sqref="E22">
    <cfRule type="cellIs" dxfId="5156" priority="3534" operator="equal">
      <formula>0</formula>
    </cfRule>
  </conditionalFormatting>
  <conditionalFormatting sqref="F20:F21">
    <cfRule type="cellIs" dxfId="5155" priority="3532" operator="equal">
      <formula>0</formula>
    </cfRule>
    <cfRule type="cellIs" dxfId="5154" priority="3533" operator="notEqual">
      <formula>0</formula>
    </cfRule>
  </conditionalFormatting>
  <conditionalFormatting sqref="F22">
    <cfRule type="cellIs" dxfId="5153" priority="3531" operator="equal">
      <formula>0</formula>
    </cfRule>
  </conditionalFormatting>
  <conditionalFormatting sqref="G20:G21">
    <cfRule type="cellIs" dxfId="5152" priority="3529" operator="equal">
      <formula>0</formula>
    </cfRule>
    <cfRule type="cellIs" dxfId="5151" priority="3530" operator="notEqual">
      <formula>0</formula>
    </cfRule>
  </conditionalFormatting>
  <conditionalFormatting sqref="G22">
    <cfRule type="cellIs" dxfId="5150" priority="3528" operator="equal">
      <formula>0</formula>
    </cfRule>
  </conditionalFormatting>
  <conditionalFormatting sqref="H20:H21">
    <cfRule type="cellIs" dxfId="5149" priority="3526" operator="equal">
      <formula>0</formula>
    </cfRule>
    <cfRule type="cellIs" dxfId="5148" priority="3527" operator="notEqual">
      <formula>0</formula>
    </cfRule>
  </conditionalFormatting>
  <conditionalFormatting sqref="H22">
    <cfRule type="cellIs" dxfId="5147" priority="3525" operator="equal">
      <formula>0</formula>
    </cfRule>
  </conditionalFormatting>
  <conditionalFormatting sqref="I20:I21">
    <cfRule type="cellIs" dxfId="5146" priority="3523" operator="equal">
      <formula>0</formula>
    </cfRule>
    <cfRule type="cellIs" dxfId="5145" priority="3524" operator="notEqual">
      <formula>0</formula>
    </cfRule>
  </conditionalFormatting>
  <conditionalFormatting sqref="I22">
    <cfRule type="cellIs" dxfId="5144" priority="3522" operator="equal">
      <formula>0</formula>
    </cfRule>
  </conditionalFormatting>
  <conditionalFormatting sqref="J20:J21">
    <cfRule type="cellIs" dxfId="5143" priority="3520" operator="equal">
      <formula>0</formula>
    </cfRule>
    <cfRule type="cellIs" dxfId="5142" priority="3521" operator="notEqual">
      <formula>0</formula>
    </cfRule>
  </conditionalFormatting>
  <conditionalFormatting sqref="J22">
    <cfRule type="cellIs" dxfId="5141" priority="3519" operator="equal">
      <formula>0</formula>
    </cfRule>
  </conditionalFormatting>
  <conditionalFormatting sqref="K20:K21">
    <cfRule type="cellIs" dxfId="5140" priority="3517" operator="equal">
      <formula>0</formula>
    </cfRule>
    <cfRule type="cellIs" dxfId="5139" priority="3518" operator="notEqual">
      <formula>0</formula>
    </cfRule>
  </conditionalFormatting>
  <conditionalFormatting sqref="K22">
    <cfRule type="cellIs" dxfId="5138" priority="3516" operator="equal">
      <formula>0</formula>
    </cfRule>
  </conditionalFormatting>
  <conditionalFormatting sqref="L22">
    <cfRule type="cellIs" dxfId="5137" priority="3515" operator="equal">
      <formula>0</formula>
    </cfRule>
  </conditionalFormatting>
  <conditionalFormatting sqref="M22">
    <cfRule type="cellIs" dxfId="5136" priority="3514" operator="equal">
      <formula>0</formula>
    </cfRule>
  </conditionalFormatting>
  <conditionalFormatting sqref="N22">
    <cfRule type="cellIs" dxfId="5135" priority="3513" operator="equal">
      <formula>0</formula>
    </cfRule>
  </conditionalFormatting>
  <conditionalFormatting sqref="O22">
    <cfRule type="cellIs" dxfId="5134" priority="3512" operator="equal">
      <formula>0</formula>
    </cfRule>
  </conditionalFormatting>
  <conditionalFormatting sqref="P19">
    <cfRule type="cellIs" dxfId="5133" priority="3510" operator="equal">
      <formula>0</formula>
    </cfRule>
    <cfRule type="cellIs" dxfId="5132" priority="3511" operator="notEqual">
      <formula>0</formula>
    </cfRule>
  </conditionalFormatting>
  <conditionalFormatting sqref="P22">
    <cfRule type="cellIs" dxfId="5131" priority="3509" operator="equal">
      <formula>0</formula>
    </cfRule>
  </conditionalFormatting>
  <conditionalFormatting sqref="Q19">
    <cfRule type="cellIs" dxfId="5130" priority="3507" operator="equal">
      <formula>0</formula>
    </cfRule>
    <cfRule type="cellIs" dxfId="5129" priority="3508" operator="notEqual">
      <formula>0</formula>
    </cfRule>
  </conditionalFormatting>
  <conditionalFormatting sqref="Q22">
    <cfRule type="cellIs" dxfId="5128" priority="3506" operator="equal">
      <formula>0</formula>
    </cfRule>
  </conditionalFormatting>
  <conditionalFormatting sqref="R19">
    <cfRule type="cellIs" dxfId="5127" priority="3504" operator="equal">
      <formula>0</formula>
    </cfRule>
    <cfRule type="cellIs" dxfId="5126" priority="3505" operator="notEqual">
      <formula>0</formula>
    </cfRule>
  </conditionalFormatting>
  <conditionalFormatting sqref="R22">
    <cfRule type="cellIs" dxfId="5125" priority="3503" operator="equal">
      <formula>0</formula>
    </cfRule>
  </conditionalFormatting>
  <conditionalFormatting sqref="S19">
    <cfRule type="cellIs" dxfId="5124" priority="3501" operator="equal">
      <formula>0</formula>
    </cfRule>
    <cfRule type="cellIs" dxfId="5123" priority="3502" operator="notEqual">
      <formula>0</formula>
    </cfRule>
  </conditionalFormatting>
  <conditionalFormatting sqref="S22">
    <cfRule type="cellIs" dxfId="5122" priority="3500" operator="equal">
      <formula>0</formula>
    </cfRule>
  </conditionalFormatting>
  <conditionalFormatting sqref="D24:D25">
    <cfRule type="cellIs" dxfId="5121" priority="3498" operator="equal">
      <formula>0</formula>
    </cfRule>
    <cfRule type="cellIs" dxfId="5120" priority="3499" operator="notEqual">
      <formula>0</formula>
    </cfRule>
  </conditionalFormatting>
  <conditionalFormatting sqref="D26">
    <cfRule type="cellIs" dxfId="5119" priority="3497" operator="equal">
      <formula>0</formula>
    </cfRule>
  </conditionalFormatting>
  <conditionalFormatting sqref="E24:E25">
    <cfRule type="cellIs" dxfId="5118" priority="3495" operator="equal">
      <formula>0</formula>
    </cfRule>
    <cfRule type="cellIs" dxfId="5117" priority="3496" operator="notEqual">
      <formula>0</formula>
    </cfRule>
  </conditionalFormatting>
  <conditionalFormatting sqref="E26">
    <cfRule type="cellIs" dxfId="5116" priority="3494" operator="equal">
      <formula>0</formula>
    </cfRule>
  </conditionalFormatting>
  <conditionalFormatting sqref="F24:F25">
    <cfRule type="cellIs" dxfId="5115" priority="3492" operator="equal">
      <formula>0</formula>
    </cfRule>
    <cfRule type="cellIs" dxfId="5114" priority="3493" operator="notEqual">
      <formula>0</formula>
    </cfRule>
  </conditionalFormatting>
  <conditionalFormatting sqref="F26">
    <cfRule type="cellIs" dxfId="5113" priority="3491" operator="equal">
      <formula>0</formula>
    </cfRule>
  </conditionalFormatting>
  <conditionalFormatting sqref="G24:G25">
    <cfRule type="cellIs" dxfId="5112" priority="3489" operator="equal">
      <formula>0</formula>
    </cfRule>
    <cfRule type="cellIs" dxfId="5111" priority="3490" operator="notEqual">
      <formula>0</formula>
    </cfRule>
  </conditionalFormatting>
  <conditionalFormatting sqref="G26">
    <cfRule type="cellIs" dxfId="5110" priority="3488" operator="equal">
      <formula>0</formula>
    </cfRule>
  </conditionalFormatting>
  <conditionalFormatting sqref="H24:H25">
    <cfRule type="cellIs" dxfId="5109" priority="3486" operator="equal">
      <formula>0</formula>
    </cfRule>
    <cfRule type="cellIs" dxfId="5108" priority="3487" operator="notEqual">
      <formula>0</formula>
    </cfRule>
  </conditionalFormatting>
  <conditionalFormatting sqref="H26">
    <cfRule type="cellIs" dxfId="5107" priority="3485" operator="equal">
      <formula>0</formula>
    </cfRule>
  </conditionalFormatting>
  <conditionalFormatting sqref="I24:I25">
    <cfRule type="cellIs" dxfId="5106" priority="3483" operator="equal">
      <formula>0</formula>
    </cfRule>
    <cfRule type="cellIs" dxfId="5105" priority="3484" operator="notEqual">
      <formula>0</formula>
    </cfRule>
  </conditionalFormatting>
  <conditionalFormatting sqref="I26">
    <cfRule type="cellIs" dxfId="5104" priority="3482" operator="equal">
      <formula>0</formula>
    </cfRule>
  </conditionalFormatting>
  <conditionalFormatting sqref="J24:J25">
    <cfRule type="cellIs" dxfId="5103" priority="3480" operator="equal">
      <formula>0</formula>
    </cfRule>
    <cfRule type="cellIs" dxfId="5102" priority="3481" operator="notEqual">
      <formula>0</formula>
    </cfRule>
  </conditionalFormatting>
  <conditionalFormatting sqref="J26">
    <cfRule type="cellIs" dxfId="5101" priority="3479" operator="equal">
      <formula>0</formula>
    </cfRule>
  </conditionalFormatting>
  <conditionalFormatting sqref="K24:K25">
    <cfRule type="cellIs" dxfId="5100" priority="3477" operator="equal">
      <formula>0</formula>
    </cfRule>
    <cfRule type="cellIs" dxfId="5099" priority="3478" operator="notEqual">
      <formula>0</formula>
    </cfRule>
  </conditionalFormatting>
  <conditionalFormatting sqref="K26">
    <cfRule type="cellIs" dxfId="5098" priority="3476" operator="equal">
      <formula>0</formula>
    </cfRule>
  </conditionalFormatting>
  <conditionalFormatting sqref="L26">
    <cfRule type="cellIs" dxfId="5097" priority="3475" operator="equal">
      <formula>0</formula>
    </cfRule>
  </conditionalFormatting>
  <conditionalFormatting sqref="M26">
    <cfRule type="cellIs" dxfId="5096" priority="3474" operator="equal">
      <formula>0</formula>
    </cfRule>
  </conditionalFormatting>
  <conditionalFormatting sqref="N26">
    <cfRule type="cellIs" dxfId="5095" priority="3473" operator="equal">
      <formula>0</formula>
    </cfRule>
  </conditionalFormatting>
  <conditionalFormatting sqref="O26">
    <cfRule type="cellIs" dxfId="5094" priority="3472" operator="equal">
      <formula>0</formula>
    </cfRule>
  </conditionalFormatting>
  <conditionalFormatting sqref="P23">
    <cfRule type="cellIs" dxfId="5093" priority="3470" operator="equal">
      <formula>0</formula>
    </cfRule>
    <cfRule type="cellIs" dxfId="5092" priority="3471" operator="notEqual">
      <formula>0</formula>
    </cfRule>
  </conditionalFormatting>
  <conditionalFormatting sqref="P26">
    <cfRule type="cellIs" dxfId="5091" priority="3469" operator="equal">
      <formula>0</formula>
    </cfRule>
  </conditionalFormatting>
  <conditionalFormatting sqref="Q23">
    <cfRule type="cellIs" dxfId="5090" priority="3467" operator="equal">
      <formula>0</formula>
    </cfRule>
    <cfRule type="cellIs" dxfId="5089" priority="3468" operator="notEqual">
      <formula>0</formula>
    </cfRule>
  </conditionalFormatting>
  <conditionalFormatting sqref="Q26">
    <cfRule type="cellIs" dxfId="5088" priority="3466" operator="equal">
      <formula>0</formula>
    </cfRule>
  </conditionalFormatting>
  <conditionalFormatting sqref="R23">
    <cfRule type="cellIs" dxfId="5087" priority="3464" operator="equal">
      <formula>0</formula>
    </cfRule>
    <cfRule type="cellIs" dxfId="5086" priority="3465" operator="notEqual">
      <formula>0</formula>
    </cfRule>
  </conditionalFormatting>
  <conditionalFormatting sqref="R26">
    <cfRule type="cellIs" dxfId="5085" priority="3463" operator="equal">
      <formula>0</formula>
    </cfRule>
  </conditionalFormatting>
  <conditionalFormatting sqref="S23">
    <cfRule type="cellIs" dxfId="5084" priority="3461" operator="equal">
      <formula>0</formula>
    </cfRule>
    <cfRule type="cellIs" dxfId="5083" priority="3462" operator="notEqual">
      <formula>0</formula>
    </cfRule>
  </conditionalFormatting>
  <conditionalFormatting sqref="S26">
    <cfRule type="cellIs" dxfId="5082" priority="3460" operator="equal">
      <formula>0</formula>
    </cfRule>
  </conditionalFormatting>
  <conditionalFormatting sqref="D28:D29">
    <cfRule type="cellIs" dxfId="5081" priority="3458" operator="equal">
      <formula>0</formula>
    </cfRule>
    <cfRule type="cellIs" dxfId="5080" priority="3459" operator="notEqual">
      <formula>0</formula>
    </cfRule>
  </conditionalFormatting>
  <conditionalFormatting sqref="D30">
    <cfRule type="cellIs" dxfId="5079" priority="3457" operator="equal">
      <formula>0</formula>
    </cfRule>
  </conditionalFormatting>
  <conditionalFormatting sqref="E28:E29">
    <cfRule type="cellIs" dxfId="5078" priority="3455" operator="equal">
      <formula>0</formula>
    </cfRule>
    <cfRule type="cellIs" dxfId="5077" priority="3456" operator="notEqual">
      <formula>0</formula>
    </cfRule>
  </conditionalFormatting>
  <conditionalFormatting sqref="E30">
    <cfRule type="cellIs" dxfId="5076" priority="3454" operator="equal">
      <formula>0</formula>
    </cfRule>
  </conditionalFormatting>
  <conditionalFormatting sqref="F28:F29">
    <cfRule type="cellIs" dxfId="5075" priority="3452" operator="equal">
      <formula>0</formula>
    </cfRule>
    <cfRule type="cellIs" dxfId="5074" priority="3453" operator="notEqual">
      <formula>0</formula>
    </cfRule>
  </conditionalFormatting>
  <conditionalFormatting sqref="F30">
    <cfRule type="cellIs" dxfId="5073" priority="3451" operator="equal">
      <formula>0</formula>
    </cfRule>
  </conditionalFormatting>
  <conditionalFormatting sqref="G28:G29">
    <cfRule type="cellIs" dxfId="5072" priority="3449" operator="equal">
      <formula>0</formula>
    </cfRule>
    <cfRule type="cellIs" dxfId="5071" priority="3450" operator="notEqual">
      <formula>0</formula>
    </cfRule>
  </conditionalFormatting>
  <conditionalFormatting sqref="G30">
    <cfRule type="cellIs" dxfId="5070" priority="3448" operator="equal">
      <formula>0</formula>
    </cfRule>
  </conditionalFormatting>
  <conditionalFormatting sqref="H28:H29">
    <cfRule type="cellIs" dxfId="5069" priority="3446" operator="equal">
      <formula>0</formula>
    </cfRule>
    <cfRule type="cellIs" dxfId="5068" priority="3447" operator="notEqual">
      <formula>0</formula>
    </cfRule>
  </conditionalFormatting>
  <conditionalFormatting sqref="H30">
    <cfRule type="cellIs" dxfId="5067" priority="3445" operator="equal">
      <formula>0</formula>
    </cfRule>
  </conditionalFormatting>
  <conditionalFormatting sqref="I28:I29">
    <cfRule type="cellIs" dxfId="5066" priority="3443" operator="equal">
      <formula>0</formula>
    </cfRule>
    <cfRule type="cellIs" dxfId="5065" priority="3444" operator="notEqual">
      <formula>0</formula>
    </cfRule>
  </conditionalFormatting>
  <conditionalFormatting sqref="I30">
    <cfRule type="cellIs" dxfId="5064" priority="3442" operator="equal">
      <formula>0</formula>
    </cfRule>
  </conditionalFormatting>
  <conditionalFormatting sqref="J28:J29">
    <cfRule type="cellIs" dxfId="5063" priority="3440" operator="equal">
      <formula>0</formula>
    </cfRule>
    <cfRule type="cellIs" dxfId="5062" priority="3441" operator="notEqual">
      <formula>0</formula>
    </cfRule>
  </conditionalFormatting>
  <conditionalFormatting sqref="J30">
    <cfRule type="cellIs" dxfId="5061" priority="3439" operator="equal">
      <formula>0</formula>
    </cfRule>
  </conditionalFormatting>
  <conditionalFormatting sqref="K28:K29">
    <cfRule type="cellIs" dxfId="5060" priority="3437" operator="equal">
      <formula>0</formula>
    </cfRule>
    <cfRule type="cellIs" dxfId="5059" priority="3438" operator="notEqual">
      <formula>0</formula>
    </cfRule>
  </conditionalFormatting>
  <conditionalFormatting sqref="K30">
    <cfRule type="cellIs" dxfId="5058" priority="3436" operator="equal">
      <formula>0</formula>
    </cfRule>
  </conditionalFormatting>
  <conditionalFormatting sqref="L30">
    <cfRule type="cellIs" dxfId="5057" priority="3435" operator="equal">
      <formula>0</formula>
    </cfRule>
  </conditionalFormatting>
  <conditionalFormatting sqref="M30">
    <cfRule type="cellIs" dxfId="5056" priority="3434" operator="equal">
      <formula>0</formula>
    </cfRule>
  </conditionalFormatting>
  <conditionalFormatting sqref="N30">
    <cfRule type="cellIs" dxfId="5055" priority="3433" operator="equal">
      <formula>0</formula>
    </cfRule>
  </conditionalFormatting>
  <conditionalFormatting sqref="O30">
    <cfRule type="cellIs" dxfId="5054" priority="3432" operator="equal">
      <formula>0</formula>
    </cfRule>
  </conditionalFormatting>
  <conditionalFormatting sqref="P27">
    <cfRule type="cellIs" dxfId="5053" priority="3430" operator="equal">
      <formula>0</formula>
    </cfRule>
    <cfRule type="cellIs" dxfId="5052" priority="3431" operator="notEqual">
      <formula>0</formula>
    </cfRule>
  </conditionalFormatting>
  <conditionalFormatting sqref="P30">
    <cfRule type="cellIs" dxfId="5051" priority="3429" operator="equal">
      <formula>0</formula>
    </cfRule>
  </conditionalFormatting>
  <conditionalFormatting sqref="Q27">
    <cfRule type="cellIs" dxfId="5050" priority="3427" operator="equal">
      <formula>0</formula>
    </cfRule>
    <cfRule type="cellIs" dxfId="5049" priority="3428" operator="notEqual">
      <formula>0</formula>
    </cfRule>
  </conditionalFormatting>
  <conditionalFormatting sqref="Q30">
    <cfRule type="cellIs" dxfId="5048" priority="3426" operator="equal">
      <formula>0</formula>
    </cfRule>
  </conditionalFormatting>
  <conditionalFormatting sqref="R27">
    <cfRule type="cellIs" dxfId="5047" priority="3424" operator="equal">
      <formula>0</formula>
    </cfRule>
    <cfRule type="cellIs" dxfId="5046" priority="3425" operator="notEqual">
      <formula>0</formula>
    </cfRule>
  </conditionalFormatting>
  <conditionalFormatting sqref="R30">
    <cfRule type="cellIs" dxfId="5045" priority="3423" operator="equal">
      <formula>0</formula>
    </cfRule>
  </conditionalFormatting>
  <conditionalFormatting sqref="S27">
    <cfRule type="cellIs" dxfId="5044" priority="3421" operator="equal">
      <formula>0</formula>
    </cfRule>
    <cfRule type="cellIs" dxfId="5043" priority="3422" operator="notEqual">
      <formula>0</formula>
    </cfRule>
  </conditionalFormatting>
  <conditionalFormatting sqref="S30">
    <cfRule type="cellIs" dxfId="5042" priority="3420" operator="equal">
      <formula>0</formula>
    </cfRule>
  </conditionalFormatting>
  <conditionalFormatting sqref="D32:D33">
    <cfRule type="cellIs" dxfId="5041" priority="3418" operator="equal">
      <formula>0</formula>
    </cfRule>
    <cfRule type="cellIs" dxfId="5040" priority="3419" operator="notEqual">
      <formula>0</formula>
    </cfRule>
  </conditionalFormatting>
  <conditionalFormatting sqref="D34">
    <cfRule type="cellIs" dxfId="5039" priority="3417" operator="equal">
      <formula>0</formula>
    </cfRule>
  </conditionalFormatting>
  <conditionalFormatting sqref="E32:E33">
    <cfRule type="cellIs" dxfId="5038" priority="3415" operator="equal">
      <formula>0</formula>
    </cfRule>
    <cfRule type="cellIs" dxfId="5037" priority="3416" operator="notEqual">
      <formula>0</formula>
    </cfRule>
  </conditionalFormatting>
  <conditionalFormatting sqref="E34">
    <cfRule type="cellIs" dxfId="5036" priority="3414" operator="equal">
      <formula>0</formula>
    </cfRule>
  </conditionalFormatting>
  <conditionalFormatting sqref="F32:F33">
    <cfRule type="cellIs" dxfId="5035" priority="3412" operator="equal">
      <formula>0</formula>
    </cfRule>
    <cfRule type="cellIs" dxfId="5034" priority="3413" operator="notEqual">
      <formula>0</formula>
    </cfRule>
  </conditionalFormatting>
  <conditionalFormatting sqref="F34">
    <cfRule type="cellIs" dxfId="5033" priority="3411" operator="equal">
      <formula>0</formula>
    </cfRule>
  </conditionalFormatting>
  <conditionalFormatting sqref="G32:G33">
    <cfRule type="cellIs" dxfId="5032" priority="3409" operator="equal">
      <formula>0</formula>
    </cfRule>
    <cfRule type="cellIs" dxfId="5031" priority="3410" operator="notEqual">
      <formula>0</formula>
    </cfRule>
  </conditionalFormatting>
  <conditionalFormatting sqref="G34">
    <cfRule type="cellIs" dxfId="5030" priority="3408" operator="equal">
      <formula>0</formula>
    </cfRule>
  </conditionalFormatting>
  <conditionalFormatting sqref="H32:H33">
    <cfRule type="cellIs" dxfId="5029" priority="3406" operator="equal">
      <formula>0</formula>
    </cfRule>
    <cfRule type="cellIs" dxfId="5028" priority="3407" operator="notEqual">
      <formula>0</formula>
    </cfRule>
  </conditionalFormatting>
  <conditionalFormatting sqref="H34">
    <cfRule type="cellIs" dxfId="5027" priority="3405" operator="equal">
      <formula>0</formula>
    </cfRule>
  </conditionalFormatting>
  <conditionalFormatting sqref="I32:I33">
    <cfRule type="cellIs" dxfId="5026" priority="3403" operator="equal">
      <formula>0</formula>
    </cfRule>
    <cfRule type="cellIs" dxfId="5025" priority="3404" operator="notEqual">
      <formula>0</formula>
    </cfRule>
  </conditionalFormatting>
  <conditionalFormatting sqref="I34">
    <cfRule type="cellIs" dxfId="5024" priority="3402" operator="equal">
      <formula>0</formula>
    </cfRule>
  </conditionalFormatting>
  <conditionalFormatting sqref="J32:J33">
    <cfRule type="cellIs" dxfId="5023" priority="3400" operator="equal">
      <formula>0</formula>
    </cfRule>
    <cfRule type="cellIs" dxfId="5022" priority="3401" operator="notEqual">
      <formula>0</formula>
    </cfRule>
  </conditionalFormatting>
  <conditionalFormatting sqref="J34">
    <cfRule type="cellIs" dxfId="5021" priority="3399" operator="equal">
      <formula>0</formula>
    </cfRule>
  </conditionalFormatting>
  <conditionalFormatting sqref="K32:K33">
    <cfRule type="cellIs" dxfId="5020" priority="3397" operator="equal">
      <formula>0</formula>
    </cfRule>
    <cfRule type="cellIs" dxfId="5019" priority="3398" operator="notEqual">
      <formula>0</formula>
    </cfRule>
  </conditionalFormatting>
  <conditionalFormatting sqref="K34">
    <cfRule type="cellIs" dxfId="5018" priority="3396" operator="equal">
      <formula>0</formula>
    </cfRule>
  </conditionalFormatting>
  <conditionalFormatting sqref="L34">
    <cfRule type="cellIs" dxfId="5017" priority="3395" operator="equal">
      <formula>0</formula>
    </cfRule>
  </conditionalFormatting>
  <conditionalFormatting sqref="M34">
    <cfRule type="cellIs" dxfId="5016" priority="3394" operator="equal">
      <formula>0</formula>
    </cfRule>
  </conditionalFormatting>
  <conditionalFormatting sqref="N34">
    <cfRule type="cellIs" dxfId="5015" priority="3393" operator="equal">
      <formula>0</formula>
    </cfRule>
  </conditionalFormatting>
  <conditionalFormatting sqref="O34">
    <cfRule type="cellIs" dxfId="5014" priority="3392" operator="equal">
      <formula>0</formula>
    </cfRule>
  </conditionalFormatting>
  <conditionalFormatting sqref="P31">
    <cfRule type="cellIs" dxfId="5013" priority="3390" operator="equal">
      <formula>0</formula>
    </cfRule>
    <cfRule type="cellIs" dxfId="5012" priority="3391" operator="notEqual">
      <formula>0</formula>
    </cfRule>
  </conditionalFormatting>
  <conditionalFormatting sqref="P34">
    <cfRule type="cellIs" dxfId="5011" priority="3389" operator="equal">
      <formula>0</formula>
    </cfRule>
  </conditionalFormatting>
  <conditionalFormatting sqref="Q31">
    <cfRule type="cellIs" dxfId="5010" priority="3387" operator="equal">
      <formula>0</formula>
    </cfRule>
    <cfRule type="cellIs" dxfId="5009" priority="3388" operator="notEqual">
      <formula>0</formula>
    </cfRule>
  </conditionalFormatting>
  <conditionalFormatting sqref="Q34">
    <cfRule type="cellIs" dxfId="5008" priority="3386" operator="equal">
      <formula>0</formula>
    </cfRule>
  </conditionalFormatting>
  <conditionalFormatting sqref="R31">
    <cfRule type="cellIs" dxfId="5007" priority="3384" operator="equal">
      <formula>0</formula>
    </cfRule>
    <cfRule type="cellIs" dxfId="5006" priority="3385" operator="notEqual">
      <formula>0</formula>
    </cfRule>
  </conditionalFormatting>
  <conditionalFormatting sqref="R34">
    <cfRule type="cellIs" dxfId="5005" priority="3383" operator="equal">
      <formula>0</formula>
    </cfRule>
  </conditionalFormatting>
  <conditionalFormatting sqref="S31">
    <cfRule type="cellIs" dxfId="5004" priority="3381" operator="equal">
      <formula>0</formula>
    </cfRule>
    <cfRule type="cellIs" dxfId="5003" priority="3382" operator="notEqual">
      <formula>0</formula>
    </cfRule>
  </conditionalFormatting>
  <conditionalFormatting sqref="S34">
    <cfRule type="cellIs" dxfId="5002" priority="3380" operator="equal">
      <formula>0</formula>
    </cfRule>
  </conditionalFormatting>
  <conditionalFormatting sqref="D36:D37">
    <cfRule type="cellIs" dxfId="5001" priority="3378" operator="equal">
      <formula>0</formula>
    </cfRule>
    <cfRule type="cellIs" dxfId="5000" priority="3379" operator="notEqual">
      <formula>0</formula>
    </cfRule>
  </conditionalFormatting>
  <conditionalFormatting sqref="D38">
    <cfRule type="cellIs" dxfId="4999" priority="3377" operator="equal">
      <formula>0</formula>
    </cfRule>
  </conditionalFormatting>
  <conditionalFormatting sqref="E36:E37">
    <cfRule type="cellIs" dxfId="4998" priority="3375" operator="equal">
      <formula>0</formula>
    </cfRule>
    <cfRule type="cellIs" dxfId="4997" priority="3376" operator="notEqual">
      <formula>0</formula>
    </cfRule>
  </conditionalFormatting>
  <conditionalFormatting sqref="E38">
    <cfRule type="cellIs" dxfId="4996" priority="3374" operator="equal">
      <formula>0</formula>
    </cfRule>
  </conditionalFormatting>
  <conditionalFormatting sqref="F36:F37">
    <cfRule type="cellIs" dxfId="4995" priority="3372" operator="equal">
      <formula>0</formula>
    </cfRule>
    <cfRule type="cellIs" dxfId="4994" priority="3373" operator="notEqual">
      <formula>0</formula>
    </cfRule>
  </conditionalFormatting>
  <conditionalFormatting sqref="F38">
    <cfRule type="cellIs" dxfId="4993" priority="3371" operator="equal">
      <formula>0</formula>
    </cfRule>
  </conditionalFormatting>
  <conditionalFormatting sqref="G36:G37">
    <cfRule type="cellIs" dxfId="4992" priority="3369" operator="equal">
      <formula>0</formula>
    </cfRule>
    <cfRule type="cellIs" dxfId="4991" priority="3370" operator="notEqual">
      <formula>0</formula>
    </cfRule>
  </conditionalFormatting>
  <conditionalFormatting sqref="G38">
    <cfRule type="cellIs" dxfId="4990" priority="3368" operator="equal">
      <formula>0</formula>
    </cfRule>
  </conditionalFormatting>
  <conditionalFormatting sqref="H36:H37">
    <cfRule type="cellIs" dxfId="4989" priority="3366" operator="equal">
      <formula>0</formula>
    </cfRule>
    <cfRule type="cellIs" dxfId="4988" priority="3367" operator="notEqual">
      <formula>0</formula>
    </cfRule>
  </conditionalFormatting>
  <conditionalFormatting sqref="H38">
    <cfRule type="cellIs" dxfId="4987" priority="3365" operator="equal">
      <formula>0</formula>
    </cfRule>
  </conditionalFormatting>
  <conditionalFormatting sqref="I36:I37">
    <cfRule type="cellIs" dxfId="4986" priority="3363" operator="equal">
      <formula>0</formula>
    </cfRule>
    <cfRule type="cellIs" dxfId="4985" priority="3364" operator="notEqual">
      <formula>0</formula>
    </cfRule>
  </conditionalFormatting>
  <conditionalFormatting sqref="I38">
    <cfRule type="cellIs" dxfId="4984" priority="3362" operator="equal">
      <formula>0</formula>
    </cfRule>
  </conditionalFormatting>
  <conditionalFormatting sqref="J36:J37">
    <cfRule type="cellIs" dxfId="4983" priority="3360" operator="equal">
      <formula>0</formula>
    </cfRule>
    <cfRule type="cellIs" dxfId="4982" priority="3361" operator="notEqual">
      <formula>0</formula>
    </cfRule>
  </conditionalFormatting>
  <conditionalFormatting sqref="J38">
    <cfRule type="cellIs" dxfId="4981" priority="3359" operator="equal">
      <formula>0</formula>
    </cfRule>
  </conditionalFormatting>
  <conditionalFormatting sqref="K36:K37">
    <cfRule type="cellIs" dxfId="4980" priority="3357" operator="equal">
      <formula>0</formula>
    </cfRule>
    <cfRule type="cellIs" dxfId="4979" priority="3358" operator="notEqual">
      <formula>0</formula>
    </cfRule>
  </conditionalFormatting>
  <conditionalFormatting sqref="K38">
    <cfRule type="cellIs" dxfId="4978" priority="3356" operator="equal">
      <formula>0</formula>
    </cfRule>
  </conditionalFormatting>
  <conditionalFormatting sqref="L38">
    <cfRule type="cellIs" dxfId="4977" priority="3355" operator="equal">
      <formula>0</formula>
    </cfRule>
  </conditionalFormatting>
  <conditionalFormatting sqref="M38">
    <cfRule type="cellIs" dxfId="4976" priority="3354" operator="equal">
      <formula>0</formula>
    </cfRule>
  </conditionalFormatting>
  <conditionalFormatting sqref="N38">
    <cfRule type="cellIs" dxfId="4975" priority="3353" operator="equal">
      <formula>0</formula>
    </cfRule>
  </conditionalFormatting>
  <conditionalFormatting sqref="O38">
    <cfRule type="cellIs" dxfId="4974" priority="3352" operator="equal">
      <formula>0</formula>
    </cfRule>
  </conditionalFormatting>
  <conditionalFormatting sqref="P35">
    <cfRule type="cellIs" dxfId="4973" priority="3350" operator="equal">
      <formula>0</formula>
    </cfRule>
    <cfRule type="cellIs" dxfId="4972" priority="3351" operator="notEqual">
      <formula>0</formula>
    </cfRule>
  </conditionalFormatting>
  <conditionalFormatting sqref="P38">
    <cfRule type="cellIs" dxfId="4971" priority="3349" operator="equal">
      <formula>0</formula>
    </cfRule>
  </conditionalFormatting>
  <conditionalFormatting sqref="Q35">
    <cfRule type="cellIs" dxfId="4970" priority="3347" operator="equal">
      <formula>0</formula>
    </cfRule>
    <cfRule type="cellIs" dxfId="4969" priority="3348" operator="notEqual">
      <formula>0</formula>
    </cfRule>
  </conditionalFormatting>
  <conditionalFormatting sqref="Q38">
    <cfRule type="cellIs" dxfId="4968" priority="3346" operator="equal">
      <formula>0</formula>
    </cfRule>
  </conditionalFormatting>
  <conditionalFormatting sqref="R35">
    <cfRule type="cellIs" dxfId="4967" priority="3344" operator="equal">
      <formula>0</formula>
    </cfRule>
    <cfRule type="cellIs" dxfId="4966" priority="3345" operator="notEqual">
      <formula>0</formula>
    </cfRule>
  </conditionalFormatting>
  <conditionalFormatting sqref="R38">
    <cfRule type="cellIs" dxfId="4965" priority="3343" operator="equal">
      <formula>0</formula>
    </cfRule>
  </conditionalFormatting>
  <conditionalFormatting sqref="S35">
    <cfRule type="cellIs" dxfId="4964" priority="3341" operator="equal">
      <formula>0</formula>
    </cfRule>
    <cfRule type="cellIs" dxfId="4963" priority="3342" operator="notEqual">
      <formula>0</formula>
    </cfRule>
  </conditionalFormatting>
  <conditionalFormatting sqref="S38">
    <cfRule type="cellIs" dxfId="4962" priority="3340" operator="equal">
      <formula>0</formula>
    </cfRule>
  </conditionalFormatting>
  <conditionalFormatting sqref="D40:D41">
    <cfRule type="cellIs" dxfId="4961" priority="3338" operator="equal">
      <formula>0</formula>
    </cfRule>
    <cfRule type="cellIs" dxfId="4960" priority="3339" operator="notEqual">
      <formula>0</formula>
    </cfRule>
  </conditionalFormatting>
  <conditionalFormatting sqref="D42">
    <cfRule type="cellIs" dxfId="4959" priority="3337" operator="equal">
      <formula>0</formula>
    </cfRule>
  </conditionalFormatting>
  <conditionalFormatting sqref="E40:E41">
    <cfRule type="cellIs" dxfId="4958" priority="3335" operator="equal">
      <formula>0</formula>
    </cfRule>
    <cfRule type="cellIs" dxfId="4957" priority="3336" operator="notEqual">
      <formula>0</formula>
    </cfRule>
  </conditionalFormatting>
  <conditionalFormatting sqref="E42">
    <cfRule type="cellIs" dxfId="4956" priority="3334" operator="equal">
      <formula>0</formula>
    </cfRule>
  </conditionalFormatting>
  <conditionalFormatting sqref="F40:F41">
    <cfRule type="cellIs" dxfId="4955" priority="3332" operator="equal">
      <formula>0</formula>
    </cfRule>
    <cfRule type="cellIs" dxfId="4954" priority="3333" operator="notEqual">
      <formula>0</formula>
    </cfRule>
  </conditionalFormatting>
  <conditionalFormatting sqref="F42">
    <cfRule type="cellIs" dxfId="4953" priority="3331" operator="equal">
      <formula>0</formula>
    </cfRule>
  </conditionalFormatting>
  <conditionalFormatting sqref="G40:G41">
    <cfRule type="cellIs" dxfId="4952" priority="3329" operator="equal">
      <formula>0</formula>
    </cfRule>
    <cfRule type="cellIs" dxfId="4951" priority="3330" operator="notEqual">
      <formula>0</formula>
    </cfRule>
  </conditionalFormatting>
  <conditionalFormatting sqref="G42">
    <cfRule type="cellIs" dxfId="4950" priority="3328" operator="equal">
      <formula>0</formula>
    </cfRule>
  </conditionalFormatting>
  <conditionalFormatting sqref="H40:H41">
    <cfRule type="cellIs" dxfId="4949" priority="3326" operator="equal">
      <formula>0</formula>
    </cfRule>
    <cfRule type="cellIs" dxfId="4948" priority="3327" operator="notEqual">
      <formula>0</formula>
    </cfRule>
  </conditionalFormatting>
  <conditionalFormatting sqref="H42">
    <cfRule type="cellIs" dxfId="4947" priority="3325" operator="equal">
      <formula>0</formula>
    </cfRule>
  </conditionalFormatting>
  <conditionalFormatting sqref="I40:I41">
    <cfRule type="cellIs" dxfId="4946" priority="3323" operator="equal">
      <formula>0</formula>
    </cfRule>
    <cfRule type="cellIs" dxfId="4945" priority="3324" operator="notEqual">
      <formula>0</formula>
    </cfRule>
  </conditionalFormatting>
  <conditionalFormatting sqref="I42">
    <cfRule type="cellIs" dxfId="4944" priority="3322" operator="equal">
      <formula>0</formula>
    </cfRule>
  </conditionalFormatting>
  <conditionalFormatting sqref="J40:J41">
    <cfRule type="cellIs" dxfId="4943" priority="3320" operator="equal">
      <formula>0</formula>
    </cfRule>
    <cfRule type="cellIs" dxfId="4942" priority="3321" operator="notEqual">
      <formula>0</formula>
    </cfRule>
  </conditionalFormatting>
  <conditionalFormatting sqref="J42">
    <cfRule type="cellIs" dxfId="4941" priority="3319" operator="equal">
      <formula>0</formula>
    </cfRule>
  </conditionalFormatting>
  <conditionalFormatting sqref="K40:K41">
    <cfRule type="cellIs" dxfId="4940" priority="3317" operator="equal">
      <formula>0</formula>
    </cfRule>
    <cfRule type="cellIs" dxfId="4939" priority="3318" operator="notEqual">
      <formula>0</formula>
    </cfRule>
  </conditionalFormatting>
  <conditionalFormatting sqref="K42">
    <cfRule type="cellIs" dxfId="4938" priority="3316" operator="equal">
      <formula>0</formula>
    </cfRule>
  </conditionalFormatting>
  <conditionalFormatting sqref="L42">
    <cfRule type="cellIs" dxfId="4937" priority="3315" operator="equal">
      <formula>0</formula>
    </cfRule>
  </conditionalFormatting>
  <conditionalFormatting sqref="M42">
    <cfRule type="cellIs" dxfId="4936" priority="3314" operator="equal">
      <formula>0</formula>
    </cfRule>
  </conditionalFormatting>
  <conditionalFormatting sqref="N42">
    <cfRule type="cellIs" dxfId="4935" priority="3313" operator="equal">
      <formula>0</formula>
    </cfRule>
  </conditionalFormatting>
  <conditionalFormatting sqref="O42">
    <cfRule type="cellIs" dxfId="4934" priority="3312" operator="equal">
      <formula>0</formula>
    </cfRule>
  </conditionalFormatting>
  <conditionalFormatting sqref="P39">
    <cfRule type="cellIs" dxfId="4933" priority="3310" operator="equal">
      <formula>0</formula>
    </cfRule>
    <cfRule type="cellIs" dxfId="4932" priority="3311" operator="notEqual">
      <formula>0</formula>
    </cfRule>
  </conditionalFormatting>
  <conditionalFormatting sqref="P42">
    <cfRule type="cellIs" dxfId="4931" priority="3309" operator="equal">
      <formula>0</formula>
    </cfRule>
  </conditionalFormatting>
  <conditionalFormatting sqref="Q39">
    <cfRule type="cellIs" dxfId="4930" priority="3307" operator="equal">
      <formula>0</formula>
    </cfRule>
    <cfRule type="cellIs" dxfId="4929" priority="3308" operator="notEqual">
      <formula>0</formula>
    </cfRule>
  </conditionalFormatting>
  <conditionalFormatting sqref="Q42">
    <cfRule type="cellIs" dxfId="4928" priority="3306" operator="equal">
      <formula>0</formula>
    </cfRule>
  </conditionalFormatting>
  <conditionalFormatting sqref="R39">
    <cfRule type="cellIs" dxfId="4927" priority="3304" operator="equal">
      <formula>0</formula>
    </cfRule>
    <cfRule type="cellIs" dxfId="4926" priority="3305" operator="notEqual">
      <formula>0</formula>
    </cfRule>
  </conditionalFormatting>
  <conditionalFormatting sqref="R42">
    <cfRule type="cellIs" dxfId="4925" priority="3303" operator="equal">
      <formula>0</formula>
    </cfRule>
  </conditionalFormatting>
  <conditionalFormatting sqref="S39">
    <cfRule type="cellIs" dxfId="4924" priority="3301" operator="equal">
      <formula>0</formula>
    </cfRule>
    <cfRule type="cellIs" dxfId="4923" priority="3302" operator="notEqual">
      <formula>0</formula>
    </cfRule>
  </conditionalFormatting>
  <conditionalFormatting sqref="S42">
    <cfRule type="cellIs" dxfId="4922" priority="3300" operator="equal">
      <formula>0</formula>
    </cfRule>
  </conditionalFormatting>
  <conditionalFormatting sqref="D44:D45">
    <cfRule type="cellIs" dxfId="4921" priority="3298" operator="equal">
      <formula>0</formula>
    </cfRule>
    <cfRule type="cellIs" dxfId="4920" priority="3299" operator="notEqual">
      <formula>0</formula>
    </cfRule>
  </conditionalFormatting>
  <conditionalFormatting sqref="D46">
    <cfRule type="cellIs" dxfId="4919" priority="3297" operator="equal">
      <formula>0</formula>
    </cfRule>
  </conditionalFormatting>
  <conditionalFormatting sqref="E44:E45">
    <cfRule type="cellIs" dxfId="4918" priority="3295" operator="equal">
      <formula>0</formula>
    </cfRule>
    <cfRule type="cellIs" dxfId="4917" priority="3296" operator="notEqual">
      <formula>0</formula>
    </cfRule>
  </conditionalFormatting>
  <conditionalFormatting sqref="E46">
    <cfRule type="cellIs" dxfId="4916" priority="3294" operator="equal">
      <formula>0</formula>
    </cfRule>
  </conditionalFormatting>
  <conditionalFormatting sqref="F44:F45">
    <cfRule type="cellIs" dxfId="4915" priority="3292" operator="equal">
      <formula>0</formula>
    </cfRule>
    <cfRule type="cellIs" dxfId="4914" priority="3293" operator="notEqual">
      <formula>0</formula>
    </cfRule>
  </conditionalFormatting>
  <conditionalFormatting sqref="F46">
    <cfRule type="cellIs" dxfId="4913" priority="3291" operator="equal">
      <formula>0</formula>
    </cfRule>
  </conditionalFormatting>
  <conditionalFormatting sqref="G44:G45">
    <cfRule type="cellIs" dxfId="4912" priority="3289" operator="equal">
      <formula>0</formula>
    </cfRule>
    <cfRule type="cellIs" dxfId="4911" priority="3290" operator="notEqual">
      <formula>0</formula>
    </cfRule>
  </conditionalFormatting>
  <conditionalFormatting sqref="G46">
    <cfRule type="cellIs" dxfId="4910" priority="3288" operator="equal">
      <formula>0</formula>
    </cfRule>
  </conditionalFormatting>
  <conditionalFormatting sqref="H44:H45">
    <cfRule type="cellIs" dxfId="4909" priority="3286" operator="equal">
      <formula>0</formula>
    </cfRule>
    <cfRule type="cellIs" dxfId="4908" priority="3287" operator="notEqual">
      <formula>0</formula>
    </cfRule>
  </conditionalFormatting>
  <conditionalFormatting sqref="H46">
    <cfRule type="cellIs" dxfId="4907" priority="3285" operator="equal">
      <formula>0</formula>
    </cfRule>
  </conditionalFormatting>
  <conditionalFormatting sqref="I44:I45">
    <cfRule type="cellIs" dxfId="4906" priority="3283" operator="equal">
      <formula>0</formula>
    </cfRule>
    <cfRule type="cellIs" dxfId="4905" priority="3284" operator="notEqual">
      <formula>0</formula>
    </cfRule>
  </conditionalFormatting>
  <conditionalFormatting sqref="I46">
    <cfRule type="cellIs" dxfId="4904" priority="3282" operator="equal">
      <formula>0</formula>
    </cfRule>
  </conditionalFormatting>
  <conditionalFormatting sqref="J44:J45">
    <cfRule type="cellIs" dxfId="4903" priority="3280" operator="equal">
      <formula>0</formula>
    </cfRule>
    <cfRule type="cellIs" dxfId="4902" priority="3281" operator="notEqual">
      <formula>0</formula>
    </cfRule>
  </conditionalFormatting>
  <conditionalFormatting sqref="J46">
    <cfRule type="cellIs" dxfId="4901" priority="3279" operator="equal">
      <formula>0</formula>
    </cfRule>
  </conditionalFormatting>
  <conditionalFormatting sqref="K44:K45">
    <cfRule type="cellIs" dxfId="4900" priority="3277" operator="equal">
      <formula>0</formula>
    </cfRule>
    <cfRule type="cellIs" dxfId="4899" priority="3278" operator="notEqual">
      <formula>0</formula>
    </cfRule>
  </conditionalFormatting>
  <conditionalFormatting sqref="K46">
    <cfRule type="cellIs" dxfId="4898" priority="3276" operator="equal">
      <formula>0</formula>
    </cfRule>
  </conditionalFormatting>
  <conditionalFormatting sqref="L46">
    <cfRule type="cellIs" dxfId="4897" priority="3275" operator="equal">
      <formula>0</formula>
    </cfRule>
  </conditionalFormatting>
  <conditionalFormatting sqref="M46">
    <cfRule type="cellIs" dxfId="4896" priority="3274" operator="equal">
      <formula>0</formula>
    </cfRule>
  </conditionalFormatting>
  <conditionalFormatting sqref="N46">
    <cfRule type="cellIs" dxfId="4895" priority="3273" operator="equal">
      <formula>0</formula>
    </cfRule>
  </conditionalFormatting>
  <conditionalFormatting sqref="O46">
    <cfRule type="cellIs" dxfId="4894" priority="3272" operator="equal">
      <formula>0</formula>
    </cfRule>
  </conditionalFormatting>
  <conditionalFormatting sqref="P43">
    <cfRule type="cellIs" dxfId="4893" priority="3270" operator="equal">
      <formula>0</formula>
    </cfRule>
    <cfRule type="cellIs" dxfId="4892" priority="3271" operator="notEqual">
      <formula>0</formula>
    </cfRule>
  </conditionalFormatting>
  <conditionalFormatting sqref="P46">
    <cfRule type="cellIs" dxfId="4891" priority="3269" operator="equal">
      <formula>0</formula>
    </cfRule>
  </conditionalFormatting>
  <conditionalFormatting sqref="Q43">
    <cfRule type="cellIs" dxfId="4890" priority="3267" operator="equal">
      <formula>0</formula>
    </cfRule>
    <cfRule type="cellIs" dxfId="4889" priority="3268" operator="notEqual">
      <formula>0</formula>
    </cfRule>
  </conditionalFormatting>
  <conditionalFormatting sqref="Q46">
    <cfRule type="cellIs" dxfId="4888" priority="3266" operator="equal">
      <formula>0</formula>
    </cfRule>
  </conditionalFormatting>
  <conditionalFormatting sqref="R43">
    <cfRule type="cellIs" dxfId="4887" priority="3264" operator="equal">
      <formula>0</formula>
    </cfRule>
    <cfRule type="cellIs" dxfId="4886" priority="3265" operator="notEqual">
      <formula>0</formula>
    </cfRule>
  </conditionalFormatting>
  <conditionalFormatting sqref="R46">
    <cfRule type="cellIs" dxfId="4885" priority="3263" operator="equal">
      <formula>0</formula>
    </cfRule>
  </conditionalFormatting>
  <conditionalFormatting sqref="S43">
    <cfRule type="cellIs" dxfId="4884" priority="3261" operator="equal">
      <formula>0</formula>
    </cfRule>
    <cfRule type="cellIs" dxfId="4883" priority="3262" operator="notEqual">
      <formula>0</formula>
    </cfRule>
  </conditionalFormatting>
  <conditionalFormatting sqref="S46">
    <cfRule type="cellIs" dxfId="4882" priority="3260" operator="equal">
      <formula>0</formula>
    </cfRule>
  </conditionalFormatting>
  <conditionalFormatting sqref="D48:D49">
    <cfRule type="cellIs" dxfId="4881" priority="3258" operator="equal">
      <formula>0</formula>
    </cfRule>
    <cfRule type="cellIs" dxfId="4880" priority="3259" operator="notEqual">
      <formula>0</formula>
    </cfRule>
  </conditionalFormatting>
  <conditionalFormatting sqref="D50">
    <cfRule type="cellIs" dxfId="4879" priority="3257" operator="equal">
      <formula>0</formula>
    </cfRule>
  </conditionalFormatting>
  <conditionalFormatting sqref="E48:E49">
    <cfRule type="cellIs" dxfId="4878" priority="3255" operator="equal">
      <formula>0</formula>
    </cfRule>
    <cfRule type="cellIs" dxfId="4877" priority="3256" operator="notEqual">
      <formula>0</formula>
    </cfRule>
  </conditionalFormatting>
  <conditionalFormatting sqref="E50">
    <cfRule type="cellIs" dxfId="4876" priority="3254" operator="equal">
      <formula>0</formula>
    </cfRule>
  </conditionalFormatting>
  <conditionalFormatting sqref="F48:F49">
    <cfRule type="cellIs" dxfId="4875" priority="3252" operator="equal">
      <formula>0</formula>
    </cfRule>
    <cfRule type="cellIs" dxfId="4874" priority="3253" operator="notEqual">
      <formula>0</formula>
    </cfRule>
  </conditionalFormatting>
  <conditionalFormatting sqref="F50">
    <cfRule type="cellIs" dxfId="4873" priority="3251" operator="equal">
      <formula>0</formula>
    </cfRule>
  </conditionalFormatting>
  <conditionalFormatting sqref="G48:G49">
    <cfRule type="cellIs" dxfId="4872" priority="3249" operator="equal">
      <formula>0</formula>
    </cfRule>
    <cfRule type="cellIs" dxfId="4871" priority="3250" operator="notEqual">
      <formula>0</formula>
    </cfRule>
  </conditionalFormatting>
  <conditionalFormatting sqref="G50">
    <cfRule type="cellIs" dxfId="4870" priority="3248" operator="equal">
      <formula>0</formula>
    </cfRule>
  </conditionalFormatting>
  <conditionalFormatting sqref="H48:H49">
    <cfRule type="cellIs" dxfId="4869" priority="3246" operator="equal">
      <formula>0</formula>
    </cfRule>
    <cfRule type="cellIs" dxfId="4868" priority="3247" operator="notEqual">
      <formula>0</formula>
    </cfRule>
  </conditionalFormatting>
  <conditionalFormatting sqref="H50">
    <cfRule type="cellIs" dxfId="4867" priority="3245" operator="equal">
      <formula>0</formula>
    </cfRule>
  </conditionalFormatting>
  <conditionalFormatting sqref="I48:I49">
    <cfRule type="cellIs" dxfId="4866" priority="3243" operator="equal">
      <formula>0</formula>
    </cfRule>
    <cfRule type="cellIs" dxfId="4865" priority="3244" operator="notEqual">
      <formula>0</formula>
    </cfRule>
  </conditionalFormatting>
  <conditionalFormatting sqref="I50">
    <cfRule type="cellIs" dxfId="4864" priority="3242" operator="equal">
      <formula>0</formula>
    </cfRule>
  </conditionalFormatting>
  <conditionalFormatting sqref="J48:J49">
    <cfRule type="cellIs" dxfId="4863" priority="3240" operator="equal">
      <formula>0</formula>
    </cfRule>
    <cfRule type="cellIs" dxfId="4862" priority="3241" operator="notEqual">
      <formula>0</formula>
    </cfRule>
  </conditionalFormatting>
  <conditionalFormatting sqref="J50">
    <cfRule type="cellIs" dxfId="4861" priority="3239" operator="equal">
      <formula>0</formula>
    </cfRule>
  </conditionalFormatting>
  <conditionalFormatting sqref="K48:K49">
    <cfRule type="cellIs" dxfId="4860" priority="3237" operator="equal">
      <formula>0</formula>
    </cfRule>
    <cfRule type="cellIs" dxfId="4859" priority="3238" operator="notEqual">
      <formula>0</formula>
    </cfRule>
  </conditionalFormatting>
  <conditionalFormatting sqref="K50">
    <cfRule type="cellIs" dxfId="4858" priority="3236" operator="equal">
      <formula>0</formula>
    </cfRule>
  </conditionalFormatting>
  <conditionalFormatting sqref="L50">
    <cfRule type="cellIs" dxfId="4857" priority="3235" operator="equal">
      <formula>0</formula>
    </cfRule>
  </conditionalFormatting>
  <conditionalFormatting sqref="M50">
    <cfRule type="cellIs" dxfId="4856" priority="3234" operator="equal">
      <formula>0</formula>
    </cfRule>
  </conditionalFormatting>
  <conditionalFormatting sqref="N50">
    <cfRule type="cellIs" dxfId="4855" priority="3233" operator="equal">
      <formula>0</formula>
    </cfRule>
  </conditionalFormatting>
  <conditionalFormatting sqref="O50">
    <cfRule type="cellIs" dxfId="4854" priority="3232" operator="equal">
      <formula>0</formula>
    </cfRule>
  </conditionalFormatting>
  <conditionalFormatting sqref="P47">
    <cfRule type="cellIs" dxfId="4853" priority="3230" operator="equal">
      <formula>0</formula>
    </cfRule>
    <cfRule type="cellIs" dxfId="4852" priority="3231" operator="notEqual">
      <formula>0</formula>
    </cfRule>
  </conditionalFormatting>
  <conditionalFormatting sqref="P50">
    <cfRule type="cellIs" dxfId="4851" priority="3229" operator="equal">
      <formula>0</formula>
    </cfRule>
  </conditionalFormatting>
  <conditionalFormatting sqref="Q47">
    <cfRule type="cellIs" dxfId="4850" priority="3227" operator="equal">
      <formula>0</formula>
    </cfRule>
    <cfRule type="cellIs" dxfId="4849" priority="3228" operator="notEqual">
      <formula>0</formula>
    </cfRule>
  </conditionalFormatting>
  <conditionalFormatting sqref="Q50">
    <cfRule type="cellIs" dxfId="4848" priority="3226" operator="equal">
      <formula>0</formula>
    </cfRule>
  </conditionalFormatting>
  <conditionalFormatting sqref="R47">
    <cfRule type="cellIs" dxfId="4847" priority="3224" operator="equal">
      <formula>0</formula>
    </cfRule>
    <cfRule type="cellIs" dxfId="4846" priority="3225" operator="notEqual">
      <formula>0</formula>
    </cfRule>
  </conditionalFormatting>
  <conditionalFormatting sqref="R50">
    <cfRule type="cellIs" dxfId="4845" priority="3223" operator="equal">
      <formula>0</formula>
    </cfRule>
  </conditionalFormatting>
  <conditionalFormatting sqref="S47">
    <cfRule type="cellIs" dxfId="4844" priority="3221" operator="equal">
      <formula>0</formula>
    </cfRule>
    <cfRule type="cellIs" dxfId="4843" priority="3222" operator="notEqual">
      <formula>0</formula>
    </cfRule>
  </conditionalFormatting>
  <conditionalFormatting sqref="S50">
    <cfRule type="cellIs" dxfId="4842" priority="3220" operator="equal">
      <formula>0</formula>
    </cfRule>
  </conditionalFormatting>
  <conditionalFormatting sqref="D52:D53">
    <cfRule type="cellIs" dxfId="4841" priority="3218" operator="equal">
      <formula>0</formula>
    </cfRule>
    <cfRule type="cellIs" dxfId="4840" priority="3219" operator="notEqual">
      <formula>0</formula>
    </cfRule>
  </conditionalFormatting>
  <conditionalFormatting sqref="D54">
    <cfRule type="cellIs" dxfId="4839" priority="3217" operator="equal">
      <formula>0</formula>
    </cfRule>
  </conditionalFormatting>
  <conditionalFormatting sqref="E52:E53">
    <cfRule type="cellIs" dxfId="4838" priority="3215" operator="equal">
      <formula>0</formula>
    </cfRule>
    <cfRule type="cellIs" dxfId="4837" priority="3216" operator="notEqual">
      <formula>0</formula>
    </cfRule>
  </conditionalFormatting>
  <conditionalFormatting sqref="E54">
    <cfRule type="cellIs" dxfId="4836" priority="3214" operator="equal">
      <formula>0</formula>
    </cfRule>
  </conditionalFormatting>
  <conditionalFormatting sqref="F52:F53">
    <cfRule type="cellIs" dxfId="4835" priority="3212" operator="equal">
      <formula>0</formula>
    </cfRule>
    <cfRule type="cellIs" dxfId="4834" priority="3213" operator="notEqual">
      <formula>0</formula>
    </cfRule>
  </conditionalFormatting>
  <conditionalFormatting sqref="F54">
    <cfRule type="cellIs" dxfId="4833" priority="3211" operator="equal">
      <formula>0</formula>
    </cfRule>
  </conditionalFormatting>
  <conditionalFormatting sqref="G52:G53">
    <cfRule type="cellIs" dxfId="4832" priority="3209" operator="equal">
      <formula>0</formula>
    </cfRule>
    <cfRule type="cellIs" dxfId="4831" priority="3210" operator="notEqual">
      <formula>0</formula>
    </cfRule>
  </conditionalFormatting>
  <conditionalFormatting sqref="G54">
    <cfRule type="cellIs" dxfId="4830" priority="3208" operator="equal">
      <formula>0</formula>
    </cfRule>
  </conditionalFormatting>
  <conditionalFormatting sqref="H52:H53">
    <cfRule type="cellIs" dxfId="4829" priority="3206" operator="equal">
      <formula>0</formula>
    </cfRule>
    <cfRule type="cellIs" dxfId="4828" priority="3207" operator="notEqual">
      <formula>0</formula>
    </cfRule>
  </conditionalFormatting>
  <conditionalFormatting sqref="H54">
    <cfRule type="cellIs" dxfId="4827" priority="3205" operator="equal">
      <formula>0</formula>
    </cfRule>
  </conditionalFormatting>
  <conditionalFormatting sqref="I52:I53">
    <cfRule type="cellIs" dxfId="4826" priority="3203" operator="equal">
      <formula>0</formula>
    </cfRule>
    <cfRule type="cellIs" dxfId="4825" priority="3204" operator="notEqual">
      <formula>0</formula>
    </cfRule>
  </conditionalFormatting>
  <conditionalFormatting sqref="I54">
    <cfRule type="cellIs" dxfId="4824" priority="3202" operator="equal">
      <formula>0</formula>
    </cfRule>
  </conditionalFormatting>
  <conditionalFormatting sqref="J52:J53">
    <cfRule type="cellIs" dxfId="4823" priority="3200" operator="equal">
      <formula>0</formula>
    </cfRule>
    <cfRule type="cellIs" dxfId="4822" priority="3201" operator="notEqual">
      <formula>0</formula>
    </cfRule>
  </conditionalFormatting>
  <conditionalFormatting sqref="J54">
    <cfRule type="cellIs" dxfId="4821" priority="3199" operator="equal">
      <formula>0</formula>
    </cfRule>
  </conditionalFormatting>
  <conditionalFormatting sqref="K52:K53">
    <cfRule type="cellIs" dxfId="4820" priority="3197" operator="equal">
      <formula>0</formula>
    </cfRule>
    <cfRule type="cellIs" dxfId="4819" priority="3198" operator="notEqual">
      <formula>0</formula>
    </cfRule>
  </conditionalFormatting>
  <conditionalFormatting sqref="K54">
    <cfRule type="cellIs" dxfId="4818" priority="3196" operator="equal">
      <formula>0</formula>
    </cfRule>
  </conditionalFormatting>
  <conditionalFormatting sqref="L54">
    <cfRule type="cellIs" dxfId="4817" priority="3195" operator="equal">
      <formula>0</formula>
    </cfRule>
  </conditionalFormatting>
  <conditionalFormatting sqref="M54">
    <cfRule type="cellIs" dxfId="4816" priority="3194" operator="equal">
      <formula>0</formula>
    </cfRule>
  </conditionalFormatting>
  <conditionalFormatting sqref="N54">
    <cfRule type="cellIs" dxfId="4815" priority="3193" operator="equal">
      <formula>0</formula>
    </cfRule>
  </conditionalFormatting>
  <conditionalFormatting sqref="O54">
    <cfRule type="cellIs" dxfId="4814" priority="3192" operator="equal">
      <formula>0</formula>
    </cfRule>
  </conditionalFormatting>
  <conditionalFormatting sqref="P51">
    <cfRule type="cellIs" dxfId="4813" priority="3190" operator="equal">
      <formula>0</formula>
    </cfRule>
    <cfRule type="cellIs" dxfId="4812" priority="3191" operator="notEqual">
      <formula>0</formula>
    </cfRule>
  </conditionalFormatting>
  <conditionalFormatting sqref="P54">
    <cfRule type="cellIs" dxfId="4811" priority="3189" operator="equal">
      <formula>0</formula>
    </cfRule>
  </conditionalFormatting>
  <conditionalFormatting sqref="Q51">
    <cfRule type="cellIs" dxfId="4810" priority="3187" operator="equal">
      <formula>0</formula>
    </cfRule>
    <cfRule type="cellIs" dxfId="4809" priority="3188" operator="notEqual">
      <formula>0</formula>
    </cfRule>
  </conditionalFormatting>
  <conditionalFormatting sqref="Q54">
    <cfRule type="cellIs" dxfId="4808" priority="3186" operator="equal">
      <formula>0</formula>
    </cfRule>
  </conditionalFormatting>
  <conditionalFormatting sqref="R51">
    <cfRule type="cellIs" dxfId="4807" priority="3184" operator="equal">
      <formula>0</formula>
    </cfRule>
    <cfRule type="cellIs" dxfId="4806" priority="3185" operator="notEqual">
      <formula>0</formula>
    </cfRule>
  </conditionalFormatting>
  <conditionalFormatting sqref="R54">
    <cfRule type="cellIs" dxfId="4805" priority="3183" operator="equal">
      <formula>0</formula>
    </cfRule>
  </conditionalFormatting>
  <conditionalFormatting sqref="S51">
    <cfRule type="cellIs" dxfId="4804" priority="3181" operator="equal">
      <formula>0</formula>
    </cfRule>
    <cfRule type="cellIs" dxfId="4803" priority="3182" operator="notEqual">
      <formula>0</formula>
    </cfRule>
  </conditionalFormatting>
  <conditionalFormatting sqref="S54">
    <cfRule type="cellIs" dxfId="4802" priority="3180" operator="equal">
      <formula>0</formula>
    </cfRule>
  </conditionalFormatting>
  <conditionalFormatting sqref="D56:D57">
    <cfRule type="cellIs" dxfId="4801" priority="3178" operator="equal">
      <formula>0</formula>
    </cfRule>
    <cfRule type="cellIs" dxfId="4800" priority="3179" operator="notEqual">
      <formula>0</formula>
    </cfRule>
  </conditionalFormatting>
  <conditionalFormatting sqref="D58">
    <cfRule type="cellIs" dxfId="4799" priority="3177" operator="equal">
      <formula>0</formula>
    </cfRule>
  </conditionalFormatting>
  <conditionalFormatting sqref="E56:E57">
    <cfRule type="cellIs" dxfId="4798" priority="3175" operator="equal">
      <formula>0</formula>
    </cfRule>
    <cfRule type="cellIs" dxfId="4797" priority="3176" operator="notEqual">
      <formula>0</formula>
    </cfRule>
  </conditionalFormatting>
  <conditionalFormatting sqref="E58">
    <cfRule type="cellIs" dxfId="4796" priority="3174" operator="equal">
      <formula>0</formula>
    </cfRule>
  </conditionalFormatting>
  <conditionalFormatting sqref="F56:F57">
    <cfRule type="cellIs" dxfId="4795" priority="3172" operator="equal">
      <formula>0</formula>
    </cfRule>
    <cfRule type="cellIs" dxfId="4794" priority="3173" operator="notEqual">
      <formula>0</formula>
    </cfRule>
  </conditionalFormatting>
  <conditionalFormatting sqref="F58">
    <cfRule type="cellIs" dxfId="4793" priority="3171" operator="equal">
      <formula>0</formula>
    </cfRule>
  </conditionalFormatting>
  <conditionalFormatting sqref="G56:G57">
    <cfRule type="cellIs" dxfId="4792" priority="3169" operator="equal">
      <formula>0</formula>
    </cfRule>
    <cfRule type="cellIs" dxfId="4791" priority="3170" operator="notEqual">
      <formula>0</formula>
    </cfRule>
  </conditionalFormatting>
  <conditionalFormatting sqref="G58">
    <cfRule type="cellIs" dxfId="4790" priority="3168" operator="equal">
      <formula>0</formula>
    </cfRule>
  </conditionalFormatting>
  <conditionalFormatting sqref="H56:H57">
    <cfRule type="cellIs" dxfId="4789" priority="3166" operator="equal">
      <formula>0</formula>
    </cfRule>
    <cfRule type="cellIs" dxfId="4788" priority="3167" operator="notEqual">
      <formula>0</formula>
    </cfRule>
  </conditionalFormatting>
  <conditionalFormatting sqref="H58">
    <cfRule type="cellIs" dxfId="4787" priority="3165" operator="equal">
      <formula>0</formula>
    </cfRule>
  </conditionalFormatting>
  <conditionalFormatting sqref="I56:I57">
    <cfRule type="cellIs" dxfId="4786" priority="3163" operator="equal">
      <formula>0</formula>
    </cfRule>
    <cfRule type="cellIs" dxfId="4785" priority="3164" operator="notEqual">
      <formula>0</formula>
    </cfRule>
  </conditionalFormatting>
  <conditionalFormatting sqref="I58">
    <cfRule type="cellIs" dxfId="4784" priority="3162" operator="equal">
      <formula>0</formula>
    </cfRule>
  </conditionalFormatting>
  <conditionalFormatting sqref="J56:J57">
    <cfRule type="cellIs" dxfId="4783" priority="3160" operator="equal">
      <formula>0</formula>
    </cfRule>
    <cfRule type="cellIs" dxfId="4782" priority="3161" operator="notEqual">
      <formula>0</formula>
    </cfRule>
  </conditionalFormatting>
  <conditionalFormatting sqref="J58">
    <cfRule type="cellIs" dxfId="4781" priority="3159" operator="equal">
      <formula>0</formula>
    </cfRule>
  </conditionalFormatting>
  <conditionalFormatting sqref="K56:K57">
    <cfRule type="cellIs" dxfId="4780" priority="3157" operator="equal">
      <formula>0</formula>
    </cfRule>
    <cfRule type="cellIs" dxfId="4779" priority="3158" operator="notEqual">
      <formula>0</formula>
    </cfRule>
  </conditionalFormatting>
  <conditionalFormatting sqref="K58">
    <cfRule type="cellIs" dxfId="4778" priority="3156" operator="equal">
      <formula>0</formula>
    </cfRule>
  </conditionalFormatting>
  <conditionalFormatting sqref="L58">
    <cfRule type="cellIs" dxfId="4777" priority="3155" operator="equal">
      <formula>0</formula>
    </cfRule>
  </conditionalFormatting>
  <conditionalFormatting sqref="M58">
    <cfRule type="cellIs" dxfId="4776" priority="3154" operator="equal">
      <formula>0</formula>
    </cfRule>
  </conditionalFormatting>
  <conditionalFormatting sqref="N58">
    <cfRule type="cellIs" dxfId="4775" priority="3153" operator="equal">
      <formula>0</formula>
    </cfRule>
  </conditionalFormatting>
  <conditionalFormatting sqref="O58">
    <cfRule type="cellIs" dxfId="4774" priority="3152" operator="equal">
      <formula>0</formula>
    </cfRule>
  </conditionalFormatting>
  <conditionalFormatting sqref="P55">
    <cfRule type="cellIs" dxfId="4773" priority="3150" operator="equal">
      <formula>0</formula>
    </cfRule>
    <cfRule type="cellIs" dxfId="4772" priority="3151" operator="notEqual">
      <formula>0</formula>
    </cfRule>
  </conditionalFormatting>
  <conditionalFormatting sqref="P58">
    <cfRule type="cellIs" dxfId="4771" priority="3149" operator="equal">
      <formula>0</formula>
    </cfRule>
  </conditionalFormatting>
  <conditionalFormatting sqref="Q55">
    <cfRule type="cellIs" dxfId="4770" priority="3147" operator="equal">
      <formula>0</formula>
    </cfRule>
    <cfRule type="cellIs" dxfId="4769" priority="3148" operator="notEqual">
      <formula>0</formula>
    </cfRule>
  </conditionalFormatting>
  <conditionalFormatting sqref="Q58">
    <cfRule type="cellIs" dxfId="4768" priority="3146" operator="equal">
      <formula>0</formula>
    </cfRule>
  </conditionalFormatting>
  <conditionalFormatting sqref="R55">
    <cfRule type="cellIs" dxfId="4767" priority="3144" operator="equal">
      <formula>0</formula>
    </cfRule>
    <cfRule type="cellIs" dxfId="4766" priority="3145" operator="notEqual">
      <formula>0</formula>
    </cfRule>
  </conditionalFormatting>
  <conditionalFormatting sqref="R58">
    <cfRule type="cellIs" dxfId="4765" priority="3143" operator="equal">
      <formula>0</formula>
    </cfRule>
  </conditionalFormatting>
  <conditionalFormatting sqref="S55">
    <cfRule type="cellIs" dxfId="4764" priority="3141" operator="equal">
      <formula>0</formula>
    </cfRule>
    <cfRule type="cellIs" dxfId="4763" priority="3142" operator="notEqual">
      <formula>0</formula>
    </cfRule>
  </conditionalFormatting>
  <conditionalFormatting sqref="S58">
    <cfRule type="cellIs" dxfId="4762" priority="3140" operator="equal">
      <formula>0</formula>
    </cfRule>
  </conditionalFormatting>
  <conditionalFormatting sqref="D74">
    <cfRule type="cellIs" dxfId="4761" priority="3139" operator="equal">
      <formula>0</formula>
    </cfRule>
  </conditionalFormatting>
  <conditionalFormatting sqref="E74">
    <cfRule type="cellIs" dxfId="4760" priority="3138" operator="equal">
      <formula>0</formula>
    </cfRule>
  </conditionalFormatting>
  <conditionalFormatting sqref="F74">
    <cfRule type="cellIs" dxfId="4759" priority="3137" operator="equal">
      <formula>0</formula>
    </cfRule>
  </conditionalFormatting>
  <conditionalFormatting sqref="G74">
    <cfRule type="cellIs" dxfId="4758" priority="3136" operator="equal">
      <formula>0</formula>
    </cfRule>
  </conditionalFormatting>
  <conditionalFormatting sqref="H74">
    <cfRule type="cellIs" dxfId="4757" priority="3135" operator="equal">
      <formula>0</formula>
    </cfRule>
  </conditionalFormatting>
  <conditionalFormatting sqref="I74">
    <cfRule type="cellIs" dxfId="4756" priority="3134" operator="equal">
      <formula>0</formula>
    </cfRule>
  </conditionalFormatting>
  <conditionalFormatting sqref="J74">
    <cfRule type="cellIs" dxfId="4755" priority="3133" operator="equal">
      <formula>0</formula>
    </cfRule>
  </conditionalFormatting>
  <conditionalFormatting sqref="K74">
    <cfRule type="cellIs" dxfId="4754" priority="3132" operator="equal">
      <formula>0</formula>
    </cfRule>
  </conditionalFormatting>
  <conditionalFormatting sqref="L74">
    <cfRule type="cellIs" dxfId="4753" priority="3131" operator="equal">
      <formula>0</formula>
    </cfRule>
  </conditionalFormatting>
  <conditionalFormatting sqref="M74">
    <cfRule type="cellIs" dxfId="4752" priority="3130" operator="equal">
      <formula>0</formula>
    </cfRule>
  </conditionalFormatting>
  <conditionalFormatting sqref="N74">
    <cfRule type="cellIs" dxfId="4751" priority="3129" operator="equal">
      <formula>0</formula>
    </cfRule>
  </conditionalFormatting>
  <conditionalFormatting sqref="O74">
    <cfRule type="cellIs" dxfId="4750" priority="3128" operator="equal">
      <formula>0</formula>
    </cfRule>
  </conditionalFormatting>
  <conditionalFormatting sqref="P74">
    <cfRule type="cellIs" dxfId="4749" priority="3127" operator="equal">
      <formula>0</formula>
    </cfRule>
  </conditionalFormatting>
  <conditionalFormatting sqref="Q74">
    <cfRule type="cellIs" dxfId="4748" priority="3126" operator="equal">
      <formula>0</formula>
    </cfRule>
  </conditionalFormatting>
  <conditionalFormatting sqref="R74">
    <cfRule type="cellIs" dxfId="4747" priority="3125" operator="equal">
      <formula>0</formula>
    </cfRule>
  </conditionalFormatting>
  <conditionalFormatting sqref="S74">
    <cfRule type="cellIs" dxfId="4746" priority="3124" operator="equal">
      <formula>0</formula>
    </cfRule>
  </conditionalFormatting>
  <conditionalFormatting sqref="P149">
    <cfRule type="cellIs" dxfId="4745" priority="2858" operator="equal">
      <formula>0</formula>
    </cfRule>
    <cfRule type="cellIs" dxfId="4744" priority="2859" operator="notEqual">
      <formula>0</formula>
    </cfRule>
  </conditionalFormatting>
  <conditionalFormatting sqref="P169 P173 P181 P185">
    <cfRule type="cellIs" dxfId="4743" priority="2856" operator="equal">
      <formula>0</formula>
    </cfRule>
    <cfRule type="cellIs" dxfId="4742" priority="2857" operator="notEqual">
      <formula>0</formula>
    </cfRule>
  </conditionalFormatting>
  <conditionalFormatting sqref="P152 P172 P176 P184 P188 P212">
    <cfRule type="cellIs" dxfId="4741" priority="2855" operator="equal">
      <formula>0</formula>
    </cfRule>
  </conditionalFormatting>
  <conditionalFormatting sqref="P153">
    <cfRule type="cellIs" dxfId="4740" priority="2853" operator="equal">
      <formula>0</formula>
    </cfRule>
    <cfRule type="cellIs" dxfId="4739" priority="2854" operator="notEqual">
      <formula>0</formula>
    </cfRule>
  </conditionalFormatting>
  <conditionalFormatting sqref="P156">
    <cfRule type="cellIs" dxfId="4738" priority="2852" operator="equal">
      <formula>0</formula>
    </cfRule>
  </conditionalFormatting>
  <conditionalFormatting sqref="P157">
    <cfRule type="cellIs" dxfId="4737" priority="2850" operator="equal">
      <formula>0</formula>
    </cfRule>
    <cfRule type="cellIs" dxfId="4736" priority="2851" operator="notEqual">
      <formula>0</formula>
    </cfRule>
  </conditionalFormatting>
  <conditionalFormatting sqref="P160">
    <cfRule type="cellIs" dxfId="4735" priority="2849" operator="equal">
      <formula>0</formula>
    </cfRule>
  </conditionalFormatting>
  <conditionalFormatting sqref="P161">
    <cfRule type="cellIs" dxfId="4734" priority="2847" operator="equal">
      <formula>0</formula>
    </cfRule>
    <cfRule type="cellIs" dxfId="4733" priority="2848" operator="notEqual">
      <formula>0</formula>
    </cfRule>
  </conditionalFormatting>
  <conditionalFormatting sqref="P164">
    <cfRule type="cellIs" dxfId="4732" priority="2846" operator="equal">
      <formula>0</formula>
    </cfRule>
  </conditionalFormatting>
  <conditionalFormatting sqref="P165">
    <cfRule type="cellIs" dxfId="4731" priority="2844" operator="equal">
      <formula>0</formula>
    </cfRule>
    <cfRule type="cellIs" dxfId="4730" priority="2845" operator="notEqual">
      <formula>0</formula>
    </cfRule>
  </conditionalFormatting>
  <conditionalFormatting sqref="P168">
    <cfRule type="cellIs" dxfId="4729" priority="2843" operator="equal">
      <formula>0</formula>
    </cfRule>
  </conditionalFormatting>
  <conditionalFormatting sqref="P192">
    <cfRule type="cellIs" dxfId="4728" priority="2840" operator="equal">
      <formula>0</formula>
    </cfRule>
  </conditionalFormatting>
  <conditionalFormatting sqref="P196">
    <cfRule type="cellIs" dxfId="4727" priority="2837" operator="equal">
      <formula>0</formula>
    </cfRule>
  </conditionalFormatting>
  <conditionalFormatting sqref="P189">
    <cfRule type="cellIs" dxfId="4726" priority="2841" operator="equal">
      <formula>0</formula>
    </cfRule>
    <cfRule type="cellIs" dxfId="4725" priority="2842" operator="notEqual">
      <formula>0</formula>
    </cfRule>
  </conditionalFormatting>
  <conditionalFormatting sqref="P193">
    <cfRule type="cellIs" dxfId="4724" priority="2838" operator="equal">
      <formula>0</formula>
    </cfRule>
    <cfRule type="cellIs" dxfId="4723" priority="2839" operator="notEqual">
      <formula>0</formula>
    </cfRule>
  </conditionalFormatting>
  <conditionalFormatting sqref="P177">
    <cfRule type="cellIs" dxfId="4722" priority="2835" operator="equal">
      <formula>0</formula>
    </cfRule>
    <cfRule type="cellIs" dxfId="4721" priority="2836" operator="notEqual">
      <formula>0</formula>
    </cfRule>
  </conditionalFormatting>
  <conditionalFormatting sqref="P180">
    <cfRule type="cellIs" dxfId="4720" priority="2834" operator="equal">
      <formula>0</formula>
    </cfRule>
  </conditionalFormatting>
  <conditionalFormatting sqref="Q149">
    <cfRule type="cellIs" dxfId="4719" priority="2832" operator="equal">
      <formula>0</formula>
    </cfRule>
    <cfRule type="cellIs" dxfId="4718" priority="2833" operator="notEqual">
      <formula>0</formula>
    </cfRule>
  </conditionalFormatting>
  <conditionalFormatting sqref="Q169 Q173 Q181 Q185">
    <cfRule type="cellIs" dxfId="4717" priority="2830" operator="equal">
      <formula>0</formula>
    </cfRule>
    <cfRule type="cellIs" dxfId="4716" priority="2831" operator="notEqual">
      <formula>0</formula>
    </cfRule>
  </conditionalFormatting>
  <conditionalFormatting sqref="Q152 Q172 Q176 Q184 Q188 Q212">
    <cfRule type="cellIs" dxfId="4715" priority="2829" operator="equal">
      <formula>0</formula>
    </cfRule>
  </conditionalFormatting>
  <conditionalFormatting sqref="Q153">
    <cfRule type="cellIs" dxfId="4714" priority="2827" operator="equal">
      <formula>0</formula>
    </cfRule>
    <cfRule type="cellIs" dxfId="4713" priority="2828" operator="notEqual">
      <formula>0</formula>
    </cfRule>
  </conditionalFormatting>
  <conditionalFormatting sqref="Q156">
    <cfRule type="cellIs" dxfId="4712" priority="2826" operator="equal">
      <formula>0</formula>
    </cfRule>
  </conditionalFormatting>
  <conditionalFormatting sqref="Q157">
    <cfRule type="cellIs" dxfId="4711" priority="2824" operator="equal">
      <formula>0</formula>
    </cfRule>
    <cfRule type="cellIs" dxfId="4710" priority="2825" operator="notEqual">
      <formula>0</formula>
    </cfRule>
  </conditionalFormatting>
  <conditionalFormatting sqref="Q160">
    <cfRule type="cellIs" dxfId="4709" priority="2823" operator="equal">
      <formula>0</formula>
    </cfRule>
  </conditionalFormatting>
  <conditionalFormatting sqref="Q161">
    <cfRule type="cellIs" dxfId="4708" priority="2821" operator="equal">
      <formula>0</formula>
    </cfRule>
    <cfRule type="cellIs" dxfId="4707" priority="2822" operator="notEqual">
      <formula>0</formula>
    </cfRule>
  </conditionalFormatting>
  <conditionalFormatting sqref="Q164">
    <cfRule type="cellIs" dxfId="4706" priority="2820" operator="equal">
      <formula>0</formula>
    </cfRule>
  </conditionalFormatting>
  <conditionalFormatting sqref="Q165">
    <cfRule type="cellIs" dxfId="4705" priority="2818" operator="equal">
      <formula>0</formula>
    </cfRule>
    <cfRule type="cellIs" dxfId="4704" priority="2819" operator="notEqual">
      <formula>0</formula>
    </cfRule>
  </conditionalFormatting>
  <conditionalFormatting sqref="Q168">
    <cfRule type="cellIs" dxfId="4703" priority="2817" operator="equal">
      <formula>0</formula>
    </cfRule>
  </conditionalFormatting>
  <conditionalFormatting sqref="Q192">
    <cfRule type="cellIs" dxfId="4702" priority="2814" operator="equal">
      <formula>0</formula>
    </cfRule>
  </conditionalFormatting>
  <conditionalFormatting sqref="Q196">
    <cfRule type="cellIs" dxfId="4701" priority="2811" operator="equal">
      <formula>0</formula>
    </cfRule>
  </conditionalFormatting>
  <conditionalFormatting sqref="Q189">
    <cfRule type="cellIs" dxfId="4700" priority="2815" operator="equal">
      <formula>0</formula>
    </cfRule>
    <cfRule type="cellIs" dxfId="4699" priority="2816" operator="notEqual">
      <formula>0</formula>
    </cfRule>
  </conditionalFormatting>
  <conditionalFormatting sqref="Q193">
    <cfRule type="cellIs" dxfId="4698" priority="2812" operator="equal">
      <formula>0</formula>
    </cfRule>
    <cfRule type="cellIs" dxfId="4697" priority="2813" operator="notEqual">
      <formula>0</formula>
    </cfRule>
  </conditionalFormatting>
  <conditionalFormatting sqref="Q177">
    <cfRule type="cellIs" dxfId="4696" priority="2809" operator="equal">
      <formula>0</formula>
    </cfRule>
    <cfRule type="cellIs" dxfId="4695" priority="2810" operator="notEqual">
      <formula>0</formula>
    </cfRule>
  </conditionalFormatting>
  <conditionalFormatting sqref="Q180">
    <cfRule type="cellIs" dxfId="4694" priority="2808" operator="equal">
      <formula>0</formula>
    </cfRule>
  </conditionalFormatting>
  <conditionalFormatting sqref="R149">
    <cfRule type="cellIs" dxfId="4693" priority="2806" operator="equal">
      <formula>0</formula>
    </cfRule>
    <cfRule type="cellIs" dxfId="4692" priority="2807" operator="notEqual">
      <formula>0</formula>
    </cfRule>
  </conditionalFormatting>
  <conditionalFormatting sqref="R169 R173 R181 R185">
    <cfRule type="cellIs" dxfId="4691" priority="2804" operator="equal">
      <formula>0</formula>
    </cfRule>
    <cfRule type="cellIs" dxfId="4690" priority="2805" operator="notEqual">
      <formula>0</formula>
    </cfRule>
  </conditionalFormatting>
  <conditionalFormatting sqref="R152 R172 R176 R184 R188 R212">
    <cfRule type="cellIs" dxfId="4689" priority="2803" operator="equal">
      <formula>0</formula>
    </cfRule>
  </conditionalFormatting>
  <conditionalFormatting sqref="R153">
    <cfRule type="cellIs" dxfId="4688" priority="2801" operator="equal">
      <formula>0</formula>
    </cfRule>
    <cfRule type="cellIs" dxfId="4687" priority="2802" operator="notEqual">
      <formula>0</formula>
    </cfRule>
  </conditionalFormatting>
  <conditionalFormatting sqref="R156">
    <cfRule type="cellIs" dxfId="4686" priority="2800" operator="equal">
      <formula>0</formula>
    </cfRule>
  </conditionalFormatting>
  <conditionalFormatting sqref="R157">
    <cfRule type="cellIs" dxfId="4685" priority="2798" operator="equal">
      <formula>0</formula>
    </cfRule>
    <cfRule type="cellIs" dxfId="4684" priority="2799" operator="notEqual">
      <formula>0</formula>
    </cfRule>
  </conditionalFormatting>
  <conditionalFormatting sqref="R160">
    <cfRule type="cellIs" dxfId="4683" priority="2797" operator="equal">
      <formula>0</formula>
    </cfRule>
  </conditionalFormatting>
  <conditionalFormatting sqref="R161">
    <cfRule type="cellIs" dxfId="4682" priority="2795" operator="equal">
      <formula>0</formula>
    </cfRule>
    <cfRule type="cellIs" dxfId="4681" priority="2796" operator="notEqual">
      <formula>0</formula>
    </cfRule>
  </conditionalFormatting>
  <conditionalFormatting sqref="R164">
    <cfRule type="cellIs" dxfId="4680" priority="2794" operator="equal">
      <formula>0</formula>
    </cfRule>
  </conditionalFormatting>
  <conditionalFormatting sqref="R165">
    <cfRule type="cellIs" dxfId="4679" priority="2792" operator="equal">
      <formula>0</formula>
    </cfRule>
    <cfRule type="cellIs" dxfId="4678" priority="2793" operator="notEqual">
      <formula>0</formula>
    </cfRule>
  </conditionalFormatting>
  <conditionalFormatting sqref="R168">
    <cfRule type="cellIs" dxfId="4677" priority="2791" operator="equal">
      <formula>0</formula>
    </cfRule>
  </conditionalFormatting>
  <conditionalFormatting sqref="R192">
    <cfRule type="cellIs" dxfId="4676" priority="2788" operator="equal">
      <formula>0</formula>
    </cfRule>
  </conditionalFormatting>
  <conditionalFormatting sqref="R196">
    <cfRule type="cellIs" dxfId="4675" priority="2785" operator="equal">
      <formula>0</formula>
    </cfRule>
  </conditionalFormatting>
  <conditionalFormatting sqref="R189">
    <cfRule type="cellIs" dxfId="4674" priority="2789" operator="equal">
      <formula>0</formula>
    </cfRule>
    <cfRule type="cellIs" dxfId="4673" priority="2790" operator="notEqual">
      <formula>0</formula>
    </cfRule>
  </conditionalFormatting>
  <conditionalFormatting sqref="R193">
    <cfRule type="cellIs" dxfId="4672" priority="2786" operator="equal">
      <formula>0</formula>
    </cfRule>
    <cfRule type="cellIs" dxfId="4671" priority="2787" operator="notEqual">
      <formula>0</formula>
    </cfRule>
  </conditionalFormatting>
  <conditionalFormatting sqref="R177">
    <cfRule type="cellIs" dxfId="4670" priority="2783" operator="equal">
      <formula>0</formula>
    </cfRule>
    <cfRule type="cellIs" dxfId="4669" priority="2784" operator="notEqual">
      <formula>0</formula>
    </cfRule>
  </conditionalFormatting>
  <conditionalFormatting sqref="R180">
    <cfRule type="cellIs" dxfId="4668" priority="2782" operator="equal">
      <formula>0</formula>
    </cfRule>
  </conditionalFormatting>
  <conditionalFormatting sqref="S149">
    <cfRule type="cellIs" dxfId="4667" priority="2780" operator="equal">
      <formula>0</formula>
    </cfRule>
    <cfRule type="cellIs" dxfId="4666" priority="2781" operator="notEqual">
      <formula>0</formula>
    </cfRule>
  </conditionalFormatting>
  <conditionalFormatting sqref="S169 S173 S181 S185">
    <cfRule type="cellIs" dxfId="4665" priority="2778" operator="equal">
      <formula>0</formula>
    </cfRule>
    <cfRule type="cellIs" dxfId="4664" priority="2779" operator="notEqual">
      <formula>0</formula>
    </cfRule>
  </conditionalFormatting>
  <conditionalFormatting sqref="S152 S172 S176 S184 S188 S212">
    <cfRule type="cellIs" dxfId="4663" priority="2777" operator="equal">
      <formula>0</formula>
    </cfRule>
  </conditionalFormatting>
  <conditionalFormatting sqref="S153">
    <cfRule type="cellIs" dxfId="4662" priority="2775" operator="equal">
      <formula>0</formula>
    </cfRule>
    <cfRule type="cellIs" dxfId="4661" priority="2776" operator="notEqual">
      <formula>0</formula>
    </cfRule>
  </conditionalFormatting>
  <conditionalFormatting sqref="S156">
    <cfRule type="cellIs" dxfId="4660" priority="2774" operator="equal">
      <formula>0</formula>
    </cfRule>
  </conditionalFormatting>
  <conditionalFormatting sqref="S157">
    <cfRule type="cellIs" dxfId="4659" priority="2772" operator="equal">
      <formula>0</formula>
    </cfRule>
    <cfRule type="cellIs" dxfId="4658" priority="2773" operator="notEqual">
      <formula>0</formula>
    </cfRule>
  </conditionalFormatting>
  <conditionalFormatting sqref="S160">
    <cfRule type="cellIs" dxfId="4657" priority="2771" operator="equal">
      <formula>0</formula>
    </cfRule>
  </conditionalFormatting>
  <conditionalFormatting sqref="S161">
    <cfRule type="cellIs" dxfId="4656" priority="2769" operator="equal">
      <formula>0</formula>
    </cfRule>
    <cfRule type="cellIs" dxfId="4655" priority="2770" operator="notEqual">
      <formula>0</formula>
    </cfRule>
  </conditionalFormatting>
  <conditionalFormatting sqref="S164">
    <cfRule type="cellIs" dxfId="4654" priority="2768" operator="equal">
      <formula>0</formula>
    </cfRule>
  </conditionalFormatting>
  <conditionalFormatting sqref="S165">
    <cfRule type="cellIs" dxfId="4653" priority="2766" operator="equal">
      <formula>0</formula>
    </cfRule>
    <cfRule type="cellIs" dxfId="4652" priority="2767" operator="notEqual">
      <formula>0</formula>
    </cfRule>
  </conditionalFormatting>
  <conditionalFormatting sqref="S168">
    <cfRule type="cellIs" dxfId="4651" priority="2765" operator="equal">
      <formula>0</formula>
    </cfRule>
  </conditionalFormatting>
  <conditionalFormatting sqref="S192">
    <cfRule type="cellIs" dxfId="4650" priority="2762" operator="equal">
      <formula>0</formula>
    </cfRule>
  </conditionalFormatting>
  <conditionalFormatting sqref="S196">
    <cfRule type="cellIs" dxfId="4649" priority="2759" operator="equal">
      <formula>0</formula>
    </cfRule>
  </conditionalFormatting>
  <conditionalFormatting sqref="S189">
    <cfRule type="cellIs" dxfId="4648" priority="2763" operator="equal">
      <formula>0</formula>
    </cfRule>
    <cfRule type="cellIs" dxfId="4647" priority="2764" operator="notEqual">
      <formula>0</formula>
    </cfRule>
  </conditionalFormatting>
  <conditionalFormatting sqref="S193">
    <cfRule type="cellIs" dxfId="4646" priority="2760" operator="equal">
      <formula>0</formula>
    </cfRule>
    <cfRule type="cellIs" dxfId="4645" priority="2761" operator="notEqual">
      <formula>0</formula>
    </cfRule>
  </conditionalFormatting>
  <conditionalFormatting sqref="S177">
    <cfRule type="cellIs" dxfId="4644" priority="2757" operator="equal">
      <formula>0</formula>
    </cfRule>
    <cfRule type="cellIs" dxfId="4643" priority="2758" operator="notEqual">
      <formula>0</formula>
    </cfRule>
  </conditionalFormatting>
  <conditionalFormatting sqref="S180">
    <cfRule type="cellIs" dxfId="4642" priority="2756" operator="equal">
      <formula>0</formula>
    </cfRule>
  </conditionalFormatting>
  <conditionalFormatting sqref="D150:D151">
    <cfRule type="cellIs" dxfId="4641" priority="2754" operator="equal">
      <formula>0</formula>
    </cfRule>
    <cfRule type="cellIs" dxfId="4640" priority="2755" operator="notEqual">
      <formula>0</formula>
    </cfRule>
  </conditionalFormatting>
  <conditionalFormatting sqref="D154:D155 D158:D159 D166:D167 D186:D187 D190:D191 D194:D195">
    <cfRule type="cellIs" dxfId="4639" priority="2752" operator="equal">
      <formula>0</formula>
    </cfRule>
    <cfRule type="cellIs" dxfId="4638" priority="2753" operator="notEqual">
      <formula>0</formula>
    </cfRule>
  </conditionalFormatting>
  <conditionalFormatting sqref="D152 D156 D160 D168 D188 D192 D196 D212">
    <cfRule type="cellIs" dxfId="4637" priority="2751" operator="equal">
      <formula>0</formula>
    </cfRule>
  </conditionalFormatting>
  <conditionalFormatting sqref="D172">
    <cfRule type="cellIs" dxfId="4636" priority="2748" operator="equal">
      <formula>0</formula>
    </cfRule>
  </conditionalFormatting>
  <conditionalFormatting sqref="D164">
    <cfRule type="cellIs" dxfId="4635" priority="2745" operator="equal">
      <formula>0</formula>
    </cfRule>
  </conditionalFormatting>
  <conditionalFormatting sqref="D170:D171">
    <cfRule type="cellIs" dxfId="4634" priority="2749" operator="equal">
      <formula>0</formula>
    </cfRule>
    <cfRule type="cellIs" dxfId="4633" priority="2750" operator="notEqual">
      <formula>0</formula>
    </cfRule>
  </conditionalFormatting>
  <conditionalFormatting sqref="D184">
    <cfRule type="cellIs" dxfId="4632" priority="2742" operator="equal">
      <formula>0</formula>
    </cfRule>
  </conditionalFormatting>
  <conditionalFormatting sqref="D162:D163">
    <cfRule type="cellIs" dxfId="4631" priority="2746" operator="equal">
      <formula>0</formula>
    </cfRule>
    <cfRule type="cellIs" dxfId="4630" priority="2747" operator="notEqual">
      <formula>0</formula>
    </cfRule>
  </conditionalFormatting>
  <conditionalFormatting sqref="D176">
    <cfRule type="cellIs" dxfId="4629" priority="2739" operator="equal">
      <formula>0</formula>
    </cfRule>
  </conditionalFormatting>
  <conditionalFormatting sqref="D182:D183">
    <cfRule type="cellIs" dxfId="4628" priority="2743" operator="equal">
      <formula>0</formula>
    </cfRule>
    <cfRule type="cellIs" dxfId="4627" priority="2744" operator="notEqual">
      <formula>0</formula>
    </cfRule>
  </conditionalFormatting>
  <conditionalFormatting sqref="D174:D175">
    <cfRule type="cellIs" dxfId="4626" priority="2740" operator="equal">
      <formula>0</formula>
    </cfRule>
    <cfRule type="cellIs" dxfId="4625" priority="2741" operator="notEqual">
      <formula>0</formula>
    </cfRule>
  </conditionalFormatting>
  <conditionalFormatting sqref="D180">
    <cfRule type="cellIs" dxfId="4624" priority="2736" operator="equal">
      <formula>0</formula>
    </cfRule>
  </conditionalFormatting>
  <conditionalFormatting sqref="D178:D179">
    <cfRule type="cellIs" dxfId="4623" priority="2737" operator="equal">
      <formula>0</formula>
    </cfRule>
    <cfRule type="cellIs" dxfId="4622" priority="2738" operator="notEqual">
      <formula>0</formula>
    </cfRule>
  </conditionalFormatting>
  <conditionalFormatting sqref="E150:E151">
    <cfRule type="cellIs" dxfId="4621" priority="2734" operator="equal">
      <formula>0</formula>
    </cfRule>
    <cfRule type="cellIs" dxfId="4620" priority="2735" operator="notEqual">
      <formula>0</formula>
    </cfRule>
  </conditionalFormatting>
  <conditionalFormatting sqref="E154:E155 E158:E159 E166:E167 E186:E187 E190:E191 E194:E195">
    <cfRule type="cellIs" dxfId="4619" priority="2732" operator="equal">
      <formula>0</formula>
    </cfRule>
    <cfRule type="cellIs" dxfId="4618" priority="2733" operator="notEqual">
      <formula>0</formula>
    </cfRule>
  </conditionalFormatting>
  <conditionalFormatting sqref="E152 E156 E160 E168 E188 E192 E196 E212">
    <cfRule type="cellIs" dxfId="4617" priority="2731" operator="equal">
      <formula>0</formula>
    </cfRule>
  </conditionalFormatting>
  <conditionalFormatting sqref="E172">
    <cfRule type="cellIs" dxfId="4616" priority="2728" operator="equal">
      <formula>0</formula>
    </cfRule>
  </conditionalFormatting>
  <conditionalFormatting sqref="E164">
    <cfRule type="cellIs" dxfId="4615" priority="2725" operator="equal">
      <formula>0</formula>
    </cfRule>
  </conditionalFormatting>
  <conditionalFormatting sqref="E170:E171">
    <cfRule type="cellIs" dxfId="4614" priority="2729" operator="equal">
      <formula>0</formula>
    </cfRule>
    <cfRule type="cellIs" dxfId="4613" priority="2730" operator="notEqual">
      <formula>0</formula>
    </cfRule>
  </conditionalFormatting>
  <conditionalFormatting sqref="E184">
    <cfRule type="cellIs" dxfId="4612" priority="2722" operator="equal">
      <formula>0</formula>
    </cfRule>
  </conditionalFormatting>
  <conditionalFormatting sqref="E162:E163">
    <cfRule type="cellIs" dxfId="4611" priority="2726" operator="equal">
      <formula>0</formula>
    </cfRule>
    <cfRule type="cellIs" dxfId="4610" priority="2727" operator="notEqual">
      <formula>0</formula>
    </cfRule>
  </conditionalFormatting>
  <conditionalFormatting sqref="E176">
    <cfRule type="cellIs" dxfId="4609" priority="2719" operator="equal">
      <formula>0</formula>
    </cfRule>
  </conditionalFormatting>
  <conditionalFormatting sqref="E182:E183">
    <cfRule type="cellIs" dxfId="4608" priority="2723" operator="equal">
      <formula>0</formula>
    </cfRule>
    <cfRule type="cellIs" dxfId="4607" priority="2724" operator="notEqual">
      <formula>0</formula>
    </cfRule>
  </conditionalFormatting>
  <conditionalFormatting sqref="E174:E175">
    <cfRule type="cellIs" dxfId="4606" priority="2720" operator="equal">
      <formula>0</formula>
    </cfRule>
    <cfRule type="cellIs" dxfId="4605" priority="2721" operator="notEqual">
      <formula>0</formula>
    </cfRule>
  </conditionalFormatting>
  <conditionalFormatting sqref="E180">
    <cfRule type="cellIs" dxfId="4604" priority="2716" operator="equal">
      <formula>0</formula>
    </cfRule>
  </conditionalFormatting>
  <conditionalFormatting sqref="E178:E179">
    <cfRule type="cellIs" dxfId="4603" priority="2717" operator="equal">
      <formula>0</formula>
    </cfRule>
    <cfRule type="cellIs" dxfId="4602" priority="2718" operator="notEqual">
      <formula>0</formula>
    </cfRule>
  </conditionalFormatting>
  <conditionalFormatting sqref="F150:F151">
    <cfRule type="cellIs" dxfId="4601" priority="2714" operator="equal">
      <formula>0</formula>
    </cfRule>
    <cfRule type="cellIs" dxfId="4600" priority="2715" operator="notEqual">
      <formula>0</formula>
    </cfRule>
  </conditionalFormatting>
  <conditionalFormatting sqref="F154:F155 F158:F159 F166:F167 F186:F187 F190:F191 F194:F195">
    <cfRule type="cellIs" dxfId="4599" priority="2712" operator="equal">
      <formula>0</formula>
    </cfRule>
    <cfRule type="cellIs" dxfId="4598" priority="2713" operator="notEqual">
      <formula>0</formula>
    </cfRule>
  </conditionalFormatting>
  <conditionalFormatting sqref="F152 F156 F160 F168 F188 F192 F196 F212">
    <cfRule type="cellIs" dxfId="4597" priority="2711" operator="equal">
      <formula>0</formula>
    </cfRule>
  </conditionalFormatting>
  <conditionalFormatting sqref="F172">
    <cfRule type="cellIs" dxfId="4596" priority="2708" operator="equal">
      <formula>0</formula>
    </cfRule>
  </conditionalFormatting>
  <conditionalFormatting sqref="F164">
    <cfRule type="cellIs" dxfId="4595" priority="2705" operator="equal">
      <formula>0</formula>
    </cfRule>
  </conditionalFormatting>
  <conditionalFormatting sqref="F170:F171">
    <cfRule type="cellIs" dxfId="4594" priority="2709" operator="equal">
      <formula>0</formula>
    </cfRule>
    <cfRule type="cellIs" dxfId="4593" priority="2710" operator="notEqual">
      <formula>0</formula>
    </cfRule>
  </conditionalFormatting>
  <conditionalFormatting sqref="F184">
    <cfRule type="cellIs" dxfId="4592" priority="2702" operator="equal">
      <formula>0</formula>
    </cfRule>
  </conditionalFormatting>
  <conditionalFormatting sqref="F162:F163">
    <cfRule type="cellIs" dxfId="4591" priority="2706" operator="equal">
      <formula>0</formula>
    </cfRule>
    <cfRule type="cellIs" dxfId="4590" priority="2707" operator="notEqual">
      <formula>0</formula>
    </cfRule>
  </conditionalFormatting>
  <conditionalFormatting sqref="F176">
    <cfRule type="cellIs" dxfId="4589" priority="2699" operator="equal">
      <formula>0</formula>
    </cfRule>
  </conditionalFormatting>
  <conditionalFormatting sqref="F182:F183">
    <cfRule type="cellIs" dxfId="4588" priority="2703" operator="equal">
      <formula>0</formula>
    </cfRule>
    <cfRule type="cellIs" dxfId="4587" priority="2704" operator="notEqual">
      <formula>0</formula>
    </cfRule>
  </conditionalFormatting>
  <conditionalFormatting sqref="F174:F175">
    <cfRule type="cellIs" dxfId="4586" priority="2700" operator="equal">
      <formula>0</formula>
    </cfRule>
    <cfRule type="cellIs" dxfId="4585" priority="2701" operator="notEqual">
      <formula>0</formula>
    </cfRule>
  </conditionalFormatting>
  <conditionalFormatting sqref="F180">
    <cfRule type="cellIs" dxfId="4584" priority="2696" operator="equal">
      <formula>0</formula>
    </cfRule>
  </conditionalFormatting>
  <conditionalFormatting sqref="F178:F179">
    <cfRule type="cellIs" dxfId="4583" priority="2697" operator="equal">
      <formula>0</formula>
    </cfRule>
    <cfRule type="cellIs" dxfId="4582" priority="2698" operator="notEqual">
      <formula>0</formula>
    </cfRule>
  </conditionalFormatting>
  <conditionalFormatting sqref="G150:G151">
    <cfRule type="cellIs" dxfId="4581" priority="2694" operator="equal">
      <formula>0</formula>
    </cfRule>
    <cfRule type="cellIs" dxfId="4580" priority="2695" operator="notEqual">
      <formula>0</formula>
    </cfRule>
  </conditionalFormatting>
  <conditionalFormatting sqref="G154:G155 G158:G159 G166:G167 G186:G187 G190:G191 G194:G195">
    <cfRule type="cellIs" dxfId="4579" priority="2692" operator="equal">
      <formula>0</formula>
    </cfRule>
    <cfRule type="cellIs" dxfId="4578" priority="2693" operator="notEqual">
      <formula>0</formula>
    </cfRule>
  </conditionalFormatting>
  <conditionalFormatting sqref="G152 G156 G160 G168 G188 G192 G196 G212">
    <cfRule type="cellIs" dxfId="4577" priority="2691" operator="equal">
      <formula>0</formula>
    </cfRule>
  </conditionalFormatting>
  <conditionalFormatting sqref="G172">
    <cfRule type="cellIs" dxfId="4576" priority="2688" operator="equal">
      <formula>0</formula>
    </cfRule>
  </conditionalFormatting>
  <conditionalFormatting sqref="G164">
    <cfRule type="cellIs" dxfId="4575" priority="2685" operator="equal">
      <formula>0</formula>
    </cfRule>
  </conditionalFormatting>
  <conditionalFormatting sqref="G170:G171">
    <cfRule type="cellIs" dxfId="4574" priority="2689" operator="equal">
      <formula>0</formula>
    </cfRule>
    <cfRule type="cellIs" dxfId="4573" priority="2690" operator="notEqual">
      <formula>0</formula>
    </cfRule>
  </conditionalFormatting>
  <conditionalFormatting sqref="G184">
    <cfRule type="cellIs" dxfId="4572" priority="2682" operator="equal">
      <formula>0</formula>
    </cfRule>
  </conditionalFormatting>
  <conditionalFormatting sqref="G162:G163">
    <cfRule type="cellIs" dxfId="4571" priority="2686" operator="equal">
      <formula>0</formula>
    </cfRule>
    <cfRule type="cellIs" dxfId="4570" priority="2687" operator="notEqual">
      <formula>0</formula>
    </cfRule>
  </conditionalFormatting>
  <conditionalFormatting sqref="G176">
    <cfRule type="cellIs" dxfId="4569" priority="2679" operator="equal">
      <formula>0</formula>
    </cfRule>
  </conditionalFormatting>
  <conditionalFormatting sqref="G182:G183">
    <cfRule type="cellIs" dxfId="4568" priority="2683" operator="equal">
      <formula>0</formula>
    </cfRule>
    <cfRule type="cellIs" dxfId="4567" priority="2684" operator="notEqual">
      <formula>0</formula>
    </cfRule>
  </conditionalFormatting>
  <conditionalFormatting sqref="G174:G175">
    <cfRule type="cellIs" dxfId="4566" priority="2680" operator="equal">
      <formula>0</formula>
    </cfRule>
    <cfRule type="cellIs" dxfId="4565" priority="2681" operator="notEqual">
      <formula>0</formula>
    </cfRule>
  </conditionalFormatting>
  <conditionalFormatting sqref="G180">
    <cfRule type="cellIs" dxfId="4564" priority="2676" operator="equal">
      <formula>0</formula>
    </cfRule>
  </conditionalFormatting>
  <conditionalFormatting sqref="G178:G179">
    <cfRule type="cellIs" dxfId="4563" priority="2677" operator="equal">
      <formula>0</formula>
    </cfRule>
    <cfRule type="cellIs" dxfId="4562" priority="2678" operator="notEqual">
      <formula>0</formula>
    </cfRule>
  </conditionalFormatting>
  <conditionalFormatting sqref="H150:H151">
    <cfRule type="cellIs" dxfId="4561" priority="2674" operator="equal">
      <formula>0</formula>
    </cfRule>
    <cfRule type="cellIs" dxfId="4560" priority="2675" operator="notEqual">
      <formula>0</formula>
    </cfRule>
  </conditionalFormatting>
  <conditionalFormatting sqref="H154:H155 H158:H159 H166:H167 H186:H187 H190:H191 H194:H195">
    <cfRule type="cellIs" dxfId="4559" priority="2672" operator="equal">
      <formula>0</formula>
    </cfRule>
    <cfRule type="cellIs" dxfId="4558" priority="2673" operator="notEqual">
      <formula>0</formula>
    </cfRule>
  </conditionalFormatting>
  <conditionalFormatting sqref="H152 H156 H160 H168 H188 H192 H196 H212">
    <cfRule type="cellIs" dxfId="4557" priority="2671" operator="equal">
      <formula>0</formula>
    </cfRule>
  </conditionalFormatting>
  <conditionalFormatting sqref="H172">
    <cfRule type="cellIs" dxfId="4556" priority="2668" operator="equal">
      <formula>0</formula>
    </cfRule>
  </conditionalFormatting>
  <conditionalFormatting sqref="H164">
    <cfRule type="cellIs" dxfId="4555" priority="2665" operator="equal">
      <formula>0</formula>
    </cfRule>
  </conditionalFormatting>
  <conditionalFormatting sqref="H170:H171">
    <cfRule type="cellIs" dxfId="4554" priority="2669" operator="equal">
      <formula>0</formula>
    </cfRule>
    <cfRule type="cellIs" dxfId="4553" priority="2670" operator="notEqual">
      <formula>0</formula>
    </cfRule>
  </conditionalFormatting>
  <conditionalFormatting sqref="H184">
    <cfRule type="cellIs" dxfId="4552" priority="2662" operator="equal">
      <formula>0</formula>
    </cfRule>
  </conditionalFormatting>
  <conditionalFormatting sqref="H162:H163">
    <cfRule type="cellIs" dxfId="4551" priority="2666" operator="equal">
      <formula>0</formula>
    </cfRule>
    <cfRule type="cellIs" dxfId="4550" priority="2667" operator="notEqual">
      <formula>0</formula>
    </cfRule>
  </conditionalFormatting>
  <conditionalFormatting sqref="H176">
    <cfRule type="cellIs" dxfId="4549" priority="2659" operator="equal">
      <formula>0</formula>
    </cfRule>
  </conditionalFormatting>
  <conditionalFormatting sqref="H182:H183">
    <cfRule type="cellIs" dxfId="4548" priority="2663" operator="equal">
      <formula>0</formula>
    </cfRule>
    <cfRule type="cellIs" dxfId="4547" priority="2664" operator="notEqual">
      <formula>0</formula>
    </cfRule>
  </conditionalFormatting>
  <conditionalFormatting sqref="H174:H175">
    <cfRule type="cellIs" dxfId="4546" priority="2660" operator="equal">
      <formula>0</formula>
    </cfRule>
    <cfRule type="cellIs" dxfId="4545" priority="2661" operator="notEqual">
      <formula>0</formula>
    </cfRule>
  </conditionalFormatting>
  <conditionalFormatting sqref="H180">
    <cfRule type="cellIs" dxfId="4544" priority="2656" operator="equal">
      <formula>0</formula>
    </cfRule>
  </conditionalFormatting>
  <conditionalFormatting sqref="H178:H179">
    <cfRule type="cellIs" dxfId="4543" priority="2657" operator="equal">
      <formula>0</formula>
    </cfRule>
    <cfRule type="cellIs" dxfId="4542" priority="2658" operator="notEqual">
      <formula>0</formula>
    </cfRule>
  </conditionalFormatting>
  <conditionalFormatting sqref="I150:I151">
    <cfRule type="cellIs" dxfId="4541" priority="2654" operator="equal">
      <formula>0</formula>
    </cfRule>
    <cfRule type="cellIs" dxfId="4540" priority="2655" operator="notEqual">
      <formula>0</formula>
    </cfRule>
  </conditionalFormatting>
  <conditionalFormatting sqref="I154:I155 I158:I159 I166:I167 I186:I187 I190:I191 I194:I195">
    <cfRule type="cellIs" dxfId="4539" priority="2652" operator="equal">
      <formula>0</formula>
    </cfRule>
    <cfRule type="cellIs" dxfId="4538" priority="2653" operator="notEqual">
      <formula>0</formula>
    </cfRule>
  </conditionalFormatting>
  <conditionalFormatting sqref="I152 I156 I160 I168 I188 I192 I196 I212">
    <cfRule type="cellIs" dxfId="4537" priority="2651" operator="equal">
      <formula>0</formula>
    </cfRule>
  </conditionalFormatting>
  <conditionalFormatting sqref="I172">
    <cfRule type="cellIs" dxfId="4536" priority="2648" operator="equal">
      <formula>0</formula>
    </cfRule>
  </conditionalFormatting>
  <conditionalFormatting sqref="I164">
    <cfRule type="cellIs" dxfId="4535" priority="2645" operator="equal">
      <formula>0</formula>
    </cfRule>
  </conditionalFormatting>
  <conditionalFormatting sqref="I170:I171">
    <cfRule type="cellIs" dxfId="4534" priority="2649" operator="equal">
      <formula>0</formula>
    </cfRule>
    <cfRule type="cellIs" dxfId="4533" priority="2650" operator="notEqual">
      <formula>0</formula>
    </cfRule>
  </conditionalFormatting>
  <conditionalFormatting sqref="I184">
    <cfRule type="cellIs" dxfId="4532" priority="2642" operator="equal">
      <formula>0</formula>
    </cfRule>
  </conditionalFormatting>
  <conditionalFormatting sqref="I162:I163">
    <cfRule type="cellIs" dxfId="4531" priority="2646" operator="equal">
      <formula>0</formula>
    </cfRule>
    <cfRule type="cellIs" dxfId="4530" priority="2647" operator="notEqual">
      <formula>0</formula>
    </cfRule>
  </conditionalFormatting>
  <conditionalFormatting sqref="I176">
    <cfRule type="cellIs" dxfId="4529" priority="2639" operator="equal">
      <formula>0</formula>
    </cfRule>
  </conditionalFormatting>
  <conditionalFormatting sqref="I182:I183">
    <cfRule type="cellIs" dxfId="4528" priority="2643" operator="equal">
      <formula>0</formula>
    </cfRule>
    <cfRule type="cellIs" dxfId="4527" priority="2644" operator="notEqual">
      <formula>0</formula>
    </cfRule>
  </conditionalFormatting>
  <conditionalFormatting sqref="I174:I175">
    <cfRule type="cellIs" dxfId="4526" priority="2640" operator="equal">
      <formula>0</formula>
    </cfRule>
    <cfRule type="cellIs" dxfId="4525" priority="2641" operator="notEqual">
      <formula>0</formula>
    </cfRule>
  </conditionalFormatting>
  <conditionalFormatting sqref="I180">
    <cfRule type="cellIs" dxfId="4524" priority="2636" operator="equal">
      <formula>0</formula>
    </cfRule>
  </conditionalFormatting>
  <conditionalFormatting sqref="I178:I179">
    <cfRule type="cellIs" dxfId="4523" priority="2637" operator="equal">
      <formula>0</formula>
    </cfRule>
    <cfRule type="cellIs" dxfId="4522" priority="2638" operator="notEqual">
      <formula>0</formula>
    </cfRule>
  </conditionalFormatting>
  <conditionalFormatting sqref="J150:J151">
    <cfRule type="cellIs" dxfId="4521" priority="2634" operator="equal">
      <formula>0</formula>
    </cfRule>
    <cfRule type="cellIs" dxfId="4520" priority="2635" operator="notEqual">
      <formula>0</formula>
    </cfRule>
  </conditionalFormatting>
  <conditionalFormatting sqref="J154:J155 J158:J159 J166:J167 J186:J187 J190:J191 J194:J195">
    <cfRule type="cellIs" dxfId="4519" priority="2632" operator="equal">
      <formula>0</formula>
    </cfRule>
    <cfRule type="cellIs" dxfId="4518" priority="2633" operator="notEqual">
      <formula>0</formula>
    </cfRule>
  </conditionalFormatting>
  <conditionalFormatting sqref="J152 J156 J160 J168 J188 J192 J196 J212">
    <cfRule type="cellIs" dxfId="4517" priority="2631" operator="equal">
      <formula>0</formula>
    </cfRule>
  </conditionalFormatting>
  <conditionalFormatting sqref="J172">
    <cfRule type="cellIs" dxfId="4516" priority="2628" operator="equal">
      <formula>0</formula>
    </cfRule>
  </conditionalFormatting>
  <conditionalFormatting sqref="J164">
    <cfRule type="cellIs" dxfId="4515" priority="2625" operator="equal">
      <formula>0</formula>
    </cfRule>
  </conditionalFormatting>
  <conditionalFormatting sqref="J170:J171">
    <cfRule type="cellIs" dxfId="4514" priority="2629" operator="equal">
      <formula>0</formula>
    </cfRule>
    <cfRule type="cellIs" dxfId="4513" priority="2630" operator="notEqual">
      <formula>0</formula>
    </cfRule>
  </conditionalFormatting>
  <conditionalFormatting sqref="J184">
    <cfRule type="cellIs" dxfId="4512" priority="2622" operator="equal">
      <formula>0</formula>
    </cfRule>
  </conditionalFormatting>
  <conditionalFormatting sqref="J162:J163">
    <cfRule type="cellIs" dxfId="4511" priority="2626" operator="equal">
      <formula>0</formula>
    </cfRule>
    <cfRule type="cellIs" dxfId="4510" priority="2627" operator="notEqual">
      <formula>0</formula>
    </cfRule>
  </conditionalFormatting>
  <conditionalFormatting sqref="J176">
    <cfRule type="cellIs" dxfId="4509" priority="2619" operator="equal">
      <formula>0</formula>
    </cfRule>
  </conditionalFormatting>
  <conditionalFormatting sqref="J182:J183">
    <cfRule type="cellIs" dxfId="4508" priority="2623" operator="equal">
      <formula>0</formula>
    </cfRule>
    <cfRule type="cellIs" dxfId="4507" priority="2624" operator="notEqual">
      <formula>0</formula>
    </cfRule>
  </conditionalFormatting>
  <conditionalFormatting sqref="J174:J175">
    <cfRule type="cellIs" dxfId="4506" priority="2620" operator="equal">
      <formula>0</formula>
    </cfRule>
    <cfRule type="cellIs" dxfId="4505" priority="2621" operator="notEqual">
      <formula>0</formula>
    </cfRule>
  </conditionalFormatting>
  <conditionalFormatting sqref="J180">
    <cfRule type="cellIs" dxfId="4504" priority="2616" operator="equal">
      <formula>0</formula>
    </cfRule>
  </conditionalFormatting>
  <conditionalFormatting sqref="J178:J179">
    <cfRule type="cellIs" dxfId="4503" priority="2617" operator="equal">
      <formula>0</formula>
    </cfRule>
    <cfRule type="cellIs" dxfId="4502" priority="2618" operator="notEqual">
      <formula>0</formula>
    </cfRule>
  </conditionalFormatting>
  <conditionalFormatting sqref="K150:K151">
    <cfRule type="cellIs" dxfId="4501" priority="2614" operator="equal">
      <formula>0</formula>
    </cfRule>
    <cfRule type="cellIs" dxfId="4500" priority="2615" operator="notEqual">
      <formula>0</formula>
    </cfRule>
  </conditionalFormatting>
  <conditionalFormatting sqref="K154:K155 K158:K159 K166:K167 K186:K187 K190:K191 K194:K195">
    <cfRule type="cellIs" dxfId="4499" priority="2612" operator="equal">
      <formula>0</formula>
    </cfRule>
    <cfRule type="cellIs" dxfId="4498" priority="2613" operator="notEqual">
      <formula>0</formula>
    </cfRule>
  </conditionalFormatting>
  <conditionalFormatting sqref="K152 K156 K160 K168 K188 K192 K196 K212">
    <cfRule type="cellIs" dxfId="4497" priority="2611" operator="equal">
      <formula>0</formula>
    </cfRule>
  </conditionalFormatting>
  <conditionalFormatting sqref="K172">
    <cfRule type="cellIs" dxfId="4496" priority="2608" operator="equal">
      <formula>0</formula>
    </cfRule>
  </conditionalFormatting>
  <conditionalFormatting sqref="K164">
    <cfRule type="cellIs" dxfId="4495" priority="2605" operator="equal">
      <formula>0</formula>
    </cfRule>
  </conditionalFormatting>
  <conditionalFormatting sqref="K170:K171">
    <cfRule type="cellIs" dxfId="4494" priority="2609" operator="equal">
      <formula>0</formula>
    </cfRule>
    <cfRule type="cellIs" dxfId="4493" priority="2610" operator="notEqual">
      <formula>0</formula>
    </cfRule>
  </conditionalFormatting>
  <conditionalFormatting sqref="K184">
    <cfRule type="cellIs" dxfId="4492" priority="2602" operator="equal">
      <formula>0</formula>
    </cfRule>
  </conditionalFormatting>
  <conditionalFormatting sqref="K162:K163">
    <cfRule type="cellIs" dxfId="4491" priority="2606" operator="equal">
      <formula>0</formula>
    </cfRule>
    <cfRule type="cellIs" dxfId="4490" priority="2607" operator="notEqual">
      <formula>0</formula>
    </cfRule>
  </conditionalFormatting>
  <conditionalFormatting sqref="K176">
    <cfRule type="cellIs" dxfId="4489" priority="2599" operator="equal">
      <formula>0</formula>
    </cfRule>
  </conditionalFormatting>
  <conditionalFormatting sqref="K182:K183">
    <cfRule type="cellIs" dxfId="4488" priority="2603" operator="equal">
      <formula>0</formula>
    </cfRule>
    <cfRule type="cellIs" dxfId="4487" priority="2604" operator="notEqual">
      <formula>0</formula>
    </cfRule>
  </conditionalFormatting>
  <conditionalFormatting sqref="K174:K175">
    <cfRule type="cellIs" dxfId="4486" priority="2600" operator="equal">
      <formula>0</formula>
    </cfRule>
    <cfRule type="cellIs" dxfId="4485" priority="2601" operator="notEqual">
      <formula>0</formula>
    </cfRule>
  </conditionalFormatting>
  <conditionalFormatting sqref="K180">
    <cfRule type="cellIs" dxfId="4484" priority="2596" operator="equal">
      <formula>0</formula>
    </cfRule>
  </conditionalFormatting>
  <conditionalFormatting sqref="K178:K179">
    <cfRule type="cellIs" dxfId="4483" priority="2597" operator="equal">
      <formula>0</formula>
    </cfRule>
    <cfRule type="cellIs" dxfId="4482" priority="2598" operator="notEqual">
      <formula>0</formula>
    </cfRule>
  </conditionalFormatting>
  <conditionalFormatting sqref="L152 L156 L160 L168 L188 L192 L196 L212">
    <cfRule type="cellIs" dxfId="4481" priority="2595" operator="equal">
      <formula>0</formula>
    </cfRule>
  </conditionalFormatting>
  <conditionalFormatting sqref="L172">
    <cfRule type="cellIs" dxfId="4480" priority="2594" operator="equal">
      <formula>0</formula>
    </cfRule>
  </conditionalFormatting>
  <conditionalFormatting sqref="L164">
    <cfRule type="cellIs" dxfId="4479" priority="2593" operator="equal">
      <formula>0</formula>
    </cfRule>
  </conditionalFormatting>
  <conditionalFormatting sqref="L184">
    <cfRule type="cellIs" dxfId="4478" priority="2592" operator="equal">
      <formula>0</formula>
    </cfRule>
  </conditionalFormatting>
  <conditionalFormatting sqref="L176">
    <cfRule type="cellIs" dxfId="4477" priority="2591" operator="equal">
      <formula>0</formula>
    </cfRule>
  </conditionalFormatting>
  <conditionalFormatting sqref="L180">
    <cfRule type="cellIs" dxfId="4476" priority="2590" operator="equal">
      <formula>0</formula>
    </cfRule>
  </conditionalFormatting>
  <conditionalFormatting sqref="M152 M156 M160 M168 M188 M192 M196 M212">
    <cfRule type="cellIs" dxfId="4475" priority="2589" operator="equal">
      <formula>0</formula>
    </cfRule>
  </conditionalFormatting>
  <conditionalFormatting sqref="M172">
    <cfRule type="cellIs" dxfId="4474" priority="2588" operator="equal">
      <formula>0</formula>
    </cfRule>
  </conditionalFormatting>
  <conditionalFormatting sqref="M164">
    <cfRule type="cellIs" dxfId="4473" priority="2587" operator="equal">
      <formula>0</formula>
    </cfRule>
  </conditionalFormatting>
  <conditionalFormatting sqref="M184">
    <cfRule type="cellIs" dxfId="4472" priority="2586" operator="equal">
      <formula>0</formula>
    </cfRule>
  </conditionalFormatting>
  <conditionalFormatting sqref="M176">
    <cfRule type="cellIs" dxfId="4471" priority="2585" operator="equal">
      <formula>0</formula>
    </cfRule>
  </conditionalFormatting>
  <conditionalFormatting sqref="M180">
    <cfRule type="cellIs" dxfId="4470" priority="2584" operator="equal">
      <formula>0</formula>
    </cfRule>
  </conditionalFormatting>
  <conditionalFormatting sqref="N152 N156 N160 N168 N188 N192 N196 N212">
    <cfRule type="cellIs" dxfId="4469" priority="2583" operator="equal">
      <formula>0</formula>
    </cfRule>
  </conditionalFormatting>
  <conditionalFormatting sqref="N172">
    <cfRule type="cellIs" dxfId="4468" priority="2582" operator="equal">
      <formula>0</formula>
    </cfRule>
  </conditionalFormatting>
  <conditionalFormatting sqref="N164">
    <cfRule type="cellIs" dxfId="4467" priority="2581" operator="equal">
      <formula>0</formula>
    </cfRule>
  </conditionalFormatting>
  <conditionalFormatting sqref="N184">
    <cfRule type="cellIs" dxfId="4466" priority="2580" operator="equal">
      <formula>0</formula>
    </cfRule>
  </conditionalFormatting>
  <conditionalFormatting sqref="N176">
    <cfRule type="cellIs" dxfId="4465" priority="2579" operator="equal">
      <formula>0</formula>
    </cfRule>
  </conditionalFormatting>
  <conditionalFormatting sqref="N180">
    <cfRule type="cellIs" dxfId="4464" priority="2578" operator="equal">
      <formula>0</formula>
    </cfRule>
  </conditionalFormatting>
  <conditionalFormatting sqref="O152 O156 O160 O168 O188 O192 O196 O212">
    <cfRule type="cellIs" dxfId="4463" priority="2577" operator="equal">
      <formula>0</formula>
    </cfRule>
  </conditionalFormatting>
  <conditionalFormatting sqref="O172">
    <cfRule type="cellIs" dxfId="4462" priority="2576" operator="equal">
      <formula>0</formula>
    </cfRule>
  </conditionalFormatting>
  <conditionalFormatting sqref="O164">
    <cfRule type="cellIs" dxfId="4461" priority="2575" operator="equal">
      <formula>0</formula>
    </cfRule>
  </conditionalFormatting>
  <conditionalFormatting sqref="O184">
    <cfRule type="cellIs" dxfId="4460" priority="2574" operator="equal">
      <formula>0</formula>
    </cfRule>
  </conditionalFormatting>
  <conditionalFormatting sqref="O176">
    <cfRule type="cellIs" dxfId="4459" priority="2573" operator="equal">
      <formula>0</formula>
    </cfRule>
  </conditionalFormatting>
  <conditionalFormatting sqref="O180">
    <cfRule type="cellIs" dxfId="4458" priority="2572" operator="equal">
      <formula>0</formula>
    </cfRule>
  </conditionalFormatting>
  <conditionalFormatting sqref="P80">
    <cfRule type="cellIs" dxfId="4457" priority="2570" operator="equal">
      <formula>0</formula>
    </cfRule>
    <cfRule type="cellIs" dxfId="4456" priority="2571" operator="notEqual">
      <formula>0</formula>
    </cfRule>
  </conditionalFormatting>
  <conditionalFormatting sqref="P100 P104 P112 P116">
    <cfRule type="cellIs" dxfId="4455" priority="2568" operator="equal">
      <formula>0</formula>
    </cfRule>
    <cfRule type="cellIs" dxfId="4454" priority="2569" operator="notEqual">
      <formula>0</formula>
    </cfRule>
  </conditionalFormatting>
  <conditionalFormatting sqref="P83 P103 P107 P115 P119">
    <cfRule type="cellIs" dxfId="4453" priority="2567" operator="equal">
      <formula>0</formula>
    </cfRule>
  </conditionalFormatting>
  <conditionalFormatting sqref="P84">
    <cfRule type="cellIs" dxfId="4452" priority="2565" operator="equal">
      <formula>0</formula>
    </cfRule>
    <cfRule type="cellIs" dxfId="4451" priority="2566" operator="notEqual">
      <formula>0</formula>
    </cfRule>
  </conditionalFormatting>
  <conditionalFormatting sqref="P87">
    <cfRule type="cellIs" dxfId="4450" priority="2564" operator="equal">
      <formula>0</formula>
    </cfRule>
  </conditionalFormatting>
  <conditionalFormatting sqref="P88">
    <cfRule type="cellIs" dxfId="4449" priority="2562" operator="equal">
      <formula>0</formula>
    </cfRule>
    <cfRule type="cellIs" dxfId="4448" priority="2563" operator="notEqual">
      <formula>0</formula>
    </cfRule>
  </conditionalFormatting>
  <conditionalFormatting sqref="P91">
    <cfRule type="cellIs" dxfId="4447" priority="2561" operator="equal">
      <formula>0</formula>
    </cfRule>
  </conditionalFormatting>
  <conditionalFormatting sqref="P92">
    <cfRule type="cellIs" dxfId="4446" priority="2559" operator="equal">
      <formula>0</formula>
    </cfRule>
    <cfRule type="cellIs" dxfId="4445" priority="2560" operator="notEqual">
      <formula>0</formula>
    </cfRule>
  </conditionalFormatting>
  <conditionalFormatting sqref="P95">
    <cfRule type="cellIs" dxfId="4444" priority="2558" operator="equal">
      <formula>0</formula>
    </cfRule>
  </conditionalFormatting>
  <conditionalFormatting sqref="P96">
    <cfRule type="cellIs" dxfId="4443" priority="2556" operator="equal">
      <formula>0</formula>
    </cfRule>
    <cfRule type="cellIs" dxfId="4442" priority="2557" operator="notEqual">
      <formula>0</formula>
    </cfRule>
  </conditionalFormatting>
  <conditionalFormatting sqref="P99">
    <cfRule type="cellIs" dxfId="4441" priority="2555" operator="equal">
      <formula>0</formula>
    </cfRule>
  </conditionalFormatting>
  <conditionalFormatting sqref="P123">
    <cfRule type="cellIs" dxfId="4440" priority="2552" operator="equal">
      <formula>0</formula>
    </cfRule>
  </conditionalFormatting>
  <conditionalFormatting sqref="P127">
    <cfRule type="cellIs" dxfId="4439" priority="2549" operator="equal">
      <formula>0</formula>
    </cfRule>
  </conditionalFormatting>
  <conditionalFormatting sqref="P120">
    <cfRule type="cellIs" dxfId="4438" priority="2553" operator="equal">
      <formula>0</formula>
    </cfRule>
    <cfRule type="cellIs" dxfId="4437" priority="2554" operator="notEqual">
      <formula>0</formula>
    </cfRule>
  </conditionalFormatting>
  <conditionalFormatting sqref="P124">
    <cfRule type="cellIs" dxfId="4436" priority="2550" operator="equal">
      <formula>0</formula>
    </cfRule>
    <cfRule type="cellIs" dxfId="4435" priority="2551" operator="notEqual">
      <formula>0</formula>
    </cfRule>
  </conditionalFormatting>
  <conditionalFormatting sqref="P108">
    <cfRule type="cellIs" dxfId="4434" priority="2547" operator="equal">
      <formula>0</formula>
    </cfRule>
    <cfRule type="cellIs" dxfId="4433" priority="2548" operator="notEqual">
      <formula>0</formula>
    </cfRule>
  </conditionalFormatting>
  <conditionalFormatting sqref="P111">
    <cfRule type="cellIs" dxfId="4432" priority="2546" operator="equal">
      <formula>0</formula>
    </cfRule>
  </conditionalFormatting>
  <conditionalFormatting sqref="Q80">
    <cfRule type="cellIs" dxfId="4431" priority="2544" operator="equal">
      <formula>0</formula>
    </cfRule>
    <cfRule type="cellIs" dxfId="4430" priority="2545" operator="notEqual">
      <formula>0</formula>
    </cfRule>
  </conditionalFormatting>
  <conditionalFormatting sqref="Q100 Q104 Q112 Q116">
    <cfRule type="cellIs" dxfId="4429" priority="2542" operator="equal">
      <formula>0</formula>
    </cfRule>
    <cfRule type="cellIs" dxfId="4428" priority="2543" operator="notEqual">
      <formula>0</formula>
    </cfRule>
  </conditionalFormatting>
  <conditionalFormatting sqref="Q83 Q103 Q107 Q115 Q119">
    <cfRule type="cellIs" dxfId="4427" priority="2541" operator="equal">
      <formula>0</formula>
    </cfRule>
  </conditionalFormatting>
  <conditionalFormatting sqref="Q84">
    <cfRule type="cellIs" dxfId="4426" priority="2539" operator="equal">
      <formula>0</formula>
    </cfRule>
    <cfRule type="cellIs" dxfId="4425" priority="2540" operator="notEqual">
      <formula>0</formula>
    </cfRule>
  </conditionalFormatting>
  <conditionalFormatting sqref="Q87">
    <cfRule type="cellIs" dxfId="4424" priority="2538" operator="equal">
      <formula>0</formula>
    </cfRule>
  </conditionalFormatting>
  <conditionalFormatting sqref="Q88">
    <cfRule type="cellIs" dxfId="4423" priority="2536" operator="equal">
      <formula>0</formula>
    </cfRule>
    <cfRule type="cellIs" dxfId="4422" priority="2537" operator="notEqual">
      <formula>0</formula>
    </cfRule>
  </conditionalFormatting>
  <conditionalFormatting sqref="Q91">
    <cfRule type="cellIs" dxfId="4421" priority="2535" operator="equal">
      <formula>0</formula>
    </cfRule>
  </conditionalFormatting>
  <conditionalFormatting sqref="Q92">
    <cfRule type="cellIs" dxfId="4420" priority="2533" operator="equal">
      <formula>0</formula>
    </cfRule>
    <cfRule type="cellIs" dxfId="4419" priority="2534" operator="notEqual">
      <formula>0</formula>
    </cfRule>
  </conditionalFormatting>
  <conditionalFormatting sqref="Q95">
    <cfRule type="cellIs" dxfId="4418" priority="2532" operator="equal">
      <formula>0</formula>
    </cfRule>
  </conditionalFormatting>
  <conditionalFormatting sqref="Q96">
    <cfRule type="cellIs" dxfId="4417" priority="2530" operator="equal">
      <formula>0</formula>
    </cfRule>
    <cfRule type="cellIs" dxfId="4416" priority="2531" operator="notEqual">
      <formula>0</formula>
    </cfRule>
  </conditionalFormatting>
  <conditionalFormatting sqref="Q99">
    <cfRule type="cellIs" dxfId="4415" priority="2529" operator="equal">
      <formula>0</formula>
    </cfRule>
  </conditionalFormatting>
  <conditionalFormatting sqref="Q123">
    <cfRule type="cellIs" dxfId="4414" priority="2526" operator="equal">
      <formula>0</formula>
    </cfRule>
  </conditionalFormatting>
  <conditionalFormatting sqref="Q127">
    <cfRule type="cellIs" dxfId="4413" priority="2523" operator="equal">
      <formula>0</formula>
    </cfRule>
  </conditionalFormatting>
  <conditionalFormatting sqref="Q120">
    <cfRule type="cellIs" dxfId="4412" priority="2527" operator="equal">
      <formula>0</formula>
    </cfRule>
    <cfRule type="cellIs" dxfId="4411" priority="2528" operator="notEqual">
      <formula>0</formula>
    </cfRule>
  </conditionalFormatting>
  <conditionalFormatting sqref="Q124">
    <cfRule type="cellIs" dxfId="4410" priority="2524" operator="equal">
      <formula>0</formula>
    </cfRule>
    <cfRule type="cellIs" dxfId="4409" priority="2525" operator="notEqual">
      <formula>0</formula>
    </cfRule>
  </conditionalFormatting>
  <conditionalFormatting sqref="Q108">
    <cfRule type="cellIs" dxfId="4408" priority="2521" operator="equal">
      <formula>0</formula>
    </cfRule>
    <cfRule type="cellIs" dxfId="4407" priority="2522" operator="notEqual">
      <formula>0</formula>
    </cfRule>
  </conditionalFormatting>
  <conditionalFormatting sqref="Q111">
    <cfRule type="cellIs" dxfId="4406" priority="2520" operator="equal">
      <formula>0</formula>
    </cfRule>
  </conditionalFormatting>
  <conditionalFormatting sqref="R80">
    <cfRule type="cellIs" dxfId="4405" priority="2518" operator="equal">
      <formula>0</formula>
    </cfRule>
    <cfRule type="cellIs" dxfId="4404" priority="2519" operator="notEqual">
      <formula>0</formula>
    </cfRule>
  </conditionalFormatting>
  <conditionalFormatting sqref="R100 R104 R112 R116">
    <cfRule type="cellIs" dxfId="4403" priority="2516" operator="equal">
      <formula>0</formula>
    </cfRule>
    <cfRule type="cellIs" dxfId="4402" priority="2517" operator="notEqual">
      <formula>0</formula>
    </cfRule>
  </conditionalFormatting>
  <conditionalFormatting sqref="R83 R103 R107 R115 R119">
    <cfRule type="cellIs" dxfId="4401" priority="2515" operator="equal">
      <formula>0</formula>
    </cfRule>
  </conditionalFormatting>
  <conditionalFormatting sqref="R84">
    <cfRule type="cellIs" dxfId="4400" priority="2513" operator="equal">
      <formula>0</formula>
    </cfRule>
    <cfRule type="cellIs" dxfId="4399" priority="2514" operator="notEqual">
      <formula>0</formula>
    </cfRule>
  </conditionalFormatting>
  <conditionalFormatting sqref="R87">
    <cfRule type="cellIs" dxfId="4398" priority="2512" operator="equal">
      <formula>0</formula>
    </cfRule>
  </conditionalFormatting>
  <conditionalFormatting sqref="R88">
    <cfRule type="cellIs" dxfId="4397" priority="2510" operator="equal">
      <formula>0</formula>
    </cfRule>
    <cfRule type="cellIs" dxfId="4396" priority="2511" operator="notEqual">
      <formula>0</formula>
    </cfRule>
  </conditionalFormatting>
  <conditionalFormatting sqref="R91">
    <cfRule type="cellIs" dxfId="4395" priority="2509" operator="equal">
      <formula>0</formula>
    </cfRule>
  </conditionalFormatting>
  <conditionalFormatting sqref="R92">
    <cfRule type="cellIs" dxfId="4394" priority="2507" operator="equal">
      <formula>0</formula>
    </cfRule>
    <cfRule type="cellIs" dxfId="4393" priority="2508" operator="notEqual">
      <formula>0</formula>
    </cfRule>
  </conditionalFormatting>
  <conditionalFormatting sqref="R95">
    <cfRule type="cellIs" dxfId="4392" priority="2506" operator="equal">
      <formula>0</formula>
    </cfRule>
  </conditionalFormatting>
  <conditionalFormatting sqref="R96">
    <cfRule type="cellIs" dxfId="4391" priority="2504" operator="equal">
      <formula>0</formula>
    </cfRule>
    <cfRule type="cellIs" dxfId="4390" priority="2505" operator="notEqual">
      <formula>0</formula>
    </cfRule>
  </conditionalFormatting>
  <conditionalFormatting sqref="R99">
    <cfRule type="cellIs" dxfId="4389" priority="2503" operator="equal">
      <formula>0</formula>
    </cfRule>
  </conditionalFormatting>
  <conditionalFormatting sqref="R123">
    <cfRule type="cellIs" dxfId="4388" priority="2500" operator="equal">
      <formula>0</formula>
    </cfRule>
  </conditionalFormatting>
  <conditionalFormatting sqref="R127">
    <cfRule type="cellIs" dxfId="4387" priority="2497" operator="equal">
      <formula>0</formula>
    </cfRule>
  </conditionalFormatting>
  <conditionalFormatting sqref="R120">
    <cfRule type="cellIs" dxfId="4386" priority="2501" operator="equal">
      <formula>0</formula>
    </cfRule>
    <cfRule type="cellIs" dxfId="4385" priority="2502" operator="notEqual">
      <formula>0</formula>
    </cfRule>
  </conditionalFormatting>
  <conditionalFormatting sqref="R124">
    <cfRule type="cellIs" dxfId="4384" priority="2498" operator="equal">
      <formula>0</formula>
    </cfRule>
    <cfRule type="cellIs" dxfId="4383" priority="2499" operator="notEqual">
      <formula>0</formula>
    </cfRule>
  </conditionalFormatting>
  <conditionalFormatting sqref="R108">
    <cfRule type="cellIs" dxfId="4382" priority="2495" operator="equal">
      <formula>0</formula>
    </cfRule>
    <cfRule type="cellIs" dxfId="4381" priority="2496" operator="notEqual">
      <formula>0</formula>
    </cfRule>
  </conditionalFormatting>
  <conditionalFormatting sqref="R111">
    <cfRule type="cellIs" dxfId="4380" priority="2494" operator="equal">
      <formula>0</formula>
    </cfRule>
  </conditionalFormatting>
  <conditionalFormatting sqref="S80">
    <cfRule type="cellIs" dxfId="4379" priority="2492" operator="equal">
      <formula>0</formula>
    </cfRule>
    <cfRule type="cellIs" dxfId="4378" priority="2493" operator="notEqual">
      <formula>0</formula>
    </cfRule>
  </conditionalFormatting>
  <conditionalFormatting sqref="S100 S104 S112 S116">
    <cfRule type="cellIs" dxfId="4377" priority="2490" operator="equal">
      <formula>0</formula>
    </cfRule>
    <cfRule type="cellIs" dxfId="4376" priority="2491" operator="notEqual">
      <formula>0</formula>
    </cfRule>
  </conditionalFormatting>
  <conditionalFormatting sqref="S83 S103 S107 S115 S119">
    <cfRule type="cellIs" dxfId="4375" priority="2489" operator="equal">
      <formula>0</formula>
    </cfRule>
  </conditionalFormatting>
  <conditionalFormatting sqref="S84">
    <cfRule type="cellIs" dxfId="4374" priority="2487" operator="equal">
      <formula>0</formula>
    </cfRule>
    <cfRule type="cellIs" dxfId="4373" priority="2488" operator="notEqual">
      <formula>0</formula>
    </cfRule>
  </conditionalFormatting>
  <conditionalFormatting sqref="S87">
    <cfRule type="cellIs" dxfId="4372" priority="2486" operator="equal">
      <formula>0</formula>
    </cfRule>
  </conditionalFormatting>
  <conditionalFormatting sqref="S88">
    <cfRule type="cellIs" dxfId="4371" priority="2484" operator="equal">
      <formula>0</formula>
    </cfRule>
    <cfRule type="cellIs" dxfId="4370" priority="2485" operator="notEqual">
      <formula>0</formula>
    </cfRule>
  </conditionalFormatting>
  <conditionalFormatting sqref="S91">
    <cfRule type="cellIs" dxfId="4369" priority="2483" operator="equal">
      <formula>0</formula>
    </cfRule>
  </conditionalFormatting>
  <conditionalFormatting sqref="S92">
    <cfRule type="cellIs" dxfId="4368" priority="2481" operator="equal">
      <formula>0</formula>
    </cfRule>
    <cfRule type="cellIs" dxfId="4367" priority="2482" operator="notEqual">
      <formula>0</formula>
    </cfRule>
  </conditionalFormatting>
  <conditionalFormatting sqref="S95">
    <cfRule type="cellIs" dxfId="4366" priority="2480" operator="equal">
      <formula>0</formula>
    </cfRule>
  </conditionalFormatting>
  <conditionalFormatting sqref="S96">
    <cfRule type="cellIs" dxfId="4365" priority="2478" operator="equal">
      <formula>0</formula>
    </cfRule>
    <cfRule type="cellIs" dxfId="4364" priority="2479" operator="notEqual">
      <formula>0</formula>
    </cfRule>
  </conditionalFormatting>
  <conditionalFormatting sqref="S99">
    <cfRule type="cellIs" dxfId="4363" priority="2477" operator="equal">
      <formula>0</formula>
    </cfRule>
  </conditionalFormatting>
  <conditionalFormatting sqref="S123">
    <cfRule type="cellIs" dxfId="4362" priority="2474" operator="equal">
      <formula>0</formula>
    </cfRule>
  </conditionalFormatting>
  <conditionalFormatting sqref="S127">
    <cfRule type="cellIs" dxfId="4361" priority="2471" operator="equal">
      <formula>0</formula>
    </cfRule>
  </conditionalFormatting>
  <conditionalFormatting sqref="S120">
    <cfRule type="cellIs" dxfId="4360" priority="2475" operator="equal">
      <formula>0</formula>
    </cfRule>
    <cfRule type="cellIs" dxfId="4359" priority="2476" operator="notEqual">
      <formula>0</formula>
    </cfRule>
  </conditionalFormatting>
  <conditionalFormatting sqref="S124">
    <cfRule type="cellIs" dxfId="4358" priority="2472" operator="equal">
      <formula>0</formula>
    </cfRule>
    <cfRule type="cellIs" dxfId="4357" priority="2473" operator="notEqual">
      <formula>0</formula>
    </cfRule>
  </conditionalFormatting>
  <conditionalFormatting sqref="S108">
    <cfRule type="cellIs" dxfId="4356" priority="2469" operator="equal">
      <formula>0</formula>
    </cfRule>
    <cfRule type="cellIs" dxfId="4355" priority="2470" operator="notEqual">
      <formula>0</formula>
    </cfRule>
  </conditionalFormatting>
  <conditionalFormatting sqref="S111">
    <cfRule type="cellIs" dxfId="4354" priority="2468" operator="equal">
      <formula>0</formula>
    </cfRule>
  </conditionalFormatting>
  <conditionalFormatting sqref="D81:D82">
    <cfRule type="cellIs" dxfId="4353" priority="2466" operator="equal">
      <formula>0</formula>
    </cfRule>
    <cfRule type="cellIs" dxfId="4352" priority="2467" operator="notEqual">
      <formula>0</formula>
    </cfRule>
  </conditionalFormatting>
  <conditionalFormatting sqref="D85:D86 D89:D90 D97:D98 D117:D118 D121:D122 D125:D126">
    <cfRule type="cellIs" dxfId="4351" priority="2464" operator="equal">
      <formula>0</formula>
    </cfRule>
    <cfRule type="cellIs" dxfId="4350" priority="2465" operator="notEqual">
      <formula>0</formula>
    </cfRule>
  </conditionalFormatting>
  <conditionalFormatting sqref="D83 D87 D91 D99 D119 D123 D127">
    <cfRule type="cellIs" dxfId="4349" priority="2463" operator="equal">
      <formula>0</formula>
    </cfRule>
  </conditionalFormatting>
  <conditionalFormatting sqref="D103">
    <cfRule type="cellIs" dxfId="4348" priority="2460" operator="equal">
      <formula>0</formula>
    </cfRule>
  </conditionalFormatting>
  <conditionalFormatting sqref="D95">
    <cfRule type="cellIs" dxfId="4347" priority="2457" operator="equal">
      <formula>0</formula>
    </cfRule>
  </conditionalFormatting>
  <conditionalFormatting sqref="D101:D102">
    <cfRule type="cellIs" dxfId="4346" priority="2461" operator="equal">
      <formula>0</formula>
    </cfRule>
    <cfRule type="cellIs" dxfId="4345" priority="2462" operator="notEqual">
      <formula>0</formula>
    </cfRule>
  </conditionalFormatting>
  <conditionalFormatting sqref="D115">
    <cfRule type="cellIs" dxfId="4344" priority="2454" operator="equal">
      <formula>0</formula>
    </cfRule>
  </conditionalFormatting>
  <conditionalFormatting sqref="D93:D94">
    <cfRule type="cellIs" dxfId="4343" priority="2458" operator="equal">
      <formula>0</formula>
    </cfRule>
    <cfRule type="cellIs" dxfId="4342" priority="2459" operator="notEqual">
      <formula>0</formula>
    </cfRule>
  </conditionalFormatting>
  <conditionalFormatting sqref="D107">
    <cfRule type="cellIs" dxfId="4341" priority="2451" operator="equal">
      <formula>0</formula>
    </cfRule>
  </conditionalFormatting>
  <conditionalFormatting sqref="D113:D114">
    <cfRule type="cellIs" dxfId="4340" priority="2455" operator="equal">
      <formula>0</formula>
    </cfRule>
    <cfRule type="cellIs" dxfId="4339" priority="2456" operator="notEqual">
      <formula>0</formula>
    </cfRule>
  </conditionalFormatting>
  <conditionalFormatting sqref="D105:D106">
    <cfRule type="cellIs" dxfId="4338" priority="2452" operator="equal">
      <formula>0</formula>
    </cfRule>
    <cfRule type="cellIs" dxfId="4337" priority="2453" operator="notEqual">
      <formula>0</formula>
    </cfRule>
  </conditionalFormatting>
  <conditionalFormatting sqref="D111">
    <cfRule type="cellIs" dxfId="4336" priority="2448" operator="equal">
      <formula>0</formula>
    </cfRule>
  </conditionalFormatting>
  <conditionalFormatting sqref="D109:D110">
    <cfRule type="cellIs" dxfId="4335" priority="2449" operator="equal">
      <formula>0</formula>
    </cfRule>
    <cfRule type="cellIs" dxfId="4334" priority="2450" operator="notEqual">
      <formula>0</formula>
    </cfRule>
  </conditionalFormatting>
  <conditionalFormatting sqref="E81:E82">
    <cfRule type="cellIs" dxfId="4333" priority="2446" operator="equal">
      <formula>0</formula>
    </cfRule>
    <cfRule type="cellIs" dxfId="4332" priority="2447" operator="notEqual">
      <formula>0</formula>
    </cfRule>
  </conditionalFormatting>
  <conditionalFormatting sqref="E85:E86 E89:E90 E97:E98 E117:E118 E121:E122 E125:E126">
    <cfRule type="cellIs" dxfId="4331" priority="2444" operator="equal">
      <formula>0</formula>
    </cfRule>
    <cfRule type="cellIs" dxfId="4330" priority="2445" operator="notEqual">
      <formula>0</formula>
    </cfRule>
  </conditionalFormatting>
  <conditionalFormatting sqref="E83 E87 E91 E99 E119 E123 E127">
    <cfRule type="cellIs" dxfId="4329" priority="2443" operator="equal">
      <formula>0</formula>
    </cfRule>
  </conditionalFormatting>
  <conditionalFormatting sqref="E103">
    <cfRule type="cellIs" dxfId="4328" priority="2440" operator="equal">
      <formula>0</formula>
    </cfRule>
  </conditionalFormatting>
  <conditionalFormatting sqref="E95">
    <cfRule type="cellIs" dxfId="4327" priority="2437" operator="equal">
      <formula>0</formula>
    </cfRule>
  </conditionalFormatting>
  <conditionalFormatting sqref="E101:E102">
    <cfRule type="cellIs" dxfId="4326" priority="2441" operator="equal">
      <formula>0</formula>
    </cfRule>
    <cfRule type="cellIs" dxfId="4325" priority="2442" operator="notEqual">
      <formula>0</formula>
    </cfRule>
  </conditionalFormatting>
  <conditionalFormatting sqref="E115">
    <cfRule type="cellIs" dxfId="4324" priority="2434" operator="equal">
      <formula>0</formula>
    </cfRule>
  </conditionalFormatting>
  <conditionalFormatting sqref="E93:E94">
    <cfRule type="cellIs" dxfId="4323" priority="2438" operator="equal">
      <formula>0</formula>
    </cfRule>
    <cfRule type="cellIs" dxfId="4322" priority="2439" operator="notEqual">
      <formula>0</formula>
    </cfRule>
  </conditionalFormatting>
  <conditionalFormatting sqref="E107">
    <cfRule type="cellIs" dxfId="4321" priority="2431" operator="equal">
      <formula>0</formula>
    </cfRule>
  </conditionalFormatting>
  <conditionalFormatting sqref="E113:E114">
    <cfRule type="cellIs" dxfId="4320" priority="2435" operator="equal">
      <formula>0</formula>
    </cfRule>
    <cfRule type="cellIs" dxfId="4319" priority="2436" operator="notEqual">
      <formula>0</formula>
    </cfRule>
  </conditionalFormatting>
  <conditionalFormatting sqref="E105:E106">
    <cfRule type="cellIs" dxfId="4318" priority="2432" operator="equal">
      <formula>0</formula>
    </cfRule>
    <cfRule type="cellIs" dxfId="4317" priority="2433" operator="notEqual">
      <formula>0</formula>
    </cfRule>
  </conditionalFormatting>
  <conditionalFormatting sqref="E111">
    <cfRule type="cellIs" dxfId="4316" priority="2428" operator="equal">
      <formula>0</formula>
    </cfRule>
  </conditionalFormatting>
  <conditionalFormatting sqref="E109:E110">
    <cfRule type="cellIs" dxfId="4315" priority="2429" operator="equal">
      <formula>0</formula>
    </cfRule>
    <cfRule type="cellIs" dxfId="4314" priority="2430" operator="notEqual">
      <formula>0</formula>
    </cfRule>
  </conditionalFormatting>
  <conditionalFormatting sqref="F81:F82">
    <cfRule type="cellIs" dxfId="4313" priority="2426" operator="equal">
      <formula>0</formula>
    </cfRule>
    <cfRule type="cellIs" dxfId="4312" priority="2427" operator="notEqual">
      <formula>0</formula>
    </cfRule>
  </conditionalFormatting>
  <conditionalFormatting sqref="F85:F86 F89:F90 F97:F98 F117:F118 F121:F122 F125:F126">
    <cfRule type="cellIs" dxfId="4311" priority="2424" operator="equal">
      <formula>0</formula>
    </cfRule>
    <cfRule type="cellIs" dxfId="4310" priority="2425" operator="notEqual">
      <formula>0</formula>
    </cfRule>
  </conditionalFormatting>
  <conditionalFormatting sqref="F83 F87 F91 F99 F119 F123 F127">
    <cfRule type="cellIs" dxfId="4309" priority="2423" operator="equal">
      <formula>0</formula>
    </cfRule>
  </conditionalFormatting>
  <conditionalFormatting sqref="F103">
    <cfRule type="cellIs" dxfId="4308" priority="2420" operator="equal">
      <formula>0</formula>
    </cfRule>
  </conditionalFormatting>
  <conditionalFormatting sqref="F95">
    <cfRule type="cellIs" dxfId="4307" priority="2417" operator="equal">
      <formula>0</formula>
    </cfRule>
  </conditionalFormatting>
  <conditionalFormatting sqref="F101:F102">
    <cfRule type="cellIs" dxfId="4306" priority="2421" operator="equal">
      <formula>0</formula>
    </cfRule>
    <cfRule type="cellIs" dxfId="4305" priority="2422" operator="notEqual">
      <formula>0</formula>
    </cfRule>
  </conditionalFormatting>
  <conditionalFormatting sqref="F115">
    <cfRule type="cellIs" dxfId="4304" priority="2414" operator="equal">
      <formula>0</formula>
    </cfRule>
  </conditionalFormatting>
  <conditionalFormatting sqref="F93:F94">
    <cfRule type="cellIs" dxfId="4303" priority="2418" operator="equal">
      <formula>0</formula>
    </cfRule>
    <cfRule type="cellIs" dxfId="4302" priority="2419" operator="notEqual">
      <formula>0</formula>
    </cfRule>
  </conditionalFormatting>
  <conditionalFormatting sqref="F107">
    <cfRule type="cellIs" dxfId="4301" priority="2411" operator="equal">
      <formula>0</formula>
    </cfRule>
  </conditionalFormatting>
  <conditionalFormatting sqref="F113:F114">
    <cfRule type="cellIs" dxfId="4300" priority="2415" operator="equal">
      <formula>0</formula>
    </cfRule>
    <cfRule type="cellIs" dxfId="4299" priority="2416" operator="notEqual">
      <formula>0</formula>
    </cfRule>
  </conditionalFormatting>
  <conditionalFormatting sqref="F105:F106">
    <cfRule type="cellIs" dxfId="4298" priority="2412" operator="equal">
      <formula>0</formula>
    </cfRule>
    <cfRule type="cellIs" dxfId="4297" priority="2413" operator="notEqual">
      <formula>0</formula>
    </cfRule>
  </conditionalFormatting>
  <conditionalFormatting sqref="F111">
    <cfRule type="cellIs" dxfId="4296" priority="2408" operator="equal">
      <formula>0</formula>
    </cfRule>
  </conditionalFormatting>
  <conditionalFormatting sqref="F109:F110">
    <cfRule type="cellIs" dxfId="4295" priority="2409" operator="equal">
      <formula>0</formula>
    </cfRule>
    <cfRule type="cellIs" dxfId="4294" priority="2410" operator="notEqual">
      <formula>0</formula>
    </cfRule>
  </conditionalFormatting>
  <conditionalFormatting sqref="G81:G82">
    <cfRule type="cellIs" dxfId="4293" priority="2406" operator="equal">
      <formula>0</formula>
    </cfRule>
    <cfRule type="cellIs" dxfId="4292" priority="2407" operator="notEqual">
      <formula>0</formula>
    </cfRule>
  </conditionalFormatting>
  <conditionalFormatting sqref="G85:G86 G89:G90 G97:G98 G117:G118 G121:G122 G125:G126">
    <cfRule type="cellIs" dxfId="4291" priority="2404" operator="equal">
      <formula>0</formula>
    </cfRule>
    <cfRule type="cellIs" dxfId="4290" priority="2405" operator="notEqual">
      <formula>0</formula>
    </cfRule>
  </conditionalFormatting>
  <conditionalFormatting sqref="G83 G87 G91 G99 G119 G123 G127">
    <cfRule type="cellIs" dxfId="4289" priority="2403" operator="equal">
      <formula>0</formula>
    </cfRule>
  </conditionalFormatting>
  <conditionalFormatting sqref="G103">
    <cfRule type="cellIs" dxfId="4288" priority="2400" operator="equal">
      <formula>0</formula>
    </cfRule>
  </conditionalFormatting>
  <conditionalFormatting sqref="G95">
    <cfRule type="cellIs" dxfId="4287" priority="2397" operator="equal">
      <formula>0</formula>
    </cfRule>
  </conditionalFormatting>
  <conditionalFormatting sqref="G101:G102">
    <cfRule type="cellIs" dxfId="4286" priority="2401" operator="equal">
      <formula>0</formula>
    </cfRule>
    <cfRule type="cellIs" dxfId="4285" priority="2402" operator="notEqual">
      <formula>0</formula>
    </cfRule>
  </conditionalFormatting>
  <conditionalFormatting sqref="G115">
    <cfRule type="cellIs" dxfId="4284" priority="2394" operator="equal">
      <formula>0</formula>
    </cfRule>
  </conditionalFormatting>
  <conditionalFormatting sqref="G93:G94">
    <cfRule type="cellIs" dxfId="4283" priority="2398" operator="equal">
      <formula>0</formula>
    </cfRule>
    <cfRule type="cellIs" dxfId="4282" priority="2399" operator="notEqual">
      <formula>0</formula>
    </cfRule>
  </conditionalFormatting>
  <conditionalFormatting sqref="G107">
    <cfRule type="cellIs" dxfId="4281" priority="2391" operator="equal">
      <formula>0</formula>
    </cfRule>
  </conditionalFormatting>
  <conditionalFormatting sqref="G113:G114">
    <cfRule type="cellIs" dxfId="4280" priority="2395" operator="equal">
      <formula>0</formula>
    </cfRule>
    <cfRule type="cellIs" dxfId="4279" priority="2396" operator="notEqual">
      <formula>0</formula>
    </cfRule>
  </conditionalFormatting>
  <conditionalFormatting sqref="G105:G106">
    <cfRule type="cellIs" dxfId="4278" priority="2392" operator="equal">
      <formula>0</formula>
    </cfRule>
    <cfRule type="cellIs" dxfId="4277" priority="2393" operator="notEqual">
      <formula>0</formula>
    </cfRule>
  </conditionalFormatting>
  <conditionalFormatting sqref="G111">
    <cfRule type="cellIs" dxfId="4276" priority="2388" operator="equal">
      <formula>0</formula>
    </cfRule>
  </conditionalFormatting>
  <conditionalFormatting sqref="G109:G110">
    <cfRule type="cellIs" dxfId="4275" priority="2389" operator="equal">
      <formula>0</formula>
    </cfRule>
    <cfRule type="cellIs" dxfId="4274" priority="2390" operator="notEqual">
      <formula>0</formula>
    </cfRule>
  </conditionalFormatting>
  <conditionalFormatting sqref="H81:H82">
    <cfRule type="cellIs" dxfId="4273" priority="2386" operator="equal">
      <formula>0</formula>
    </cfRule>
    <cfRule type="cellIs" dxfId="4272" priority="2387" operator="notEqual">
      <formula>0</formula>
    </cfRule>
  </conditionalFormatting>
  <conditionalFormatting sqref="H85:H86 H89:H90 H97:H98 H117:H118 H121:H122 H125:H126">
    <cfRule type="cellIs" dxfId="4271" priority="2384" operator="equal">
      <formula>0</formula>
    </cfRule>
    <cfRule type="cellIs" dxfId="4270" priority="2385" operator="notEqual">
      <formula>0</formula>
    </cfRule>
  </conditionalFormatting>
  <conditionalFormatting sqref="H83 H87 H91 H99 H119 H123 H127">
    <cfRule type="cellIs" dxfId="4269" priority="2383" operator="equal">
      <formula>0</formula>
    </cfRule>
  </conditionalFormatting>
  <conditionalFormatting sqref="H103">
    <cfRule type="cellIs" dxfId="4268" priority="2380" operator="equal">
      <formula>0</formula>
    </cfRule>
  </conditionalFormatting>
  <conditionalFormatting sqref="H95">
    <cfRule type="cellIs" dxfId="4267" priority="2377" operator="equal">
      <formula>0</formula>
    </cfRule>
  </conditionalFormatting>
  <conditionalFormatting sqref="H101:H102">
    <cfRule type="cellIs" dxfId="4266" priority="2381" operator="equal">
      <formula>0</formula>
    </cfRule>
    <cfRule type="cellIs" dxfId="4265" priority="2382" operator="notEqual">
      <formula>0</formula>
    </cfRule>
  </conditionalFormatting>
  <conditionalFormatting sqref="H115">
    <cfRule type="cellIs" dxfId="4264" priority="2374" operator="equal">
      <formula>0</formula>
    </cfRule>
  </conditionalFormatting>
  <conditionalFormatting sqref="H93:H94">
    <cfRule type="cellIs" dxfId="4263" priority="2378" operator="equal">
      <formula>0</formula>
    </cfRule>
    <cfRule type="cellIs" dxfId="4262" priority="2379" operator="notEqual">
      <formula>0</formula>
    </cfRule>
  </conditionalFormatting>
  <conditionalFormatting sqref="H107">
    <cfRule type="cellIs" dxfId="4261" priority="2371" operator="equal">
      <formula>0</formula>
    </cfRule>
  </conditionalFormatting>
  <conditionalFormatting sqref="H113:H114">
    <cfRule type="cellIs" dxfId="4260" priority="2375" operator="equal">
      <formula>0</formula>
    </cfRule>
    <cfRule type="cellIs" dxfId="4259" priority="2376" operator="notEqual">
      <formula>0</formula>
    </cfRule>
  </conditionalFormatting>
  <conditionalFormatting sqref="H105:H106">
    <cfRule type="cellIs" dxfId="4258" priority="2372" operator="equal">
      <formula>0</formula>
    </cfRule>
    <cfRule type="cellIs" dxfId="4257" priority="2373" operator="notEqual">
      <formula>0</formula>
    </cfRule>
  </conditionalFormatting>
  <conditionalFormatting sqref="H111">
    <cfRule type="cellIs" dxfId="4256" priority="2368" operator="equal">
      <formula>0</formula>
    </cfRule>
  </conditionalFormatting>
  <conditionalFormatting sqref="H109:H110">
    <cfRule type="cellIs" dxfId="4255" priority="2369" operator="equal">
      <formula>0</formula>
    </cfRule>
    <cfRule type="cellIs" dxfId="4254" priority="2370" operator="notEqual">
      <formula>0</formula>
    </cfRule>
  </conditionalFormatting>
  <conditionalFormatting sqref="I81:I82">
    <cfRule type="cellIs" dxfId="4253" priority="2366" operator="equal">
      <formula>0</formula>
    </cfRule>
    <cfRule type="cellIs" dxfId="4252" priority="2367" operator="notEqual">
      <formula>0</formula>
    </cfRule>
  </conditionalFormatting>
  <conditionalFormatting sqref="I85:I86 I89:I90 I97:I98 I117:I118 I121:I122 I125:I126">
    <cfRule type="cellIs" dxfId="4251" priority="2364" operator="equal">
      <formula>0</formula>
    </cfRule>
    <cfRule type="cellIs" dxfId="4250" priority="2365" operator="notEqual">
      <formula>0</formula>
    </cfRule>
  </conditionalFormatting>
  <conditionalFormatting sqref="I83 I87 I91 I99 I119 I123 I127">
    <cfRule type="cellIs" dxfId="4249" priority="2363" operator="equal">
      <formula>0</formula>
    </cfRule>
  </conditionalFormatting>
  <conditionalFormatting sqref="I103">
    <cfRule type="cellIs" dxfId="4248" priority="2360" operator="equal">
      <formula>0</formula>
    </cfRule>
  </conditionalFormatting>
  <conditionalFormatting sqref="I95">
    <cfRule type="cellIs" dxfId="4247" priority="2357" operator="equal">
      <formula>0</formula>
    </cfRule>
  </conditionalFormatting>
  <conditionalFormatting sqref="I101:I102">
    <cfRule type="cellIs" dxfId="4246" priority="2361" operator="equal">
      <formula>0</formula>
    </cfRule>
    <cfRule type="cellIs" dxfId="4245" priority="2362" operator="notEqual">
      <formula>0</formula>
    </cfRule>
  </conditionalFormatting>
  <conditionalFormatting sqref="I115">
    <cfRule type="cellIs" dxfId="4244" priority="2354" operator="equal">
      <formula>0</formula>
    </cfRule>
  </conditionalFormatting>
  <conditionalFormatting sqref="I93:I94">
    <cfRule type="cellIs" dxfId="4243" priority="2358" operator="equal">
      <formula>0</formula>
    </cfRule>
    <cfRule type="cellIs" dxfId="4242" priority="2359" operator="notEqual">
      <formula>0</formula>
    </cfRule>
  </conditionalFormatting>
  <conditionalFormatting sqref="I107">
    <cfRule type="cellIs" dxfId="4241" priority="2351" operator="equal">
      <formula>0</formula>
    </cfRule>
  </conditionalFormatting>
  <conditionalFormatting sqref="I113:I114">
    <cfRule type="cellIs" dxfId="4240" priority="2355" operator="equal">
      <formula>0</formula>
    </cfRule>
    <cfRule type="cellIs" dxfId="4239" priority="2356" operator="notEqual">
      <formula>0</formula>
    </cfRule>
  </conditionalFormatting>
  <conditionalFormatting sqref="I105:I106">
    <cfRule type="cellIs" dxfId="4238" priority="2352" operator="equal">
      <formula>0</formula>
    </cfRule>
    <cfRule type="cellIs" dxfId="4237" priority="2353" operator="notEqual">
      <formula>0</formula>
    </cfRule>
  </conditionalFormatting>
  <conditionalFormatting sqref="I111">
    <cfRule type="cellIs" dxfId="4236" priority="2348" operator="equal">
      <formula>0</formula>
    </cfRule>
  </conditionalFormatting>
  <conditionalFormatting sqref="I109:I110">
    <cfRule type="cellIs" dxfId="4235" priority="2349" operator="equal">
      <formula>0</formula>
    </cfRule>
    <cfRule type="cellIs" dxfId="4234" priority="2350" operator="notEqual">
      <formula>0</formula>
    </cfRule>
  </conditionalFormatting>
  <conditionalFormatting sqref="J81:J82">
    <cfRule type="cellIs" dxfId="4233" priority="2346" operator="equal">
      <formula>0</formula>
    </cfRule>
    <cfRule type="cellIs" dxfId="4232" priority="2347" operator="notEqual">
      <formula>0</formula>
    </cfRule>
  </conditionalFormatting>
  <conditionalFormatting sqref="J85:J86 J89:J90 J97:J98 J117:J118 J121:J122 J125:J126">
    <cfRule type="cellIs" dxfId="4231" priority="2344" operator="equal">
      <formula>0</formula>
    </cfRule>
    <cfRule type="cellIs" dxfId="4230" priority="2345" operator="notEqual">
      <formula>0</formula>
    </cfRule>
  </conditionalFormatting>
  <conditionalFormatting sqref="J83 J87 J91 J99 J119 J123 J127">
    <cfRule type="cellIs" dxfId="4229" priority="2343" operator="equal">
      <formula>0</formula>
    </cfRule>
  </conditionalFormatting>
  <conditionalFormatting sqref="J103">
    <cfRule type="cellIs" dxfId="4228" priority="2340" operator="equal">
      <formula>0</formula>
    </cfRule>
  </conditionalFormatting>
  <conditionalFormatting sqref="J95">
    <cfRule type="cellIs" dxfId="4227" priority="2337" operator="equal">
      <formula>0</formula>
    </cfRule>
  </conditionalFormatting>
  <conditionalFormatting sqref="J101:J102">
    <cfRule type="cellIs" dxfId="4226" priority="2341" operator="equal">
      <formula>0</formula>
    </cfRule>
    <cfRule type="cellIs" dxfId="4225" priority="2342" operator="notEqual">
      <formula>0</formula>
    </cfRule>
  </conditionalFormatting>
  <conditionalFormatting sqref="J115">
    <cfRule type="cellIs" dxfId="4224" priority="2334" operator="equal">
      <formula>0</formula>
    </cfRule>
  </conditionalFormatting>
  <conditionalFormatting sqref="J93:J94">
    <cfRule type="cellIs" dxfId="4223" priority="2338" operator="equal">
      <formula>0</formula>
    </cfRule>
    <cfRule type="cellIs" dxfId="4222" priority="2339" operator="notEqual">
      <formula>0</formula>
    </cfRule>
  </conditionalFormatting>
  <conditionalFormatting sqref="J107">
    <cfRule type="cellIs" dxfId="4221" priority="2331" operator="equal">
      <formula>0</formula>
    </cfRule>
  </conditionalFormatting>
  <conditionalFormatting sqref="J113:J114">
    <cfRule type="cellIs" dxfId="4220" priority="2335" operator="equal">
      <formula>0</formula>
    </cfRule>
    <cfRule type="cellIs" dxfId="4219" priority="2336" operator="notEqual">
      <formula>0</formula>
    </cfRule>
  </conditionalFormatting>
  <conditionalFormatting sqref="J105:J106">
    <cfRule type="cellIs" dxfId="4218" priority="2332" operator="equal">
      <formula>0</formula>
    </cfRule>
    <cfRule type="cellIs" dxfId="4217" priority="2333" operator="notEqual">
      <formula>0</formula>
    </cfRule>
  </conditionalFormatting>
  <conditionalFormatting sqref="J111">
    <cfRule type="cellIs" dxfId="4216" priority="2328" operator="equal">
      <formula>0</formula>
    </cfRule>
  </conditionalFormatting>
  <conditionalFormatting sqref="J109:J110">
    <cfRule type="cellIs" dxfId="4215" priority="2329" operator="equal">
      <formula>0</formula>
    </cfRule>
    <cfRule type="cellIs" dxfId="4214" priority="2330" operator="notEqual">
      <formula>0</formula>
    </cfRule>
  </conditionalFormatting>
  <conditionalFormatting sqref="K81:K82">
    <cfRule type="cellIs" dxfId="4213" priority="2326" operator="equal">
      <formula>0</formula>
    </cfRule>
    <cfRule type="cellIs" dxfId="4212" priority="2327" operator="notEqual">
      <formula>0</formula>
    </cfRule>
  </conditionalFormatting>
  <conditionalFormatting sqref="K85:K86 K89:K90 K97:K98 K117:K118 K121:K122 K125:K126">
    <cfRule type="cellIs" dxfId="4211" priority="2324" operator="equal">
      <formula>0</formula>
    </cfRule>
    <cfRule type="cellIs" dxfId="4210" priority="2325" operator="notEqual">
      <formula>0</formula>
    </cfRule>
  </conditionalFormatting>
  <conditionalFormatting sqref="K83 K87 K91 K99 K119 K123 K127">
    <cfRule type="cellIs" dxfId="4209" priority="2323" operator="equal">
      <formula>0</formula>
    </cfRule>
  </conditionalFormatting>
  <conditionalFormatting sqref="K103">
    <cfRule type="cellIs" dxfId="4208" priority="2320" operator="equal">
      <formula>0</formula>
    </cfRule>
  </conditionalFormatting>
  <conditionalFormatting sqref="K95">
    <cfRule type="cellIs" dxfId="4207" priority="2317" operator="equal">
      <formula>0</formula>
    </cfRule>
  </conditionalFormatting>
  <conditionalFormatting sqref="K101:K102">
    <cfRule type="cellIs" dxfId="4206" priority="2321" operator="equal">
      <formula>0</formula>
    </cfRule>
    <cfRule type="cellIs" dxfId="4205" priority="2322" operator="notEqual">
      <formula>0</formula>
    </cfRule>
  </conditionalFormatting>
  <conditionalFormatting sqref="K115">
    <cfRule type="cellIs" dxfId="4204" priority="2314" operator="equal">
      <formula>0</formula>
    </cfRule>
  </conditionalFormatting>
  <conditionalFormatting sqref="K93:K94">
    <cfRule type="cellIs" dxfId="4203" priority="2318" operator="equal">
      <formula>0</formula>
    </cfRule>
    <cfRule type="cellIs" dxfId="4202" priority="2319" operator="notEqual">
      <formula>0</formula>
    </cfRule>
  </conditionalFormatting>
  <conditionalFormatting sqref="K107">
    <cfRule type="cellIs" dxfId="4201" priority="2311" operator="equal">
      <formula>0</formula>
    </cfRule>
  </conditionalFormatting>
  <conditionalFormatting sqref="K113:K114">
    <cfRule type="cellIs" dxfId="4200" priority="2315" operator="equal">
      <formula>0</formula>
    </cfRule>
    <cfRule type="cellIs" dxfId="4199" priority="2316" operator="notEqual">
      <formula>0</formula>
    </cfRule>
  </conditionalFormatting>
  <conditionalFormatting sqref="K105:K106">
    <cfRule type="cellIs" dxfId="4198" priority="2312" operator="equal">
      <formula>0</formula>
    </cfRule>
    <cfRule type="cellIs" dxfId="4197" priority="2313" operator="notEqual">
      <formula>0</formula>
    </cfRule>
  </conditionalFormatting>
  <conditionalFormatting sqref="K111">
    <cfRule type="cellIs" dxfId="4196" priority="2308" operator="equal">
      <formula>0</formula>
    </cfRule>
  </conditionalFormatting>
  <conditionalFormatting sqref="K109:K110">
    <cfRule type="cellIs" dxfId="4195" priority="2309" operator="equal">
      <formula>0</formula>
    </cfRule>
    <cfRule type="cellIs" dxfId="4194" priority="2310" operator="notEqual">
      <formula>0</formula>
    </cfRule>
  </conditionalFormatting>
  <conditionalFormatting sqref="L83 L87 L91 L99 L119 L123 L127">
    <cfRule type="cellIs" dxfId="4193" priority="2307" operator="equal">
      <formula>0</formula>
    </cfRule>
  </conditionalFormatting>
  <conditionalFormatting sqref="L103">
    <cfRule type="cellIs" dxfId="4192" priority="2306" operator="equal">
      <formula>0</formula>
    </cfRule>
  </conditionalFormatting>
  <conditionalFormatting sqref="L95">
    <cfRule type="cellIs" dxfId="4191" priority="2305" operator="equal">
      <formula>0</formula>
    </cfRule>
  </conditionalFormatting>
  <conditionalFormatting sqref="L115">
    <cfRule type="cellIs" dxfId="4190" priority="2304" operator="equal">
      <formula>0</formula>
    </cfRule>
  </conditionalFormatting>
  <conditionalFormatting sqref="L107">
    <cfRule type="cellIs" dxfId="4189" priority="2303" operator="equal">
      <formula>0</formula>
    </cfRule>
  </conditionalFormatting>
  <conditionalFormatting sqref="L111">
    <cfRule type="cellIs" dxfId="4188" priority="2302" operator="equal">
      <formula>0</formula>
    </cfRule>
  </conditionalFormatting>
  <conditionalFormatting sqref="M83 M87 M91 M99 M119 M123 M127">
    <cfRule type="cellIs" dxfId="4187" priority="2301" operator="equal">
      <formula>0</formula>
    </cfRule>
  </conditionalFormatting>
  <conditionalFormatting sqref="M103">
    <cfRule type="cellIs" dxfId="4186" priority="2300" operator="equal">
      <formula>0</formula>
    </cfRule>
  </conditionalFormatting>
  <conditionalFormatting sqref="M95">
    <cfRule type="cellIs" dxfId="4185" priority="2299" operator="equal">
      <formula>0</formula>
    </cfRule>
  </conditionalFormatting>
  <conditionalFormatting sqref="M115">
    <cfRule type="cellIs" dxfId="4184" priority="2298" operator="equal">
      <formula>0</formula>
    </cfRule>
  </conditionalFormatting>
  <conditionalFormatting sqref="M107">
    <cfRule type="cellIs" dxfId="4183" priority="2297" operator="equal">
      <formula>0</formula>
    </cfRule>
  </conditionalFormatting>
  <conditionalFormatting sqref="M111">
    <cfRule type="cellIs" dxfId="4182" priority="2296" operator="equal">
      <formula>0</formula>
    </cfRule>
  </conditionalFormatting>
  <conditionalFormatting sqref="N83 N87 N91 N99 N119 N123 N127">
    <cfRule type="cellIs" dxfId="4181" priority="2295" operator="equal">
      <formula>0</formula>
    </cfRule>
  </conditionalFormatting>
  <conditionalFormatting sqref="N103">
    <cfRule type="cellIs" dxfId="4180" priority="2294" operator="equal">
      <formula>0</formula>
    </cfRule>
  </conditionalFormatting>
  <conditionalFormatting sqref="N95">
    <cfRule type="cellIs" dxfId="4179" priority="2293" operator="equal">
      <formula>0</formula>
    </cfRule>
  </conditionalFormatting>
  <conditionalFormatting sqref="N115">
    <cfRule type="cellIs" dxfId="4178" priority="2292" operator="equal">
      <formula>0</formula>
    </cfRule>
  </conditionalFormatting>
  <conditionalFormatting sqref="N107">
    <cfRule type="cellIs" dxfId="4177" priority="2291" operator="equal">
      <formula>0</formula>
    </cfRule>
  </conditionalFormatting>
  <conditionalFormatting sqref="N111">
    <cfRule type="cellIs" dxfId="4176" priority="2290" operator="equal">
      <formula>0</formula>
    </cfRule>
  </conditionalFormatting>
  <conditionalFormatting sqref="O83 O87 O91 O99 O119 O123 O127">
    <cfRule type="cellIs" dxfId="4175" priority="2289" operator="equal">
      <formula>0</formula>
    </cfRule>
  </conditionalFormatting>
  <conditionalFormatting sqref="O103">
    <cfRule type="cellIs" dxfId="4174" priority="2288" operator="equal">
      <formula>0</formula>
    </cfRule>
  </conditionalFormatting>
  <conditionalFormatting sqref="O95">
    <cfRule type="cellIs" dxfId="4173" priority="2287" operator="equal">
      <formula>0</formula>
    </cfRule>
  </conditionalFormatting>
  <conditionalFormatting sqref="O115">
    <cfRule type="cellIs" dxfId="4172" priority="2286" operator="equal">
      <formula>0</formula>
    </cfRule>
  </conditionalFormatting>
  <conditionalFormatting sqref="O107">
    <cfRule type="cellIs" dxfId="4171" priority="2285" operator="equal">
      <formula>0</formula>
    </cfRule>
  </conditionalFormatting>
  <conditionalFormatting sqref="O111">
    <cfRule type="cellIs" dxfId="4170" priority="2284" operator="equal">
      <formula>0</formula>
    </cfRule>
  </conditionalFormatting>
  <conditionalFormatting sqref="Y16:Y17 Y32:Y33 Y36:Y37 Y44:Y45 Y48:Y49 Y52:Y53 Y56:Y57 Y72:Y73">
    <cfRule type="cellIs" dxfId="4169" priority="2283" operator="greaterThan">
      <formula>0</formula>
    </cfRule>
  </conditionalFormatting>
  <conditionalFormatting sqref="Y16:Y17 Y32:Y33 Y36:Y37 Y44:Y45 Y48:Y49 Y52:Y53 Y56:Y57 Y72:Y73">
    <cfRule type="cellIs" dxfId="4168" priority="2282" operator="equal">
      <formula>0</formula>
    </cfRule>
  </conditionalFormatting>
  <conditionalFormatting sqref="Y18 Y34 Y46 Y50 Y54 Y74 Y38:Y42">
    <cfRule type="cellIs" dxfId="4167" priority="2281" operator="equal">
      <formula>0</formula>
    </cfRule>
  </conditionalFormatting>
  <conditionalFormatting sqref="Y12:Y13">
    <cfRule type="cellIs" dxfId="4166" priority="2280" operator="greaterThan">
      <formula>0</formula>
    </cfRule>
  </conditionalFormatting>
  <conditionalFormatting sqref="Y12:Y13">
    <cfRule type="cellIs" dxfId="4165" priority="2279" operator="equal">
      <formula>0</formula>
    </cfRule>
  </conditionalFormatting>
  <conditionalFormatting sqref="Y14">
    <cfRule type="cellIs" dxfId="4164" priority="2278" operator="equal">
      <formula>0</formula>
    </cfRule>
  </conditionalFormatting>
  <conditionalFormatting sqref="Y20:Y21">
    <cfRule type="cellIs" dxfId="4163" priority="2277" operator="greaterThan">
      <formula>0</formula>
    </cfRule>
  </conditionalFormatting>
  <conditionalFormatting sqref="Y20:Y21">
    <cfRule type="cellIs" dxfId="4162" priority="2276" operator="equal">
      <formula>0</formula>
    </cfRule>
  </conditionalFormatting>
  <conditionalFormatting sqref="Y22">
    <cfRule type="cellIs" dxfId="4161" priority="2275" operator="equal">
      <formula>0</formula>
    </cfRule>
  </conditionalFormatting>
  <conditionalFormatting sqref="Y24:Y25">
    <cfRule type="cellIs" dxfId="4160" priority="2274" operator="greaterThan">
      <formula>0</formula>
    </cfRule>
  </conditionalFormatting>
  <conditionalFormatting sqref="Y24:Y25">
    <cfRule type="cellIs" dxfId="4159" priority="2273" operator="equal">
      <formula>0</formula>
    </cfRule>
  </conditionalFormatting>
  <conditionalFormatting sqref="Y26">
    <cfRule type="cellIs" dxfId="4158" priority="2272" operator="equal">
      <formula>0</formula>
    </cfRule>
  </conditionalFormatting>
  <conditionalFormatting sqref="Y28:Y29">
    <cfRule type="cellIs" dxfId="4157" priority="2271" operator="greaterThan">
      <formula>0</formula>
    </cfRule>
  </conditionalFormatting>
  <conditionalFormatting sqref="Y28:Y29">
    <cfRule type="cellIs" dxfId="4156" priority="2270" operator="equal">
      <formula>0</formula>
    </cfRule>
  </conditionalFormatting>
  <conditionalFormatting sqref="Y30">
    <cfRule type="cellIs" dxfId="4155" priority="2269" operator="equal">
      <formula>0</formula>
    </cfRule>
  </conditionalFormatting>
  <conditionalFormatting sqref="Z16:Z17 Z32:Z33 Z36:Z37 Z44:Z45 Z48:Z49 Z52:Z53 Z56:Z57 Z72:Z73">
    <cfRule type="cellIs" dxfId="4154" priority="2268" operator="greaterThan">
      <formula>0</formula>
    </cfRule>
  </conditionalFormatting>
  <conditionalFormatting sqref="Z16:Z17 Z32:Z33 Z36:Z37 Z44:Z45 Z48:Z49 Z52:Z53 Z56:Z57 Z72:Z73">
    <cfRule type="cellIs" dxfId="4153" priority="2267" operator="equal">
      <formula>0</formula>
    </cfRule>
  </conditionalFormatting>
  <conditionalFormatting sqref="Z18 Z34 Z46 Z50 Z54 Z58 Z74 Z38:Z42">
    <cfRule type="cellIs" dxfId="4152" priority="2266" operator="equal">
      <formula>0</formula>
    </cfRule>
  </conditionalFormatting>
  <conditionalFormatting sqref="Z12:Z13">
    <cfRule type="cellIs" dxfId="4151" priority="2265" operator="greaterThan">
      <formula>0</formula>
    </cfRule>
  </conditionalFormatting>
  <conditionalFormatting sqref="Z12:Z13">
    <cfRule type="cellIs" dxfId="4150" priority="2264" operator="equal">
      <formula>0</formula>
    </cfRule>
  </conditionalFormatting>
  <conditionalFormatting sqref="Z14">
    <cfRule type="cellIs" dxfId="4149" priority="2263" operator="equal">
      <formula>0</formula>
    </cfRule>
  </conditionalFormatting>
  <conditionalFormatting sqref="Z20:Z21">
    <cfRule type="cellIs" dxfId="4148" priority="2262" operator="greaterThan">
      <formula>0</formula>
    </cfRule>
  </conditionalFormatting>
  <conditionalFormatting sqref="Z20:Z21">
    <cfRule type="cellIs" dxfId="4147" priority="2261" operator="equal">
      <formula>0</formula>
    </cfRule>
  </conditionalFormatting>
  <conditionalFormatting sqref="Z22">
    <cfRule type="cellIs" dxfId="4146" priority="2260" operator="equal">
      <formula>0</formula>
    </cfRule>
  </conditionalFormatting>
  <conditionalFormatting sqref="Z24:Z25">
    <cfRule type="cellIs" dxfId="4145" priority="2259" operator="greaterThan">
      <formula>0</formula>
    </cfRule>
  </conditionalFormatting>
  <conditionalFormatting sqref="Z24:Z25">
    <cfRule type="cellIs" dxfId="4144" priority="2258" operator="equal">
      <formula>0</formula>
    </cfRule>
  </conditionalFormatting>
  <conditionalFormatting sqref="Z26">
    <cfRule type="cellIs" dxfId="4143" priority="2257" operator="equal">
      <formula>0</formula>
    </cfRule>
  </conditionalFormatting>
  <conditionalFormatting sqref="Z28:Z29">
    <cfRule type="cellIs" dxfId="4142" priority="2256" operator="greaterThan">
      <formula>0</formula>
    </cfRule>
  </conditionalFormatting>
  <conditionalFormatting sqref="Z28:Z29">
    <cfRule type="cellIs" dxfId="4141" priority="2255" operator="equal">
      <formula>0</formula>
    </cfRule>
  </conditionalFormatting>
  <conditionalFormatting sqref="Z30">
    <cfRule type="cellIs" dxfId="4140" priority="2254" operator="equal">
      <formula>0</formula>
    </cfRule>
  </conditionalFormatting>
  <conditionalFormatting sqref="AA16:AA17 AA32:AA33 AA36:AA37 AA44:AA45 AA48:AA49 AA52:AA53 AA56:AA57 AA72:AA73">
    <cfRule type="cellIs" dxfId="4139" priority="2253" operator="greaterThan">
      <formula>0</formula>
    </cfRule>
  </conditionalFormatting>
  <conditionalFormatting sqref="AA16:AA17 AA32:AA33 AA36:AA37 AA44:AA45 AA48:AA49 AA52:AA53 AA56:AA57 AA72:AA73">
    <cfRule type="cellIs" dxfId="4138" priority="2252" operator="equal">
      <formula>0</formula>
    </cfRule>
  </conditionalFormatting>
  <conditionalFormatting sqref="AA18 AA34 AA46 AA50 AA54 AA58 AA74 AA38:AA42">
    <cfRule type="cellIs" dxfId="4137" priority="2251" operator="equal">
      <formula>0</formula>
    </cfRule>
  </conditionalFormatting>
  <conditionalFormatting sqref="AA12:AA13">
    <cfRule type="cellIs" dxfId="4136" priority="2250" operator="greaterThan">
      <formula>0</formula>
    </cfRule>
  </conditionalFormatting>
  <conditionalFormatting sqref="AA12:AA13">
    <cfRule type="cellIs" dxfId="4135" priority="2249" operator="equal">
      <formula>0</formula>
    </cfRule>
  </conditionalFormatting>
  <conditionalFormatting sqref="AA14">
    <cfRule type="cellIs" dxfId="4134" priority="2248" operator="equal">
      <formula>0</formula>
    </cfRule>
  </conditionalFormatting>
  <conditionalFormatting sqref="AA20:AA21">
    <cfRule type="cellIs" dxfId="4133" priority="2247" operator="greaterThan">
      <formula>0</formula>
    </cfRule>
  </conditionalFormatting>
  <conditionalFormatting sqref="AA20:AA21">
    <cfRule type="cellIs" dxfId="4132" priority="2246" operator="equal">
      <formula>0</formula>
    </cfRule>
  </conditionalFormatting>
  <conditionalFormatting sqref="AA22">
    <cfRule type="cellIs" dxfId="4131" priority="2245" operator="equal">
      <formula>0</formula>
    </cfRule>
  </conditionalFormatting>
  <conditionalFormatting sqref="AA24:AA25">
    <cfRule type="cellIs" dxfId="4130" priority="2244" operator="greaterThan">
      <formula>0</formula>
    </cfRule>
  </conditionalFormatting>
  <conditionalFormatting sqref="AA24:AA25">
    <cfRule type="cellIs" dxfId="4129" priority="2243" operator="equal">
      <formula>0</formula>
    </cfRule>
  </conditionalFormatting>
  <conditionalFormatting sqref="AA26">
    <cfRule type="cellIs" dxfId="4128" priority="2242" operator="equal">
      <formula>0</formula>
    </cfRule>
  </conditionalFormatting>
  <conditionalFormatting sqref="AA28:AA29">
    <cfRule type="cellIs" dxfId="4127" priority="2241" operator="greaterThan">
      <formula>0</formula>
    </cfRule>
  </conditionalFormatting>
  <conditionalFormatting sqref="AA28:AA29">
    <cfRule type="cellIs" dxfId="4126" priority="2240" operator="equal">
      <formula>0</formula>
    </cfRule>
  </conditionalFormatting>
  <conditionalFormatting sqref="AA30">
    <cfRule type="cellIs" dxfId="4125" priority="2239" operator="equal">
      <formula>0</formula>
    </cfRule>
  </conditionalFormatting>
  <conditionalFormatting sqref="AB16:AB17 AB32:AB33 AB36:AB37 AB44:AB45 AB48:AB49 AB52:AB53 AB56:AB57 AB72:AB73">
    <cfRule type="cellIs" dxfId="4124" priority="2238" operator="greaterThan">
      <formula>0</formula>
    </cfRule>
  </conditionalFormatting>
  <conditionalFormatting sqref="AB16:AB17 AB32:AB33 AB36:AB37 AB44:AB45 AB48:AB49 AB52:AB53 AB56:AB57 AB72:AB73">
    <cfRule type="cellIs" dxfId="4123" priority="2237" operator="equal">
      <formula>0</formula>
    </cfRule>
  </conditionalFormatting>
  <conditionalFormatting sqref="AB18 AB34 AB46 AB50 AB54 AB58 AB74 AB38:AB42">
    <cfRule type="cellIs" dxfId="4122" priority="2236" operator="equal">
      <formula>0</formula>
    </cfRule>
  </conditionalFormatting>
  <conditionalFormatting sqref="AB12:AB13">
    <cfRule type="cellIs" dxfId="4121" priority="2235" operator="greaterThan">
      <formula>0</formula>
    </cfRule>
  </conditionalFormatting>
  <conditionalFormatting sqref="AB12:AB13">
    <cfRule type="cellIs" dxfId="4120" priority="2234" operator="equal">
      <formula>0</formula>
    </cfRule>
  </conditionalFormatting>
  <conditionalFormatting sqref="AB14">
    <cfRule type="cellIs" dxfId="4119" priority="2233" operator="equal">
      <formula>0</formula>
    </cfRule>
  </conditionalFormatting>
  <conditionalFormatting sqref="AB20:AB21">
    <cfRule type="cellIs" dxfId="4118" priority="2232" operator="greaterThan">
      <formula>0</formula>
    </cfRule>
  </conditionalFormatting>
  <conditionalFormatting sqref="AB20:AB21">
    <cfRule type="cellIs" dxfId="4117" priority="2231" operator="equal">
      <formula>0</formula>
    </cfRule>
  </conditionalFormatting>
  <conditionalFormatting sqref="AB22">
    <cfRule type="cellIs" dxfId="4116" priority="2230" operator="equal">
      <formula>0</formula>
    </cfRule>
  </conditionalFormatting>
  <conditionalFormatting sqref="AB24:AB25">
    <cfRule type="cellIs" dxfId="4115" priority="2229" operator="greaterThan">
      <formula>0</formula>
    </cfRule>
  </conditionalFormatting>
  <conditionalFormatting sqref="AB24:AB25">
    <cfRule type="cellIs" dxfId="4114" priority="2228" operator="equal">
      <formula>0</formula>
    </cfRule>
  </conditionalFormatting>
  <conditionalFormatting sqref="AB26">
    <cfRule type="cellIs" dxfId="4113" priority="2227" operator="equal">
      <formula>0</formula>
    </cfRule>
  </conditionalFormatting>
  <conditionalFormatting sqref="AB28:AB29">
    <cfRule type="cellIs" dxfId="4112" priority="2226" operator="greaterThan">
      <formula>0</formula>
    </cfRule>
  </conditionalFormatting>
  <conditionalFormatting sqref="AB28:AB29">
    <cfRule type="cellIs" dxfId="4111" priority="2225" operator="equal">
      <formula>0</formula>
    </cfRule>
  </conditionalFormatting>
  <conditionalFormatting sqref="AB30">
    <cfRule type="cellIs" dxfId="4110" priority="2224" operator="equal">
      <formula>0</formula>
    </cfRule>
  </conditionalFormatting>
  <conditionalFormatting sqref="AC16:AC17 AC32:AC33 AC36:AC37 AC44:AC45 AC48:AC49 AC52:AC53 AC56:AC57 AC72:AC73">
    <cfRule type="cellIs" dxfId="4109" priority="2223" operator="greaterThan">
      <formula>0</formula>
    </cfRule>
  </conditionalFormatting>
  <conditionalFormatting sqref="AC16:AC17 AC32:AC33 AC36:AC37 AC44:AC45 AC48:AC49 AC52:AC53 AC56:AC57 AC72:AC73">
    <cfRule type="cellIs" dxfId="4108" priority="2222" operator="equal">
      <formula>0</formula>
    </cfRule>
  </conditionalFormatting>
  <conditionalFormatting sqref="AC18 AC34 AC46 AC50 AC54 AC58 AC74 AC38:AC42">
    <cfRule type="cellIs" dxfId="4107" priority="2221" operator="equal">
      <formula>0</formula>
    </cfRule>
  </conditionalFormatting>
  <conditionalFormatting sqref="AC12:AC13">
    <cfRule type="cellIs" dxfId="4106" priority="2220" operator="greaterThan">
      <formula>0</formula>
    </cfRule>
  </conditionalFormatting>
  <conditionalFormatting sqref="AC12:AC13">
    <cfRule type="cellIs" dxfId="4105" priority="2219" operator="equal">
      <formula>0</formula>
    </cfRule>
  </conditionalFormatting>
  <conditionalFormatting sqref="AC14">
    <cfRule type="cellIs" dxfId="4104" priority="2218" operator="equal">
      <formula>0</formula>
    </cfRule>
  </conditionalFormatting>
  <conditionalFormatting sqref="AC20:AC21">
    <cfRule type="cellIs" dxfId="4103" priority="2217" operator="greaterThan">
      <formula>0</formula>
    </cfRule>
  </conditionalFormatting>
  <conditionalFormatting sqref="AC20:AC21">
    <cfRule type="cellIs" dxfId="4102" priority="2216" operator="equal">
      <formula>0</formula>
    </cfRule>
  </conditionalFormatting>
  <conditionalFormatting sqref="AC22">
    <cfRule type="cellIs" dxfId="4101" priority="2215" operator="equal">
      <formula>0</formula>
    </cfRule>
  </conditionalFormatting>
  <conditionalFormatting sqref="AC24:AC25">
    <cfRule type="cellIs" dxfId="4100" priority="2214" operator="greaterThan">
      <formula>0</formula>
    </cfRule>
  </conditionalFormatting>
  <conditionalFormatting sqref="AC24:AC25">
    <cfRule type="cellIs" dxfId="4099" priority="2213" operator="equal">
      <formula>0</formula>
    </cfRule>
  </conditionalFormatting>
  <conditionalFormatting sqref="AC26">
    <cfRule type="cellIs" dxfId="4098" priority="2212" operator="equal">
      <formula>0</formula>
    </cfRule>
  </conditionalFormatting>
  <conditionalFormatting sqref="AC28:AC29">
    <cfRule type="cellIs" dxfId="4097" priority="2211" operator="greaterThan">
      <formula>0</formula>
    </cfRule>
  </conditionalFormatting>
  <conditionalFormatting sqref="AC28:AC29">
    <cfRule type="cellIs" dxfId="4096" priority="2210" operator="equal">
      <formula>0</formula>
    </cfRule>
  </conditionalFormatting>
  <conditionalFormatting sqref="AC30">
    <cfRule type="cellIs" dxfId="4095" priority="2209" operator="equal">
      <formula>0</formula>
    </cfRule>
  </conditionalFormatting>
  <conditionalFormatting sqref="AD16:AD17 AD32:AD33 AD36:AD37 AD44:AD45 AD48:AD49 AD52:AD53 AD56:AD57 AD72:AD73">
    <cfRule type="cellIs" dxfId="4094" priority="2208" operator="greaterThan">
      <formula>0</formula>
    </cfRule>
  </conditionalFormatting>
  <conditionalFormatting sqref="AD16:AD17 AD32:AD33 AD36:AD37 AD44:AD45 AD48:AD49 AD52:AD53 AD56:AD57 AD72:AD73">
    <cfRule type="cellIs" dxfId="4093" priority="2207" operator="equal">
      <formula>0</formula>
    </cfRule>
  </conditionalFormatting>
  <conditionalFormatting sqref="AD18 AD34 AD46 AD50 AD54 AD58 AD74 AD38:AD42">
    <cfRule type="cellIs" dxfId="4092" priority="2206" operator="equal">
      <formula>0</formula>
    </cfRule>
  </conditionalFormatting>
  <conditionalFormatting sqref="AD12:AD13">
    <cfRule type="cellIs" dxfId="4091" priority="2205" operator="greaterThan">
      <formula>0</formula>
    </cfRule>
  </conditionalFormatting>
  <conditionalFormatting sqref="AD12:AD13">
    <cfRule type="cellIs" dxfId="4090" priority="2204" operator="equal">
      <formula>0</formula>
    </cfRule>
  </conditionalFormatting>
  <conditionalFormatting sqref="AD14">
    <cfRule type="cellIs" dxfId="4089" priority="2203" operator="equal">
      <formula>0</formula>
    </cfRule>
  </conditionalFormatting>
  <conditionalFormatting sqref="AD20:AD21">
    <cfRule type="cellIs" dxfId="4088" priority="2202" operator="greaterThan">
      <formula>0</formula>
    </cfRule>
  </conditionalFormatting>
  <conditionalFormatting sqref="AD20:AD21">
    <cfRule type="cellIs" dxfId="4087" priority="2201" operator="equal">
      <formula>0</formula>
    </cfRule>
  </conditionalFormatting>
  <conditionalFormatting sqref="AD22">
    <cfRule type="cellIs" dxfId="4086" priority="2200" operator="equal">
      <formula>0</formula>
    </cfRule>
  </conditionalFormatting>
  <conditionalFormatting sqref="AD24:AD25">
    <cfRule type="cellIs" dxfId="4085" priority="2199" operator="greaterThan">
      <formula>0</formula>
    </cfRule>
  </conditionalFormatting>
  <conditionalFormatting sqref="AD24:AD25">
    <cfRule type="cellIs" dxfId="4084" priority="2198" operator="equal">
      <formula>0</formula>
    </cfRule>
  </conditionalFormatting>
  <conditionalFormatting sqref="AD26">
    <cfRule type="cellIs" dxfId="4083" priority="2197" operator="equal">
      <formula>0</formula>
    </cfRule>
  </conditionalFormatting>
  <conditionalFormatting sqref="AD28:AD29">
    <cfRule type="cellIs" dxfId="4082" priority="2196" operator="greaterThan">
      <formula>0</formula>
    </cfRule>
  </conditionalFormatting>
  <conditionalFormatting sqref="AD28:AD29">
    <cfRule type="cellIs" dxfId="4081" priority="2195" operator="equal">
      <formula>0</formula>
    </cfRule>
  </conditionalFormatting>
  <conditionalFormatting sqref="AD30">
    <cfRule type="cellIs" dxfId="4080" priority="2194" operator="equal">
      <formula>0</formula>
    </cfRule>
  </conditionalFormatting>
  <conditionalFormatting sqref="AE16:AE17 AE32:AE33 AE36:AE37 AE44:AE45 AE48:AE49 AE52:AE53 AE56:AE57 AE72:AE73">
    <cfRule type="cellIs" dxfId="4079" priority="2193" operator="greaterThan">
      <formula>0</formula>
    </cfRule>
  </conditionalFormatting>
  <conditionalFormatting sqref="AE16:AE17 AE32:AE33 AE36:AE37 AE44:AE45 AE48:AE49 AE52:AE53 AE56:AE57 AE72:AE73">
    <cfRule type="cellIs" dxfId="4078" priority="2192" operator="equal">
      <formula>0</formula>
    </cfRule>
  </conditionalFormatting>
  <conditionalFormatting sqref="AE18 AE34 AE46 AE50 AE54 AE58 AE74 AE38:AE42">
    <cfRule type="cellIs" dxfId="4077" priority="2191" operator="equal">
      <formula>0</formula>
    </cfRule>
  </conditionalFormatting>
  <conditionalFormatting sqref="AE12:AE13">
    <cfRule type="cellIs" dxfId="4076" priority="2190" operator="greaterThan">
      <formula>0</formula>
    </cfRule>
  </conditionalFormatting>
  <conditionalFormatting sqref="AE12:AE13">
    <cfRule type="cellIs" dxfId="4075" priority="2189" operator="equal">
      <formula>0</formula>
    </cfRule>
  </conditionalFormatting>
  <conditionalFormatting sqref="AE14">
    <cfRule type="cellIs" dxfId="4074" priority="2188" operator="equal">
      <formula>0</formula>
    </cfRule>
  </conditionalFormatting>
  <conditionalFormatting sqref="AE20:AE21">
    <cfRule type="cellIs" dxfId="4073" priority="2187" operator="greaterThan">
      <formula>0</formula>
    </cfRule>
  </conditionalFormatting>
  <conditionalFormatting sqref="AE20:AE21">
    <cfRule type="cellIs" dxfId="4072" priority="2186" operator="equal">
      <formula>0</formula>
    </cfRule>
  </conditionalFormatting>
  <conditionalFormatting sqref="AE22">
    <cfRule type="cellIs" dxfId="4071" priority="2185" operator="equal">
      <formula>0</formula>
    </cfRule>
  </conditionalFormatting>
  <conditionalFormatting sqref="AE24:AE25">
    <cfRule type="cellIs" dxfId="4070" priority="2184" operator="greaterThan">
      <formula>0</formula>
    </cfRule>
  </conditionalFormatting>
  <conditionalFormatting sqref="AE24:AE25">
    <cfRule type="cellIs" dxfId="4069" priority="2183" operator="equal">
      <formula>0</formula>
    </cfRule>
  </conditionalFormatting>
  <conditionalFormatting sqref="AE26">
    <cfRule type="cellIs" dxfId="4068" priority="2182" operator="equal">
      <formula>0</formula>
    </cfRule>
  </conditionalFormatting>
  <conditionalFormatting sqref="AE28:AE29">
    <cfRule type="cellIs" dxfId="4067" priority="2181" operator="greaterThan">
      <formula>0</formula>
    </cfRule>
  </conditionalFormatting>
  <conditionalFormatting sqref="AE28:AE29">
    <cfRule type="cellIs" dxfId="4066" priority="2180" operator="equal">
      <formula>0</formula>
    </cfRule>
  </conditionalFormatting>
  <conditionalFormatting sqref="AE30">
    <cfRule type="cellIs" dxfId="4065" priority="2179" operator="equal">
      <formula>0</formula>
    </cfRule>
  </conditionalFormatting>
  <conditionalFormatting sqref="AF16:AF17 AF32:AF33 AF36:AF37 AF44:AF45 AF48:AF49 AF52:AF53 AF56:AF57 AF72:AF73">
    <cfRule type="cellIs" dxfId="4064" priority="2178" operator="greaterThan">
      <formula>0</formula>
    </cfRule>
  </conditionalFormatting>
  <conditionalFormatting sqref="AF16:AF17 AF32:AF33 AF36:AF37 AF44:AF45 AF48:AF49 AF52:AF53 AF56:AF57 AF72:AF73">
    <cfRule type="cellIs" dxfId="4063" priority="2177" operator="equal">
      <formula>0</formula>
    </cfRule>
  </conditionalFormatting>
  <conditionalFormatting sqref="AF18 AF34 AF46 AF50 AF54 AF58 AF74 AF38:AF42">
    <cfRule type="cellIs" dxfId="4062" priority="2176" operator="equal">
      <formula>0</formula>
    </cfRule>
  </conditionalFormatting>
  <conditionalFormatting sqref="AF12:AF13">
    <cfRule type="cellIs" dxfId="4061" priority="2175" operator="greaterThan">
      <formula>0</formula>
    </cfRule>
  </conditionalFormatting>
  <conditionalFormatting sqref="AF12:AF13">
    <cfRule type="cellIs" dxfId="4060" priority="2174" operator="equal">
      <formula>0</formula>
    </cfRule>
  </conditionalFormatting>
  <conditionalFormatting sqref="AF14">
    <cfRule type="cellIs" dxfId="4059" priority="2173" operator="equal">
      <formula>0</formula>
    </cfRule>
  </conditionalFormatting>
  <conditionalFormatting sqref="AF20:AF21">
    <cfRule type="cellIs" dxfId="4058" priority="2172" operator="greaterThan">
      <formula>0</formula>
    </cfRule>
  </conditionalFormatting>
  <conditionalFormatting sqref="AF20:AF21">
    <cfRule type="cellIs" dxfId="4057" priority="2171" operator="equal">
      <formula>0</formula>
    </cfRule>
  </conditionalFormatting>
  <conditionalFormatting sqref="AF22">
    <cfRule type="cellIs" dxfId="4056" priority="2170" operator="equal">
      <formula>0</formula>
    </cfRule>
  </conditionalFormatting>
  <conditionalFormatting sqref="AF24:AF25">
    <cfRule type="cellIs" dxfId="4055" priority="2169" operator="greaterThan">
      <formula>0</formula>
    </cfRule>
  </conditionalFormatting>
  <conditionalFormatting sqref="AF24:AF25">
    <cfRule type="cellIs" dxfId="4054" priority="2168" operator="equal">
      <formula>0</formula>
    </cfRule>
  </conditionalFormatting>
  <conditionalFormatting sqref="AF26">
    <cfRule type="cellIs" dxfId="4053" priority="2167" operator="equal">
      <formula>0</formula>
    </cfRule>
  </conditionalFormatting>
  <conditionalFormatting sqref="AF28:AF29">
    <cfRule type="cellIs" dxfId="4052" priority="2166" operator="greaterThan">
      <formula>0</formula>
    </cfRule>
  </conditionalFormatting>
  <conditionalFormatting sqref="AF28:AF29">
    <cfRule type="cellIs" dxfId="4051" priority="2165" operator="equal">
      <formula>0</formula>
    </cfRule>
  </conditionalFormatting>
  <conditionalFormatting sqref="AF30">
    <cfRule type="cellIs" dxfId="4050" priority="2164" operator="equal">
      <formula>0</formula>
    </cfRule>
  </conditionalFormatting>
  <conditionalFormatting sqref="AG18 AG34 AG46 AG50 AG54 AG58 AG74 AG38:AG42">
    <cfRule type="cellIs" dxfId="4049" priority="2163" operator="equal">
      <formula>0</formula>
    </cfRule>
  </conditionalFormatting>
  <conditionalFormatting sqref="AG14">
    <cfRule type="cellIs" dxfId="4048" priority="2162" operator="equal">
      <formula>0</formula>
    </cfRule>
  </conditionalFormatting>
  <conditionalFormatting sqref="AG22">
    <cfRule type="cellIs" dxfId="4047" priority="2161" operator="equal">
      <formula>0</formula>
    </cfRule>
  </conditionalFormatting>
  <conditionalFormatting sqref="AG26">
    <cfRule type="cellIs" dxfId="4046" priority="2160" operator="equal">
      <formula>0</formula>
    </cfRule>
  </conditionalFormatting>
  <conditionalFormatting sqref="AG30">
    <cfRule type="cellIs" dxfId="4045" priority="2159" operator="equal">
      <formula>0</formula>
    </cfRule>
  </conditionalFormatting>
  <conditionalFormatting sqref="AH18 AH34 AH46 AH50 AH54 AH58 AH74 AH38:AH42">
    <cfRule type="cellIs" dxfId="4044" priority="2158" operator="equal">
      <formula>0</formula>
    </cfRule>
  </conditionalFormatting>
  <conditionalFormatting sqref="AH14">
    <cfRule type="cellIs" dxfId="4043" priority="2157" operator="equal">
      <formula>0</formula>
    </cfRule>
  </conditionalFormatting>
  <conditionalFormatting sqref="AH22">
    <cfRule type="cellIs" dxfId="4042" priority="2156" operator="equal">
      <formula>0</formula>
    </cfRule>
  </conditionalFormatting>
  <conditionalFormatting sqref="AH26">
    <cfRule type="cellIs" dxfId="4041" priority="2155" operator="equal">
      <formula>0</formula>
    </cfRule>
  </conditionalFormatting>
  <conditionalFormatting sqref="AH30">
    <cfRule type="cellIs" dxfId="4040" priority="2154" operator="equal">
      <formula>0</formula>
    </cfRule>
  </conditionalFormatting>
  <conditionalFormatting sqref="AI18 AI34 AI46 AI50 AI54 AI58 AI74 AI38:AI42">
    <cfRule type="cellIs" dxfId="4039" priority="2153" operator="equal">
      <formula>0</formula>
    </cfRule>
  </conditionalFormatting>
  <conditionalFormatting sqref="AI14">
    <cfRule type="cellIs" dxfId="4038" priority="2152" operator="equal">
      <formula>0</formula>
    </cfRule>
  </conditionalFormatting>
  <conditionalFormatting sqref="AI22">
    <cfRule type="cellIs" dxfId="4037" priority="2151" operator="equal">
      <formula>0</formula>
    </cfRule>
  </conditionalFormatting>
  <conditionalFormatting sqref="AI26">
    <cfRule type="cellIs" dxfId="4036" priority="2150" operator="equal">
      <formula>0</formula>
    </cfRule>
  </conditionalFormatting>
  <conditionalFormatting sqref="AI30">
    <cfRule type="cellIs" dxfId="4035" priority="2149" operator="equal">
      <formula>0</formula>
    </cfRule>
  </conditionalFormatting>
  <conditionalFormatting sqref="AJ18 AJ34 AJ46 AJ50 AJ54 AJ58 AJ74 AJ38:AJ42">
    <cfRule type="cellIs" dxfId="4034" priority="2148" operator="equal">
      <formula>0</formula>
    </cfRule>
  </conditionalFormatting>
  <conditionalFormatting sqref="AJ14">
    <cfRule type="cellIs" dxfId="4033" priority="2147" operator="equal">
      <formula>0</formula>
    </cfRule>
  </conditionalFormatting>
  <conditionalFormatting sqref="AJ22">
    <cfRule type="cellIs" dxfId="4032" priority="2146" operator="equal">
      <formula>0</formula>
    </cfRule>
  </conditionalFormatting>
  <conditionalFormatting sqref="AJ26">
    <cfRule type="cellIs" dxfId="4031" priority="2145" operator="equal">
      <formula>0</formula>
    </cfRule>
  </conditionalFormatting>
  <conditionalFormatting sqref="AJ30">
    <cfRule type="cellIs" dxfId="4030" priority="2144" operator="equal">
      <formula>0</formula>
    </cfRule>
  </conditionalFormatting>
  <conditionalFormatting sqref="AK15">
    <cfRule type="cellIs" dxfId="4029" priority="2142" operator="equal">
      <formula>0</formula>
    </cfRule>
    <cfRule type="cellIs" dxfId="4028" priority="2143" operator="notEqual">
      <formula>0</formula>
    </cfRule>
  </conditionalFormatting>
  <conditionalFormatting sqref="AK31 AK35 AK43 AK47 AK51 AK55 AK71">
    <cfRule type="cellIs" dxfId="4027" priority="2141" operator="greaterThan">
      <formula>0</formula>
    </cfRule>
  </conditionalFormatting>
  <conditionalFormatting sqref="AK18 AK34 AK46 AK50 AK54 AK58 AK74 AK38:AK42">
    <cfRule type="cellIs" dxfId="4026" priority="2140" operator="equal">
      <formula>0</formula>
    </cfRule>
  </conditionalFormatting>
  <conditionalFormatting sqref="AK11">
    <cfRule type="cellIs" dxfId="4025" priority="2138" operator="equal">
      <formula>0</formula>
    </cfRule>
    <cfRule type="cellIs" dxfId="4024" priority="2139" operator="notEqual">
      <formula>0</formula>
    </cfRule>
  </conditionalFormatting>
  <conditionalFormatting sqref="AK14">
    <cfRule type="cellIs" dxfId="4023" priority="2137" operator="equal">
      <formula>0</formula>
    </cfRule>
  </conditionalFormatting>
  <conditionalFormatting sqref="AK19">
    <cfRule type="cellIs" dxfId="4022" priority="2135" operator="equal">
      <formula>0</formula>
    </cfRule>
    <cfRule type="cellIs" dxfId="4021" priority="2136" operator="notEqual">
      <formula>0</formula>
    </cfRule>
  </conditionalFormatting>
  <conditionalFormatting sqref="AK22">
    <cfRule type="cellIs" dxfId="4020" priority="2134" operator="equal">
      <formula>0</formula>
    </cfRule>
  </conditionalFormatting>
  <conditionalFormatting sqref="AK23">
    <cfRule type="cellIs" dxfId="4019" priority="2132" operator="equal">
      <formula>0</formula>
    </cfRule>
    <cfRule type="cellIs" dxfId="4018" priority="2133" operator="notEqual">
      <formula>0</formula>
    </cfRule>
  </conditionalFormatting>
  <conditionalFormatting sqref="AK26">
    <cfRule type="cellIs" dxfId="4017" priority="2131" operator="equal">
      <formula>0</formula>
    </cfRule>
  </conditionalFormatting>
  <conditionalFormatting sqref="AK27">
    <cfRule type="cellIs" dxfId="4016" priority="2129" operator="equal">
      <formula>0</formula>
    </cfRule>
    <cfRule type="cellIs" dxfId="4015" priority="2130" operator="notEqual">
      <formula>0</formula>
    </cfRule>
  </conditionalFormatting>
  <conditionalFormatting sqref="AK30">
    <cfRule type="cellIs" dxfId="4014" priority="2128" operator="equal">
      <formula>0</formula>
    </cfRule>
  </conditionalFormatting>
  <conditionalFormatting sqref="AL15">
    <cfRule type="cellIs" dxfId="4013" priority="2126" operator="equal">
      <formula>0</formula>
    </cfRule>
    <cfRule type="cellIs" dxfId="4012" priority="2127" operator="notEqual">
      <formula>0</formula>
    </cfRule>
  </conditionalFormatting>
  <conditionalFormatting sqref="AL31 AL35 AL43 AL47 AL51 AL55 AL71">
    <cfRule type="cellIs" dxfId="4011" priority="2125" operator="greaterThan">
      <formula>0</formula>
    </cfRule>
  </conditionalFormatting>
  <conditionalFormatting sqref="AL18 AL34 AL46 AL50 AL54 AL58 AL74 AL38:AL42">
    <cfRule type="cellIs" dxfId="4010" priority="2124" operator="equal">
      <formula>0</formula>
    </cfRule>
  </conditionalFormatting>
  <conditionalFormatting sqref="AL11">
    <cfRule type="cellIs" dxfId="4009" priority="2122" operator="equal">
      <formula>0</formula>
    </cfRule>
    <cfRule type="cellIs" dxfId="4008" priority="2123" operator="notEqual">
      <formula>0</formula>
    </cfRule>
  </conditionalFormatting>
  <conditionalFormatting sqref="AL14">
    <cfRule type="cellIs" dxfId="4007" priority="2121" operator="equal">
      <formula>0</formula>
    </cfRule>
  </conditionalFormatting>
  <conditionalFormatting sqref="AL19">
    <cfRule type="cellIs" dxfId="4006" priority="2119" operator="equal">
      <formula>0</formula>
    </cfRule>
    <cfRule type="cellIs" dxfId="4005" priority="2120" operator="notEqual">
      <formula>0</formula>
    </cfRule>
  </conditionalFormatting>
  <conditionalFormatting sqref="AL22">
    <cfRule type="cellIs" dxfId="4004" priority="2118" operator="equal">
      <formula>0</formula>
    </cfRule>
  </conditionalFormatting>
  <conditionalFormatting sqref="AL23">
    <cfRule type="cellIs" dxfId="4003" priority="2116" operator="equal">
      <formula>0</formula>
    </cfRule>
    <cfRule type="cellIs" dxfId="4002" priority="2117" operator="notEqual">
      <formula>0</formula>
    </cfRule>
  </conditionalFormatting>
  <conditionalFormatting sqref="AL26">
    <cfRule type="cellIs" dxfId="4001" priority="2115" operator="equal">
      <formula>0</formula>
    </cfRule>
  </conditionalFormatting>
  <conditionalFormatting sqref="AL27">
    <cfRule type="cellIs" dxfId="4000" priority="2113" operator="equal">
      <formula>0</formula>
    </cfRule>
    <cfRule type="cellIs" dxfId="3999" priority="2114" operator="notEqual">
      <formula>0</formula>
    </cfRule>
  </conditionalFormatting>
  <conditionalFormatting sqref="AL30">
    <cfRule type="cellIs" dxfId="3998" priority="2112" operator="equal">
      <formula>0</formula>
    </cfRule>
  </conditionalFormatting>
  <conditionalFormatting sqref="AM15">
    <cfRule type="cellIs" dxfId="3997" priority="2110" operator="equal">
      <formula>0</formula>
    </cfRule>
    <cfRule type="cellIs" dxfId="3996" priority="2111" operator="notEqual">
      <formula>0</formula>
    </cfRule>
  </conditionalFormatting>
  <conditionalFormatting sqref="AM31 AM35 AM43 AM47 AM51 AM55 AM71">
    <cfRule type="cellIs" dxfId="3995" priority="2109" operator="greaterThan">
      <formula>0</formula>
    </cfRule>
  </conditionalFormatting>
  <conditionalFormatting sqref="AM18 AM34 AM46 AM50 AM54 AM58 AM74 AM38:AM42">
    <cfRule type="cellIs" dxfId="3994" priority="2108" operator="equal">
      <formula>0</formula>
    </cfRule>
  </conditionalFormatting>
  <conditionalFormatting sqref="AM11">
    <cfRule type="cellIs" dxfId="3993" priority="2106" operator="equal">
      <formula>0</formula>
    </cfRule>
    <cfRule type="cellIs" dxfId="3992" priority="2107" operator="notEqual">
      <formula>0</formula>
    </cfRule>
  </conditionalFormatting>
  <conditionalFormatting sqref="AM14">
    <cfRule type="cellIs" dxfId="3991" priority="2105" operator="equal">
      <formula>0</formula>
    </cfRule>
  </conditionalFormatting>
  <conditionalFormatting sqref="AM19">
    <cfRule type="cellIs" dxfId="3990" priority="2103" operator="equal">
      <formula>0</formula>
    </cfRule>
    <cfRule type="cellIs" dxfId="3989" priority="2104" operator="notEqual">
      <formula>0</formula>
    </cfRule>
  </conditionalFormatting>
  <conditionalFormatting sqref="AM22">
    <cfRule type="cellIs" dxfId="3988" priority="2102" operator="equal">
      <formula>0</formula>
    </cfRule>
  </conditionalFormatting>
  <conditionalFormatting sqref="AM23">
    <cfRule type="cellIs" dxfId="3987" priority="2100" operator="equal">
      <formula>0</formula>
    </cfRule>
    <cfRule type="cellIs" dxfId="3986" priority="2101" operator="notEqual">
      <formula>0</formula>
    </cfRule>
  </conditionalFormatting>
  <conditionalFormatting sqref="AM26">
    <cfRule type="cellIs" dxfId="3985" priority="2099" operator="equal">
      <formula>0</formula>
    </cfRule>
  </conditionalFormatting>
  <conditionalFormatting sqref="AM27">
    <cfRule type="cellIs" dxfId="3984" priority="2097" operator="equal">
      <formula>0</formula>
    </cfRule>
    <cfRule type="cellIs" dxfId="3983" priority="2098" operator="notEqual">
      <formula>0</formula>
    </cfRule>
  </conditionalFormatting>
  <conditionalFormatting sqref="AM30">
    <cfRule type="cellIs" dxfId="3982" priority="2096" operator="equal">
      <formula>0</formula>
    </cfRule>
  </conditionalFormatting>
  <conditionalFormatting sqref="AN15">
    <cfRule type="cellIs" dxfId="3981" priority="2094" operator="equal">
      <formula>0</formula>
    </cfRule>
    <cfRule type="cellIs" dxfId="3980" priority="2095" operator="notEqual">
      <formula>0</formula>
    </cfRule>
  </conditionalFormatting>
  <conditionalFormatting sqref="AN31 AN35 AN43 AN47 AN51 AN55 AN71">
    <cfRule type="cellIs" dxfId="3979" priority="2093" operator="greaterThan">
      <formula>0</formula>
    </cfRule>
  </conditionalFormatting>
  <conditionalFormatting sqref="AN18 AN34 AN46 AN50 AN54 AN58 AN74 AN38:AN42">
    <cfRule type="cellIs" dxfId="3978" priority="2092" operator="equal">
      <formula>0</formula>
    </cfRule>
  </conditionalFormatting>
  <conditionalFormatting sqref="AN11">
    <cfRule type="cellIs" dxfId="3977" priority="2090" operator="equal">
      <formula>0</formula>
    </cfRule>
    <cfRule type="cellIs" dxfId="3976" priority="2091" operator="notEqual">
      <formula>0</formula>
    </cfRule>
  </conditionalFormatting>
  <conditionalFormatting sqref="AN14">
    <cfRule type="cellIs" dxfId="3975" priority="2089" operator="equal">
      <formula>0</formula>
    </cfRule>
  </conditionalFormatting>
  <conditionalFormatting sqref="AN19">
    <cfRule type="cellIs" dxfId="3974" priority="2087" operator="equal">
      <formula>0</formula>
    </cfRule>
    <cfRule type="cellIs" dxfId="3973" priority="2088" operator="notEqual">
      <formula>0</formula>
    </cfRule>
  </conditionalFormatting>
  <conditionalFormatting sqref="AN22">
    <cfRule type="cellIs" dxfId="3972" priority="2086" operator="equal">
      <formula>0</formula>
    </cfRule>
  </conditionalFormatting>
  <conditionalFormatting sqref="AN23">
    <cfRule type="cellIs" dxfId="3971" priority="2084" operator="equal">
      <formula>0</formula>
    </cfRule>
    <cfRule type="cellIs" dxfId="3970" priority="2085" operator="notEqual">
      <formula>0</formula>
    </cfRule>
  </conditionalFormatting>
  <conditionalFormatting sqref="AN26">
    <cfRule type="cellIs" dxfId="3969" priority="2083" operator="equal">
      <formula>0</formula>
    </cfRule>
  </conditionalFormatting>
  <conditionalFormatting sqref="AN27">
    <cfRule type="cellIs" dxfId="3968" priority="2081" operator="equal">
      <formula>0</formula>
    </cfRule>
    <cfRule type="cellIs" dxfId="3967" priority="2082" operator="notEqual">
      <formula>0</formula>
    </cfRule>
  </conditionalFormatting>
  <conditionalFormatting sqref="AN30">
    <cfRule type="cellIs" dxfId="3966" priority="2080" operator="equal">
      <formula>0</formula>
    </cfRule>
  </conditionalFormatting>
  <conditionalFormatting sqref="Y85:Y86 Y101:Y102 Y105:Y106 Y113:Y114 Y117:Y118 Y121:Y122 Y125:Y126 Y141:Y142">
    <cfRule type="cellIs" dxfId="3965" priority="2079" operator="greaterThan">
      <formula>0</formula>
    </cfRule>
  </conditionalFormatting>
  <conditionalFormatting sqref="Y85:Y86 Y101:Y102 Y105:Y106 Y113:Y114 Y117:Y118 Y121:Y122 Y125:Y126 Y141:Y142">
    <cfRule type="cellIs" dxfId="3964" priority="2078" operator="equal">
      <formula>0</formula>
    </cfRule>
  </conditionalFormatting>
  <conditionalFormatting sqref="Y87 Y103 Y115 Y119 Y123 Y143 Y107:Y111">
    <cfRule type="cellIs" dxfId="3963" priority="2077" operator="equal">
      <formula>0</formula>
    </cfRule>
  </conditionalFormatting>
  <conditionalFormatting sqref="Y81:Y82">
    <cfRule type="cellIs" dxfId="3962" priority="2076" operator="greaterThan">
      <formula>0</formula>
    </cfRule>
  </conditionalFormatting>
  <conditionalFormatting sqref="Y81:Y82">
    <cfRule type="cellIs" dxfId="3961" priority="2075" operator="equal">
      <formula>0</formula>
    </cfRule>
  </conditionalFormatting>
  <conditionalFormatting sqref="Y83">
    <cfRule type="cellIs" dxfId="3960" priority="2074" operator="equal">
      <formula>0</formula>
    </cfRule>
  </conditionalFormatting>
  <conditionalFormatting sqref="Y89:Y90">
    <cfRule type="cellIs" dxfId="3959" priority="2073" operator="greaterThan">
      <formula>0</formula>
    </cfRule>
  </conditionalFormatting>
  <conditionalFormatting sqref="Y89:Y90">
    <cfRule type="cellIs" dxfId="3958" priority="2072" operator="equal">
      <formula>0</formula>
    </cfRule>
  </conditionalFormatting>
  <conditionalFormatting sqref="Y91">
    <cfRule type="cellIs" dxfId="3957" priority="2071" operator="equal">
      <formula>0</formula>
    </cfRule>
  </conditionalFormatting>
  <conditionalFormatting sqref="Y93:Y94">
    <cfRule type="cellIs" dxfId="3956" priority="2070" operator="greaterThan">
      <formula>0</formula>
    </cfRule>
  </conditionalFormatting>
  <conditionalFormatting sqref="Y93:Y94">
    <cfRule type="cellIs" dxfId="3955" priority="2069" operator="equal">
      <formula>0</formula>
    </cfRule>
  </conditionalFormatting>
  <conditionalFormatting sqref="Y95">
    <cfRule type="cellIs" dxfId="3954" priority="2068" operator="equal">
      <formula>0</formula>
    </cfRule>
  </conditionalFormatting>
  <conditionalFormatting sqref="Y97:Y98">
    <cfRule type="cellIs" dxfId="3953" priority="2067" operator="greaterThan">
      <formula>0</formula>
    </cfRule>
  </conditionalFormatting>
  <conditionalFormatting sqref="Y97:Y98">
    <cfRule type="cellIs" dxfId="3952" priority="2066" operator="equal">
      <formula>0</formula>
    </cfRule>
  </conditionalFormatting>
  <conditionalFormatting sqref="Y99">
    <cfRule type="cellIs" dxfId="3951" priority="2065" operator="equal">
      <formula>0</formula>
    </cfRule>
  </conditionalFormatting>
  <conditionalFormatting sqref="Z85:Z86 Z101:Z102 Z105:Z106 Z113:Z114 Z117:Z118 Z121:Z122 Z125:Z126 Z141:Z142">
    <cfRule type="cellIs" dxfId="3950" priority="2064" operator="greaterThan">
      <formula>0</formula>
    </cfRule>
  </conditionalFormatting>
  <conditionalFormatting sqref="Z85:Z86 Z101:Z102 Z105:Z106 Z113:Z114 Z117:Z118 Z121:Z122 Z125:Z126 Z141:Z142">
    <cfRule type="cellIs" dxfId="3949" priority="2063" operator="equal">
      <formula>0</formula>
    </cfRule>
  </conditionalFormatting>
  <conditionalFormatting sqref="Z87 Z103 Z115 Z119 Z123 Z127 Z143 Z107:Z111">
    <cfRule type="cellIs" dxfId="3948" priority="2062" operator="equal">
      <formula>0</formula>
    </cfRule>
  </conditionalFormatting>
  <conditionalFormatting sqref="Z81:Z82">
    <cfRule type="cellIs" dxfId="3947" priority="2061" operator="greaterThan">
      <formula>0</formula>
    </cfRule>
  </conditionalFormatting>
  <conditionalFormatting sqref="Z81:Z82">
    <cfRule type="cellIs" dxfId="3946" priority="2060" operator="equal">
      <formula>0</formula>
    </cfRule>
  </conditionalFormatting>
  <conditionalFormatting sqref="Z83">
    <cfRule type="cellIs" dxfId="3945" priority="2059" operator="equal">
      <formula>0</formula>
    </cfRule>
  </conditionalFormatting>
  <conditionalFormatting sqref="Z89:Z90">
    <cfRule type="cellIs" dxfId="3944" priority="2058" operator="greaterThan">
      <formula>0</formula>
    </cfRule>
  </conditionalFormatting>
  <conditionalFormatting sqref="Z89:Z90">
    <cfRule type="cellIs" dxfId="3943" priority="2057" operator="equal">
      <formula>0</formula>
    </cfRule>
  </conditionalFormatting>
  <conditionalFormatting sqref="Z91">
    <cfRule type="cellIs" dxfId="3942" priority="2056" operator="equal">
      <formula>0</formula>
    </cfRule>
  </conditionalFormatting>
  <conditionalFormatting sqref="Z93:Z94">
    <cfRule type="cellIs" dxfId="3941" priority="2055" operator="greaterThan">
      <formula>0</formula>
    </cfRule>
  </conditionalFormatting>
  <conditionalFormatting sqref="Z93:Z94">
    <cfRule type="cellIs" dxfId="3940" priority="2054" operator="equal">
      <formula>0</formula>
    </cfRule>
  </conditionalFormatting>
  <conditionalFormatting sqref="Z95">
    <cfRule type="cellIs" dxfId="3939" priority="2053" operator="equal">
      <formula>0</formula>
    </cfRule>
  </conditionalFormatting>
  <conditionalFormatting sqref="Z97:Z98">
    <cfRule type="cellIs" dxfId="3938" priority="2052" operator="greaterThan">
      <formula>0</formula>
    </cfRule>
  </conditionalFormatting>
  <conditionalFormatting sqref="Z97:Z98">
    <cfRule type="cellIs" dxfId="3937" priority="2051" operator="equal">
      <formula>0</formula>
    </cfRule>
  </conditionalFormatting>
  <conditionalFormatting sqref="Z99">
    <cfRule type="cellIs" dxfId="3936" priority="2050" operator="equal">
      <formula>0</formula>
    </cfRule>
  </conditionalFormatting>
  <conditionalFormatting sqref="AA85:AA86 AA101:AA102 AA105:AA106 AA113:AA114 AA117:AA118 AA121:AA122 AA125:AA126 AA141:AA142">
    <cfRule type="cellIs" dxfId="3935" priority="2049" operator="greaterThan">
      <formula>0</formula>
    </cfRule>
  </conditionalFormatting>
  <conditionalFormatting sqref="AA85:AA86 AA101:AA102 AA105:AA106 AA113:AA114 AA117:AA118 AA121:AA122 AA125:AA126 AA141:AA142">
    <cfRule type="cellIs" dxfId="3934" priority="2048" operator="equal">
      <formula>0</formula>
    </cfRule>
  </conditionalFormatting>
  <conditionalFormatting sqref="AA87 AA103 AA115 AA119 AA123 AA127 AA143 AA107:AA111">
    <cfRule type="cellIs" dxfId="3933" priority="2047" operator="equal">
      <formula>0</formula>
    </cfRule>
  </conditionalFormatting>
  <conditionalFormatting sqref="AA81:AA82">
    <cfRule type="cellIs" dxfId="3932" priority="2046" operator="greaterThan">
      <formula>0</formula>
    </cfRule>
  </conditionalFormatting>
  <conditionalFormatting sqref="AA81:AA82">
    <cfRule type="cellIs" dxfId="3931" priority="2045" operator="equal">
      <formula>0</formula>
    </cfRule>
  </conditionalFormatting>
  <conditionalFormatting sqref="AA83">
    <cfRule type="cellIs" dxfId="3930" priority="2044" operator="equal">
      <formula>0</formula>
    </cfRule>
  </conditionalFormatting>
  <conditionalFormatting sqref="AA89:AA90">
    <cfRule type="cellIs" dxfId="3929" priority="2043" operator="greaterThan">
      <formula>0</formula>
    </cfRule>
  </conditionalFormatting>
  <conditionalFormatting sqref="AA89:AA90">
    <cfRule type="cellIs" dxfId="3928" priority="2042" operator="equal">
      <formula>0</formula>
    </cfRule>
  </conditionalFormatting>
  <conditionalFormatting sqref="AA91">
    <cfRule type="cellIs" dxfId="3927" priority="2041" operator="equal">
      <formula>0</formula>
    </cfRule>
  </conditionalFormatting>
  <conditionalFormatting sqref="AA93:AA94">
    <cfRule type="cellIs" dxfId="3926" priority="2040" operator="greaterThan">
      <formula>0</formula>
    </cfRule>
  </conditionalFormatting>
  <conditionalFormatting sqref="AA93:AA94">
    <cfRule type="cellIs" dxfId="3925" priority="2039" operator="equal">
      <formula>0</formula>
    </cfRule>
  </conditionalFormatting>
  <conditionalFormatting sqref="AA95">
    <cfRule type="cellIs" dxfId="3924" priority="2038" operator="equal">
      <formula>0</formula>
    </cfRule>
  </conditionalFormatting>
  <conditionalFormatting sqref="AA97:AA98">
    <cfRule type="cellIs" dxfId="3923" priority="2037" operator="greaterThan">
      <formula>0</formula>
    </cfRule>
  </conditionalFormatting>
  <conditionalFormatting sqref="AA97:AA98">
    <cfRule type="cellIs" dxfId="3922" priority="2036" operator="equal">
      <formula>0</formula>
    </cfRule>
  </conditionalFormatting>
  <conditionalFormatting sqref="AA99">
    <cfRule type="cellIs" dxfId="3921" priority="2035" operator="equal">
      <formula>0</formula>
    </cfRule>
  </conditionalFormatting>
  <conditionalFormatting sqref="AB85:AB86 AB101:AB102 AB105:AB106 AB113:AB114 AB117:AB118 AB121:AB122 AB125:AB126 AB141:AB142">
    <cfRule type="cellIs" dxfId="3920" priority="2034" operator="greaterThan">
      <formula>0</formula>
    </cfRule>
  </conditionalFormatting>
  <conditionalFormatting sqref="AB85:AB86 AB101:AB102 AB105:AB106 AB113:AB114 AB117:AB118 AB121:AB122 AB125:AB126 AB141:AB142">
    <cfRule type="cellIs" dxfId="3919" priority="2033" operator="equal">
      <formula>0</formula>
    </cfRule>
  </conditionalFormatting>
  <conditionalFormatting sqref="AB87 AB103 AB115 AB119 AB123 AB127 AB143 AB107:AB111">
    <cfRule type="cellIs" dxfId="3918" priority="2032" operator="equal">
      <formula>0</formula>
    </cfRule>
  </conditionalFormatting>
  <conditionalFormatting sqref="AB81:AB82">
    <cfRule type="cellIs" dxfId="3917" priority="2031" operator="greaterThan">
      <formula>0</formula>
    </cfRule>
  </conditionalFormatting>
  <conditionalFormatting sqref="AB81:AB82">
    <cfRule type="cellIs" dxfId="3916" priority="2030" operator="equal">
      <formula>0</formula>
    </cfRule>
  </conditionalFormatting>
  <conditionalFormatting sqref="AB83">
    <cfRule type="cellIs" dxfId="3915" priority="2029" operator="equal">
      <formula>0</formula>
    </cfRule>
  </conditionalFormatting>
  <conditionalFormatting sqref="AB89:AB90">
    <cfRule type="cellIs" dxfId="3914" priority="2028" operator="greaterThan">
      <formula>0</formula>
    </cfRule>
  </conditionalFormatting>
  <conditionalFormatting sqref="AB89:AB90">
    <cfRule type="cellIs" dxfId="3913" priority="2027" operator="equal">
      <formula>0</formula>
    </cfRule>
  </conditionalFormatting>
  <conditionalFormatting sqref="AB91">
    <cfRule type="cellIs" dxfId="3912" priority="2026" operator="equal">
      <formula>0</formula>
    </cfRule>
  </conditionalFormatting>
  <conditionalFormatting sqref="AB93:AB94">
    <cfRule type="cellIs" dxfId="3911" priority="2025" operator="greaterThan">
      <formula>0</formula>
    </cfRule>
  </conditionalFormatting>
  <conditionalFormatting sqref="AB93:AB94">
    <cfRule type="cellIs" dxfId="3910" priority="2024" operator="equal">
      <formula>0</formula>
    </cfRule>
  </conditionalFormatting>
  <conditionalFormatting sqref="AB95">
    <cfRule type="cellIs" dxfId="3909" priority="2023" operator="equal">
      <formula>0</formula>
    </cfRule>
  </conditionalFormatting>
  <conditionalFormatting sqref="AB97:AB98">
    <cfRule type="cellIs" dxfId="3908" priority="2022" operator="greaterThan">
      <formula>0</formula>
    </cfRule>
  </conditionalFormatting>
  <conditionalFormatting sqref="AB97:AB98">
    <cfRule type="cellIs" dxfId="3907" priority="2021" operator="equal">
      <formula>0</formula>
    </cfRule>
  </conditionalFormatting>
  <conditionalFormatting sqref="AB99">
    <cfRule type="cellIs" dxfId="3906" priority="2020" operator="equal">
      <formula>0</formula>
    </cfRule>
  </conditionalFormatting>
  <conditionalFormatting sqref="AC85:AC86 AC101:AC102 AC105:AC106 AC113:AC114 AC117:AC118 AC121:AC122 AC125:AC126 AC141:AC142">
    <cfRule type="cellIs" dxfId="3905" priority="2019" operator="greaterThan">
      <formula>0</formula>
    </cfRule>
  </conditionalFormatting>
  <conditionalFormatting sqref="AC85:AC86 AC101:AC102 AC105:AC106 AC113:AC114 AC117:AC118 AC121:AC122 AC125:AC126 AC141:AC142">
    <cfRule type="cellIs" dxfId="3904" priority="2018" operator="equal">
      <formula>0</formula>
    </cfRule>
  </conditionalFormatting>
  <conditionalFormatting sqref="AC87 AC103 AC115 AC119 AC123 AC127 AC143 AC107:AC111">
    <cfRule type="cellIs" dxfId="3903" priority="2017" operator="equal">
      <formula>0</formula>
    </cfRule>
  </conditionalFormatting>
  <conditionalFormatting sqref="AC81:AC82">
    <cfRule type="cellIs" dxfId="3902" priority="2016" operator="greaterThan">
      <formula>0</formula>
    </cfRule>
  </conditionalFormatting>
  <conditionalFormatting sqref="AC81:AC82">
    <cfRule type="cellIs" dxfId="3901" priority="2015" operator="equal">
      <formula>0</formula>
    </cfRule>
  </conditionalFormatting>
  <conditionalFormatting sqref="AC83">
    <cfRule type="cellIs" dxfId="3900" priority="2014" operator="equal">
      <formula>0</formula>
    </cfRule>
  </conditionalFormatting>
  <conditionalFormatting sqref="AC89:AC90">
    <cfRule type="cellIs" dxfId="3899" priority="2013" operator="greaterThan">
      <formula>0</formula>
    </cfRule>
  </conditionalFormatting>
  <conditionalFormatting sqref="AC89:AC90">
    <cfRule type="cellIs" dxfId="3898" priority="2012" operator="equal">
      <formula>0</formula>
    </cfRule>
  </conditionalFormatting>
  <conditionalFormatting sqref="AC91">
    <cfRule type="cellIs" dxfId="3897" priority="2011" operator="equal">
      <formula>0</formula>
    </cfRule>
  </conditionalFormatting>
  <conditionalFormatting sqref="AC93:AC94">
    <cfRule type="cellIs" dxfId="3896" priority="2010" operator="greaterThan">
      <formula>0</formula>
    </cfRule>
  </conditionalFormatting>
  <conditionalFormatting sqref="AC93:AC94">
    <cfRule type="cellIs" dxfId="3895" priority="2009" operator="equal">
      <formula>0</formula>
    </cfRule>
  </conditionalFormatting>
  <conditionalFormatting sqref="AC95">
    <cfRule type="cellIs" dxfId="3894" priority="2008" operator="equal">
      <formula>0</formula>
    </cfRule>
  </conditionalFormatting>
  <conditionalFormatting sqref="AC97:AC98">
    <cfRule type="cellIs" dxfId="3893" priority="2007" operator="greaterThan">
      <formula>0</formula>
    </cfRule>
  </conditionalFormatting>
  <conditionalFormatting sqref="AC97:AC98">
    <cfRule type="cellIs" dxfId="3892" priority="2006" operator="equal">
      <formula>0</formula>
    </cfRule>
  </conditionalFormatting>
  <conditionalFormatting sqref="AC99">
    <cfRule type="cellIs" dxfId="3891" priority="2005" operator="equal">
      <formula>0</formula>
    </cfRule>
  </conditionalFormatting>
  <conditionalFormatting sqref="AD85:AD86 AD101:AD102 AD105:AD106 AD113:AD114 AD117:AD118 AD121:AD122 AD125:AD126 AD141:AD142">
    <cfRule type="cellIs" dxfId="3890" priority="2004" operator="greaterThan">
      <formula>0</formula>
    </cfRule>
  </conditionalFormatting>
  <conditionalFormatting sqref="AD85:AD86 AD101:AD102 AD105:AD106 AD113:AD114 AD117:AD118 AD121:AD122 AD125:AD126 AD141:AD142">
    <cfRule type="cellIs" dxfId="3889" priority="2003" operator="equal">
      <formula>0</formula>
    </cfRule>
  </conditionalFormatting>
  <conditionalFormatting sqref="AD87 AD103 AD115 AD119 AD123 AD127 AD143 AD107:AD111">
    <cfRule type="cellIs" dxfId="3888" priority="2002" operator="equal">
      <formula>0</formula>
    </cfRule>
  </conditionalFormatting>
  <conditionalFormatting sqref="AD81:AD82">
    <cfRule type="cellIs" dxfId="3887" priority="2001" operator="greaterThan">
      <formula>0</formula>
    </cfRule>
  </conditionalFormatting>
  <conditionalFormatting sqref="AD81:AD82">
    <cfRule type="cellIs" dxfId="3886" priority="2000" operator="equal">
      <formula>0</formula>
    </cfRule>
  </conditionalFormatting>
  <conditionalFormatting sqref="AD83">
    <cfRule type="cellIs" dxfId="3885" priority="1999" operator="equal">
      <formula>0</formula>
    </cfRule>
  </conditionalFormatting>
  <conditionalFormatting sqref="AD89:AD90">
    <cfRule type="cellIs" dxfId="3884" priority="1998" operator="greaterThan">
      <formula>0</formula>
    </cfRule>
  </conditionalFormatting>
  <conditionalFormatting sqref="AD89:AD90">
    <cfRule type="cellIs" dxfId="3883" priority="1997" operator="equal">
      <formula>0</formula>
    </cfRule>
  </conditionalFormatting>
  <conditionalFormatting sqref="AD91">
    <cfRule type="cellIs" dxfId="3882" priority="1996" operator="equal">
      <formula>0</formula>
    </cfRule>
  </conditionalFormatting>
  <conditionalFormatting sqref="AD93:AD94">
    <cfRule type="cellIs" dxfId="3881" priority="1995" operator="greaterThan">
      <formula>0</formula>
    </cfRule>
  </conditionalFormatting>
  <conditionalFormatting sqref="AD93:AD94">
    <cfRule type="cellIs" dxfId="3880" priority="1994" operator="equal">
      <formula>0</formula>
    </cfRule>
  </conditionalFormatting>
  <conditionalFormatting sqref="AD95">
    <cfRule type="cellIs" dxfId="3879" priority="1993" operator="equal">
      <formula>0</formula>
    </cfRule>
  </conditionalFormatting>
  <conditionalFormatting sqref="AD97:AD98">
    <cfRule type="cellIs" dxfId="3878" priority="1992" operator="greaterThan">
      <formula>0</formula>
    </cfRule>
  </conditionalFormatting>
  <conditionalFormatting sqref="AD97:AD98">
    <cfRule type="cellIs" dxfId="3877" priority="1991" operator="equal">
      <formula>0</formula>
    </cfRule>
  </conditionalFormatting>
  <conditionalFormatting sqref="AD99">
    <cfRule type="cellIs" dxfId="3876" priority="1990" operator="equal">
      <formula>0</formula>
    </cfRule>
  </conditionalFormatting>
  <conditionalFormatting sqref="AE85:AE86 AE101:AE102 AE105:AE106 AE113:AE114 AE117:AE118 AE121:AE122 AE125:AE126 AE141:AE142">
    <cfRule type="cellIs" dxfId="3875" priority="1989" operator="greaterThan">
      <formula>0</formula>
    </cfRule>
  </conditionalFormatting>
  <conditionalFormatting sqref="AE85:AE86 AE101:AE102 AE105:AE106 AE113:AE114 AE117:AE118 AE121:AE122 AE125:AE126 AE141:AE142">
    <cfRule type="cellIs" dxfId="3874" priority="1988" operator="equal">
      <formula>0</formula>
    </cfRule>
  </conditionalFormatting>
  <conditionalFormatting sqref="AE87 AE103 AE115 AE119 AE123 AE127 AE143 AE107:AE111">
    <cfRule type="cellIs" dxfId="3873" priority="1987" operator="equal">
      <formula>0</formula>
    </cfRule>
  </conditionalFormatting>
  <conditionalFormatting sqref="AE81:AE82">
    <cfRule type="cellIs" dxfId="3872" priority="1986" operator="greaterThan">
      <formula>0</formula>
    </cfRule>
  </conditionalFormatting>
  <conditionalFormatting sqref="AE81:AE82">
    <cfRule type="cellIs" dxfId="3871" priority="1985" operator="equal">
      <formula>0</formula>
    </cfRule>
  </conditionalFormatting>
  <conditionalFormatting sqref="AE83">
    <cfRule type="cellIs" dxfId="3870" priority="1984" operator="equal">
      <formula>0</formula>
    </cfRule>
  </conditionalFormatting>
  <conditionalFormatting sqref="AE89:AE90">
    <cfRule type="cellIs" dxfId="3869" priority="1983" operator="greaterThan">
      <formula>0</formula>
    </cfRule>
  </conditionalFormatting>
  <conditionalFormatting sqref="AE89:AE90">
    <cfRule type="cellIs" dxfId="3868" priority="1982" operator="equal">
      <formula>0</formula>
    </cfRule>
  </conditionalFormatting>
  <conditionalFormatting sqref="AE91">
    <cfRule type="cellIs" dxfId="3867" priority="1981" operator="equal">
      <formula>0</formula>
    </cfRule>
  </conditionalFormatting>
  <conditionalFormatting sqref="AE93:AE94">
    <cfRule type="cellIs" dxfId="3866" priority="1980" operator="greaterThan">
      <formula>0</formula>
    </cfRule>
  </conditionalFormatting>
  <conditionalFormatting sqref="AE93:AE94">
    <cfRule type="cellIs" dxfId="3865" priority="1979" operator="equal">
      <formula>0</formula>
    </cfRule>
  </conditionalFormatting>
  <conditionalFormatting sqref="AE95">
    <cfRule type="cellIs" dxfId="3864" priority="1978" operator="equal">
      <formula>0</formula>
    </cfRule>
  </conditionalFormatting>
  <conditionalFormatting sqref="AE97:AE98">
    <cfRule type="cellIs" dxfId="3863" priority="1977" operator="greaterThan">
      <formula>0</formula>
    </cfRule>
  </conditionalFormatting>
  <conditionalFormatting sqref="AE97:AE98">
    <cfRule type="cellIs" dxfId="3862" priority="1976" operator="equal">
      <formula>0</formula>
    </cfRule>
  </conditionalFormatting>
  <conditionalFormatting sqref="AE99">
    <cfRule type="cellIs" dxfId="3861" priority="1975" operator="equal">
      <formula>0</formula>
    </cfRule>
  </conditionalFormatting>
  <conditionalFormatting sqref="AF85:AF86 AF101:AF102 AF105:AF106 AF113:AF114 AF117:AF118 AF121:AF122 AF125:AF126 AF141:AF142">
    <cfRule type="cellIs" dxfId="3860" priority="1974" operator="greaterThan">
      <formula>0</formula>
    </cfRule>
  </conditionalFormatting>
  <conditionalFormatting sqref="AF85:AF86 AF101:AF102 AF105:AF106 AF113:AF114 AF117:AF118 AF121:AF122 AF125:AF126 AF141:AF142">
    <cfRule type="cellIs" dxfId="3859" priority="1973" operator="equal">
      <formula>0</formula>
    </cfRule>
  </conditionalFormatting>
  <conditionalFormatting sqref="AF87 AF103 AF115 AF119 AF123 AF127 AF143 AF107:AF111">
    <cfRule type="cellIs" dxfId="3858" priority="1972" operator="equal">
      <formula>0</formula>
    </cfRule>
  </conditionalFormatting>
  <conditionalFormatting sqref="AF81:AF82">
    <cfRule type="cellIs" dxfId="3857" priority="1971" operator="greaterThan">
      <formula>0</formula>
    </cfRule>
  </conditionalFormatting>
  <conditionalFormatting sqref="AF81:AF82">
    <cfRule type="cellIs" dxfId="3856" priority="1970" operator="equal">
      <formula>0</formula>
    </cfRule>
  </conditionalFormatting>
  <conditionalFormatting sqref="AF83">
    <cfRule type="cellIs" dxfId="3855" priority="1969" operator="equal">
      <formula>0</formula>
    </cfRule>
  </conditionalFormatting>
  <conditionalFormatting sqref="AF89:AF90">
    <cfRule type="cellIs" dxfId="3854" priority="1968" operator="greaterThan">
      <formula>0</formula>
    </cfRule>
  </conditionalFormatting>
  <conditionalFormatting sqref="AF89:AF90">
    <cfRule type="cellIs" dxfId="3853" priority="1967" operator="equal">
      <formula>0</formula>
    </cfRule>
  </conditionalFormatting>
  <conditionalFormatting sqref="AF91">
    <cfRule type="cellIs" dxfId="3852" priority="1966" operator="equal">
      <formula>0</formula>
    </cfRule>
  </conditionalFormatting>
  <conditionalFormatting sqref="AF93:AF94">
    <cfRule type="cellIs" dxfId="3851" priority="1965" operator="greaterThan">
      <formula>0</formula>
    </cfRule>
  </conditionalFormatting>
  <conditionalFormatting sqref="AF93:AF94">
    <cfRule type="cellIs" dxfId="3850" priority="1964" operator="equal">
      <formula>0</formula>
    </cfRule>
  </conditionalFormatting>
  <conditionalFormatting sqref="AF95">
    <cfRule type="cellIs" dxfId="3849" priority="1963" operator="equal">
      <formula>0</formula>
    </cfRule>
  </conditionalFormatting>
  <conditionalFormatting sqref="AF97:AF98">
    <cfRule type="cellIs" dxfId="3848" priority="1962" operator="greaterThan">
      <formula>0</formula>
    </cfRule>
  </conditionalFormatting>
  <conditionalFormatting sqref="AF97:AF98">
    <cfRule type="cellIs" dxfId="3847" priority="1961" operator="equal">
      <formula>0</formula>
    </cfRule>
  </conditionalFormatting>
  <conditionalFormatting sqref="AF99">
    <cfRule type="cellIs" dxfId="3846" priority="1960" operator="equal">
      <formula>0</formula>
    </cfRule>
  </conditionalFormatting>
  <conditionalFormatting sqref="AG87 AG103 AG115 AG119 AG123 AG127 AG143 AG107:AG111">
    <cfRule type="cellIs" dxfId="3845" priority="1959" operator="equal">
      <formula>0</formula>
    </cfRule>
  </conditionalFormatting>
  <conditionalFormatting sqref="AG83">
    <cfRule type="cellIs" dxfId="3844" priority="1958" operator="equal">
      <formula>0</formula>
    </cfRule>
  </conditionalFormatting>
  <conditionalFormatting sqref="AG91">
    <cfRule type="cellIs" dxfId="3843" priority="1957" operator="equal">
      <formula>0</formula>
    </cfRule>
  </conditionalFormatting>
  <conditionalFormatting sqref="AG95">
    <cfRule type="cellIs" dxfId="3842" priority="1956" operator="equal">
      <formula>0</formula>
    </cfRule>
  </conditionalFormatting>
  <conditionalFormatting sqref="AG99">
    <cfRule type="cellIs" dxfId="3841" priority="1955" operator="equal">
      <formula>0</formula>
    </cfRule>
  </conditionalFormatting>
  <conditionalFormatting sqref="AH87 AH103 AH115 AH119 AH123 AH127 AH143 AH107:AH111">
    <cfRule type="cellIs" dxfId="3840" priority="1954" operator="equal">
      <formula>0</formula>
    </cfRule>
  </conditionalFormatting>
  <conditionalFormatting sqref="AH83">
    <cfRule type="cellIs" dxfId="3839" priority="1953" operator="equal">
      <formula>0</formula>
    </cfRule>
  </conditionalFormatting>
  <conditionalFormatting sqref="AH91">
    <cfRule type="cellIs" dxfId="3838" priority="1952" operator="equal">
      <formula>0</formula>
    </cfRule>
  </conditionalFormatting>
  <conditionalFormatting sqref="AH95">
    <cfRule type="cellIs" dxfId="3837" priority="1951" operator="equal">
      <formula>0</formula>
    </cfRule>
  </conditionalFormatting>
  <conditionalFormatting sqref="AH99">
    <cfRule type="cellIs" dxfId="3836" priority="1950" operator="equal">
      <formula>0</formula>
    </cfRule>
  </conditionalFormatting>
  <conditionalFormatting sqref="AI87 AI103 AI115 AI119 AI123 AI127 AI143 AI107:AI111">
    <cfRule type="cellIs" dxfId="3835" priority="1949" operator="equal">
      <formula>0</formula>
    </cfRule>
  </conditionalFormatting>
  <conditionalFormatting sqref="AI83">
    <cfRule type="cellIs" dxfId="3834" priority="1948" operator="equal">
      <formula>0</formula>
    </cfRule>
  </conditionalFormatting>
  <conditionalFormatting sqref="AI91">
    <cfRule type="cellIs" dxfId="3833" priority="1947" operator="equal">
      <formula>0</formula>
    </cfRule>
  </conditionalFormatting>
  <conditionalFormatting sqref="AI95">
    <cfRule type="cellIs" dxfId="3832" priority="1946" operator="equal">
      <formula>0</formula>
    </cfRule>
  </conditionalFormatting>
  <conditionalFormatting sqref="AI99">
    <cfRule type="cellIs" dxfId="3831" priority="1945" operator="equal">
      <formula>0</formula>
    </cfRule>
  </conditionalFormatting>
  <conditionalFormatting sqref="AJ87 AJ103 AJ115 AJ119 AJ123 AJ127 AJ143 AJ107:AJ111">
    <cfRule type="cellIs" dxfId="3830" priority="1944" operator="equal">
      <formula>0</formula>
    </cfRule>
  </conditionalFormatting>
  <conditionalFormatting sqref="AJ83">
    <cfRule type="cellIs" dxfId="3829" priority="1943" operator="equal">
      <formula>0</formula>
    </cfRule>
  </conditionalFormatting>
  <conditionalFormatting sqref="AJ91">
    <cfRule type="cellIs" dxfId="3828" priority="1942" operator="equal">
      <formula>0</formula>
    </cfRule>
  </conditionalFormatting>
  <conditionalFormatting sqref="AJ95">
    <cfRule type="cellIs" dxfId="3827" priority="1941" operator="equal">
      <formula>0</formula>
    </cfRule>
  </conditionalFormatting>
  <conditionalFormatting sqref="AJ99">
    <cfRule type="cellIs" dxfId="3826" priority="1940" operator="equal">
      <formula>0</formula>
    </cfRule>
  </conditionalFormatting>
  <conditionalFormatting sqref="AK84">
    <cfRule type="cellIs" dxfId="3825" priority="1938" operator="equal">
      <formula>0</formula>
    </cfRule>
    <cfRule type="cellIs" dxfId="3824" priority="1939" operator="notEqual">
      <formula>0</formula>
    </cfRule>
  </conditionalFormatting>
  <conditionalFormatting sqref="AK100 AK104 AK112 AK116 AK120 AK124 AK140">
    <cfRule type="cellIs" dxfId="3823" priority="1937" operator="greaterThan">
      <formula>0</formula>
    </cfRule>
  </conditionalFormatting>
  <conditionalFormatting sqref="AK87 AK103 AK115 AK119 AK123 AK127 AK143 AK107:AK111">
    <cfRule type="cellIs" dxfId="3822" priority="1936" operator="equal">
      <formula>0</formula>
    </cfRule>
  </conditionalFormatting>
  <conditionalFormatting sqref="AK80">
    <cfRule type="cellIs" dxfId="3821" priority="1934" operator="equal">
      <formula>0</formula>
    </cfRule>
    <cfRule type="cellIs" dxfId="3820" priority="1935" operator="notEqual">
      <formula>0</formula>
    </cfRule>
  </conditionalFormatting>
  <conditionalFormatting sqref="AK83">
    <cfRule type="cellIs" dxfId="3819" priority="1933" operator="equal">
      <formula>0</formula>
    </cfRule>
  </conditionalFormatting>
  <conditionalFormatting sqref="AK88">
    <cfRule type="cellIs" dxfId="3818" priority="1931" operator="equal">
      <formula>0</formula>
    </cfRule>
    <cfRule type="cellIs" dxfId="3817" priority="1932" operator="notEqual">
      <formula>0</formula>
    </cfRule>
  </conditionalFormatting>
  <conditionalFormatting sqref="AK91">
    <cfRule type="cellIs" dxfId="3816" priority="1930" operator="equal">
      <formula>0</formula>
    </cfRule>
  </conditionalFormatting>
  <conditionalFormatting sqref="AK92">
    <cfRule type="cellIs" dxfId="3815" priority="1928" operator="equal">
      <formula>0</formula>
    </cfRule>
    <cfRule type="cellIs" dxfId="3814" priority="1929" operator="notEqual">
      <formula>0</formula>
    </cfRule>
  </conditionalFormatting>
  <conditionalFormatting sqref="AK95">
    <cfRule type="cellIs" dxfId="3813" priority="1927" operator="equal">
      <formula>0</formula>
    </cfRule>
  </conditionalFormatting>
  <conditionalFormatting sqref="AK96">
    <cfRule type="cellIs" dxfId="3812" priority="1925" operator="equal">
      <formula>0</formula>
    </cfRule>
    <cfRule type="cellIs" dxfId="3811" priority="1926" operator="notEqual">
      <formula>0</formula>
    </cfRule>
  </conditionalFormatting>
  <conditionalFormatting sqref="AK99">
    <cfRule type="cellIs" dxfId="3810" priority="1924" operator="equal">
      <formula>0</formula>
    </cfRule>
  </conditionalFormatting>
  <conditionalFormatting sqref="AL84">
    <cfRule type="cellIs" dxfId="3809" priority="1922" operator="equal">
      <formula>0</formula>
    </cfRule>
    <cfRule type="cellIs" dxfId="3808" priority="1923" operator="notEqual">
      <formula>0</formula>
    </cfRule>
  </conditionalFormatting>
  <conditionalFormatting sqref="AL100 AL104 AL112 AL116 AL120 AL124 AL140">
    <cfRule type="cellIs" dxfId="3807" priority="1921" operator="greaterThan">
      <formula>0</formula>
    </cfRule>
  </conditionalFormatting>
  <conditionalFormatting sqref="AL87 AL103 AL115 AL119 AL123 AL127 AL143 AL107:AL111">
    <cfRule type="cellIs" dxfId="3806" priority="1920" operator="equal">
      <formula>0</formula>
    </cfRule>
  </conditionalFormatting>
  <conditionalFormatting sqref="AL80">
    <cfRule type="cellIs" dxfId="3805" priority="1918" operator="equal">
      <formula>0</formula>
    </cfRule>
    <cfRule type="cellIs" dxfId="3804" priority="1919" operator="notEqual">
      <formula>0</formula>
    </cfRule>
  </conditionalFormatting>
  <conditionalFormatting sqref="AL83">
    <cfRule type="cellIs" dxfId="3803" priority="1917" operator="equal">
      <formula>0</formula>
    </cfRule>
  </conditionalFormatting>
  <conditionalFormatting sqref="AL88">
    <cfRule type="cellIs" dxfId="3802" priority="1915" operator="equal">
      <formula>0</formula>
    </cfRule>
    <cfRule type="cellIs" dxfId="3801" priority="1916" operator="notEqual">
      <formula>0</formula>
    </cfRule>
  </conditionalFormatting>
  <conditionalFormatting sqref="AL91">
    <cfRule type="cellIs" dxfId="3800" priority="1914" operator="equal">
      <formula>0</formula>
    </cfRule>
  </conditionalFormatting>
  <conditionalFormatting sqref="AL92">
    <cfRule type="cellIs" dxfId="3799" priority="1912" operator="equal">
      <formula>0</formula>
    </cfRule>
    <cfRule type="cellIs" dxfId="3798" priority="1913" operator="notEqual">
      <formula>0</formula>
    </cfRule>
  </conditionalFormatting>
  <conditionalFormatting sqref="AL95">
    <cfRule type="cellIs" dxfId="3797" priority="1911" operator="equal">
      <formula>0</formula>
    </cfRule>
  </conditionalFormatting>
  <conditionalFormatting sqref="AL96">
    <cfRule type="cellIs" dxfId="3796" priority="1909" operator="equal">
      <formula>0</formula>
    </cfRule>
    <cfRule type="cellIs" dxfId="3795" priority="1910" operator="notEqual">
      <formula>0</formula>
    </cfRule>
  </conditionalFormatting>
  <conditionalFormatting sqref="AL99">
    <cfRule type="cellIs" dxfId="3794" priority="1908" operator="equal">
      <formula>0</formula>
    </cfRule>
  </conditionalFormatting>
  <conditionalFormatting sqref="AM84">
    <cfRule type="cellIs" dxfId="3793" priority="1906" operator="equal">
      <formula>0</formula>
    </cfRule>
    <cfRule type="cellIs" dxfId="3792" priority="1907" operator="notEqual">
      <formula>0</formula>
    </cfRule>
  </conditionalFormatting>
  <conditionalFormatting sqref="AM100 AM104 AM112 AM116 AM120 AM124 AM140">
    <cfRule type="cellIs" dxfId="3791" priority="1905" operator="greaterThan">
      <formula>0</formula>
    </cfRule>
  </conditionalFormatting>
  <conditionalFormatting sqref="AM87 AM103 AM115 AM119 AM123 AM127 AM143 AM107:AM111">
    <cfRule type="cellIs" dxfId="3790" priority="1904" operator="equal">
      <formula>0</formula>
    </cfRule>
  </conditionalFormatting>
  <conditionalFormatting sqref="AM80">
    <cfRule type="cellIs" dxfId="3789" priority="1902" operator="equal">
      <formula>0</formula>
    </cfRule>
    <cfRule type="cellIs" dxfId="3788" priority="1903" operator="notEqual">
      <formula>0</formula>
    </cfRule>
  </conditionalFormatting>
  <conditionalFormatting sqref="AM83">
    <cfRule type="cellIs" dxfId="3787" priority="1901" operator="equal">
      <formula>0</formula>
    </cfRule>
  </conditionalFormatting>
  <conditionalFormatting sqref="AM88">
    <cfRule type="cellIs" dxfId="3786" priority="1899" operator="equal">
      <formula>0</formula>
    </cfRule>
    <cfRule type="cellIs" dxfId="3785" priority="1900" operator="notEqual">
      <formula>0</formula>
    </cfRule>
  </conditionalFormatting>
  <conditionalFormatting sqref="AM91">
    <cfRule type="cellIs" dxfId="3784" priority="1898" operator="equal">
      <formula>0</formula>
    </cfRule>
  </conditionalFormatting>
  <conditionalFormatting sqref="AM92">
    <cfRule type="cellIs" dxfId="3783" priority="1896" operator="equal">
      <formula>0</formula>
    </cfRule>
    <cfRule type="cellIs" dxfId="3782" priority="1897" operator="notEqual">
      <formula>0</formula>
    </cfRule>
  </conditionalFormatting>
  <conditionalFormatting sqref="AM95">
    <cfRule type="cellIs" dxfId="3781" priority="1895" operator="equal">
      <formula>0</formula>
    </cfRule>
  </conditionalFormatting>
  <conditionalFormatting sqref="AM96">
    <cfRule type="cellIs" dxfId="3780" priority="1893" operator="equal">
      <formula>0</formula>
    </cfRule>
    <cfRule type="cellIs" dxfId="3779" priority="1894" operator="notEqual">
      <formula>0</formula>
    </cfRule>
  </conditionalFormatting>
  <conditionalFormatting sqref="AM99">
    <cfRule type="cellIs" dxfId="3778" priority="1892" operator="equal">
      <formula>0</formula>
    </cfRule>
  </conditionalFormatting>
  <conditionalFormatting sqref="AN84">
    <cfRule type="cellIs" dxfId="3777" priority="1890" operator="equal">
      <formula>0</formula>
    </cfRule>
    <cfRule type="cellIs" dxfId="3776" priority="1891" operator="notEqual">
      <formula>0</formula>
    </cfRule>
  </conditionalFormatting>
  <conditionalFormatting sqref="AN100 AN104 AN112 AN116 AN120 AN124 AN140">
    <cfRule type="cellIs" dxfId="3775" priority="1889" operator="greaterThan">
      <formula>0</formula>
    </cfRule>
  </conditionalFormatting>
  <conditionalFormatting sqref="AN87 AN103 AN115 AN119 AN123 AN127 AN143 AN107:AN111">
    <cfRule type="cellIs" dxfId="3774" priority="1888" operator="equal">
      <formula>0</formula>
    </cfRule>
  </conditionalFormatting>
  <conditionalFormatting sqref="AN80">
    <cfRule type="cellIs" dxfId="3773" priority="1886" operator="equal">
      <formula>0</formula>
    </cfRule>
    <cfRule type="cellIs" dxfId="3772" priority="1887" operator="notEqual">
      <formula>0</formula>
    </cfRule>
  </conditionalFormatting>
  <conditionalFormatting sqref="AN83">
    <cfRule type="cellIs" dxfId="3771" priority="1885" operator="equal">
      <formula>0</formula>
    </cfRule>
  </conditionalFormatting>
  <conditionalFormatting sqref="AN88">
    <cfRule type="cellIs" dxfId="3770" priority="1883" operator="equal">
      <formula>0</formula>
    </cfRule>
    <cfRule type="cellIs" dxfId="3769" priority="1884" operator="notEqual">
      <formula>0</formula>
    </cfRule>
  </conditionalFormatting>
  <conditionalFormatting sqref="AN91">
    <cfRule type="cellIs" dxfId="3768" priority="1882" operator="equal">
      <formula>0</formula>
    </cfRule>
  </conditionalFormatting>
  <conditionalFormatting sqref="AN92">
    <cfRule type="cellIs" dxfId="3767" priority="1880" operator="equal">
      <formula>0</formula>
    </cfRule>
    <cfRule type="cellIs" dxfId="3766" priority="1881" operator="notEqual">
      <formula>0</formula>
    </cfRule>
  </conditionalFormatting>
  <conditionalFormatting sqref="AN95">
    <cfRule type="cellIs" dxfId="3765" priority="1879" operator="equal">
      <formula>0</formula>
    </cfRule>
  </conditionalFormatting>
  <conditionalFormatting sqref="AN96">
    <cfRule type="cellIs" dxfId="3764" priority="1877" operator="equal">
      <formula>0</formula>
    </cfRule>
    <cfRule type="cellIs" dxfId="3763" priority="1878" operator="notEqual">
      <formula>0</formula>
    </cfRule>
  </conditionalFormatting>
  <conditionalFormatting sqref="AN99">
    <cfRule type="cellIs" dxfId="3762" priority="1876" operator="equal">
      <formula>0</formula>
    </cfRule>
  </conditionalFormatting>
  <conditionalFormatting sqref="Y154:Y155 Y170:Y171 Y174:Y175 Y182:Y183 Y186:Y187 Y190:Y191 Y194:Y195 Y210:Y211">
    <cfRule type="cellIs" dxfId="3761" priority="1875" operator="greaterThan">
      <formula>0</formula>
    </cfRule>
  </conditionalFormatting>
  <conditionalFormatting sqref="Y154:Y155 Y170:Y171 Y174:Y175 Y182:Y183 Y186:Y187 Y190:Y191 Y194:Y195 Y210:Y211">
    <cfRule type="cellIs" dxfId="3760" priority="1874" operator="equal">
      <formula>0</formula>
    </cfRule>
  </conditionalFormatting>
  <conditionalFormatting sqref="Y156 Y172 Y184 Y188 Y192 Y212 Y176:Y180 Y196">
    <cfRule type="cellIs" dxfId="3759" priority="1873" operator="equal">
      <formula>0</formula>
    </cfRule>
  </conditionalFormatting>
  <conditionalFormatting sqref="Y150:Y151">
    <cfRule type="cellIs" dxfId="3758" priority="1872" operator="greaterThan">
      <formula>0</formula>
    </cfRule>
  </conditionalFormatting>
  <conditionalFormatting sqref="Y150:Y151">
    <cfRule type="cellIs" dxfId="3757" priority="1871" operator="equal">
      <formula>0</formula>
    </cfRule>
  </conditionalFormatting>
  <conditionalFormatting sqref="Y152">
    <cfRule type="cellIs" dxfId="3756" priority="1870" operator="equal">
      <formula>0</formula>
    </cfRule>
  </conditionalFormatting>
  <conditionalFormatting sqref="Y158:Y159">
    <cfRule type="cellIs" dxfId="3755" priority="1869" operator="greaterThan">
      <formula>0</formula>
    </cfRule>
  </conditionalFormatting>
  <conditionalFormatting sqref="Y158:Y159">
    <cfRule type="cellIs" dxfId="3754" priority="1868" operator="equal">
      <formula>0</formula>
    </cfRule>
  </conditionalFormatting>
  <conditionalFormatting sqref="Y160">
    <cfRule type="cellIs" dxfId="3753" priority="1867" operator="equal">
      <formula>0</formula>
    </cfRule>
  </conditionalFormatting>
  <conditionalFormatting sqref="Y162:Y163">
    <cfRule type="cellIs" dxfId="3752" priority="1866" operator="greaterThan">
      <formula>0</formula>
    </cfRule>
  </conditionalFormatting>
  <conditionalFormatting sqref="Y162:Y163">
    <cfRule type="cellIs" dxfId="3751" priority="1865" operator="equal">
      <formula>0</formula>
    </cfRule>
  </conditionalFormatting>
  <conditionalFormatting sqref="Y164">
    <cfRule type="cellIs" dxfId="3750" priority="1864" operator="equal">
      <formula>0</formula>
    </cfRule>
  </conditionalFormatting>
  <conditionalFormatting sqref="Y166:Y167">
    <cfRule type="cellIs" dxfId="3749" priority="1863" operator="greaterThan">
      <formula>0</formula>
    </cfRule>
  </conditionalFormatting>
  <conditionalFormatting sqref="Y166:Y167">
    <cfRule type="cellIs" dxfId="3748" priority="1862" operator="equal">
      <formula>0</formula>
    </cfRule>
  </conditionalFormatting>
  <conditionalFormatting sqref="Y168">
    <cfRule type="cellIs" dxfId="3747" priority="1861" operator="equal">
      <formula>0</formula>
    </cfRule>
  </conditionalFormatting>
  <conditionalFormatting sqref="Z154:Z155 Z170:Z171 Z174:Z175 Z182:Z183 Z186:Z187 Z190:Z191 Z194:Z195 Z210:Z211">
    <cfRule type="cellIs" dxfId="3746" priority="1860" operator="greaterThan">
      <formula>0</formula>
    </cfRule>
  </conditionalFormatting>
  <conditionalFormatting sqref="Z154:Z155 Z170:Z171 Z174:Z175 Z182:Z183 Z186:Z187 Z190:Z191 Z194:Z195 Z210:Z211">
    <cfRule type="cellIs" dxfId="3745" priority="1859" operator="equal">
      <formula>0</formula>
    </cfRule>
  </conditionalFormatting>
  <conditionalFormatting sqref="Z156 Z172 Z184 Z188 Z192 Z196 Z212 Z176:Z180">
    <cfRule type="cellIs" dxfId="3744" priority="1858" operator="equal">
      <formula>0</formula>
    </cfRule>
  </conditionalFormatting>
  <conditionalFormatting sqref="Z150:Z151">
    <cfRule type="cellIs" dxfId="3743" priority="1857" operator="greaterThan">
      <formula>0</formula>
    </cfRule>
  </conditionalFormatting>
  <conditionalFormatting sqref="Z150:Z151">
    <cfRule type="cellIs" dxfId="3742" priority="1856" operator="equal">
      <formula>0</formula>
    </cfRule>
  </conditionalFormatting>
  <conditionalFormatting sqref="Z152">
    <cfRule type="cellIs" dxfId="3741" priority="1855" operator="equal">
      <formula>0</formula>
    </cfRule>
  </conditionalFormatting>
  <conditionalFormatting sqref="Z158:Z159">
    <cfRule type="cellIs" dxfId="3740" priority="1854" operator="greaterThan">
      <formula>0</formula>
    </cfRule>
  </conditionalFormatting>
  <conditionalFormatting sqref="Z158:Z159">
    <cfRule type="cellIs" dxfId="3739" priority="1853" operator="equal">
      <formula>0</formula>
    </cfRule>
  </conditionalFormatting>
  <conditionalFormatting sqref="Z160">
    <cfRule type="cellIs" dxfId="3738" priority="1852" operator="equal">
      <formula>0</formula>
    </cfRule>
  </conditionalFormatting>
  <conditionalFormatting sqref="Z162:Z163">
    <cfRule type="cellIs" dxfId="3737" priority="1851" operator="greaterThan">
      <formula>0</formula>
    </cfRule>
  </conditionalFormatting>
  <conditionalFormatting sqref="Z162:Z163">
    <cfRule type="cellIs" dxfId="3736" priority="1850" operator="equal">
      <formula>0</formula>
    </cfRule>
  </conditionalFormatting>
  <conditionalFormatting sqref="Z164">
    <cfRule type="cellIs" dxfId="3735" priority="1849" operator="equal">
      <formula>0</formula>
    </cfRule>
  </conditionalFormatting>
  <conditionalFormatting sqref="Z166:Z167">
    <cfRule type="cellIs" dxfId="3734" priority="1848" operator="greaterThan">
      <formula>0</formula>
    </cfRule>
  </conditionalFormatting>
  <conditionalFormatting sqref="Z166:Z167">
    <cfRule type="cellIs" dxfId="3733" priority="1847" operator="equal">
      <formula>0</formula>
    </cfRule>
  </conditionalFormatting>
  <conditionalFormatting sqref="Z168">
    <cfRule type="cellIs" dxfId="3732" priority="1846" operator="equal">
      <formula>0</formula>
    </cfRule>
  </conditionalFormatting>
  <conditionalFormatting sqref="AA154:AA155 AA170:AA171 AA174:AA175 AA182:AA183 AA186:AA187 AA190:AA191 AA194:AA195 AA210:AA211">
    <cfRule type="cellIs" dxfId="3731" priority="1845" operator="greaterThan">
      <formula>0</formula>
    </cfRule>
  </conditionalFormatting>
  <conditionalFormatting sqref="AA154:AA155 AA170:AA171 AA174:AA175 AA182:AA183 AA186:AA187 AA190:AA191 AA194:AA195 AA210:AA211">
    <cfRule type="cellIs" dxfId="3730" priority="1844" operator="equal">
      <formula>0</formula>
    </cfRule>
  </conditionalFormatting>
  <conditionalFormatting sqref="AA156 AA172 AA184 AA188 AA192 AA196 AA212 AA176:AA180">
    <cfRule type="cellIs" dxfId="3729" priority="1843" operator="equal">
      <formula>0</formula>
    </cfRule>
  </conditionalFormatting>
  <conditionalFormatting sqref="AA150:AA151">
    <cfRule type="cellIs" dxfId="3728" priority="1842" operator="greaterThan">
      <formula>0</formula>
    </cfRule>
  </conditionalFormatting>
  <conditionalFormatting sqref="AA150:AA151">
    <cfRule type="cellIs" dxfId="3727" priority="1841" operator="equal">
      <formula>0</formula>
    </cfRule>
  </conditionalFormatting>
  <conditionalFormatting sqref="AA152">
    <cfRule type="cellIs" dxfId="3726" priority="1840" operator="equal">
      <formula>0</formula>
    </cfRule>
  </conditionalFormatting>
  <conditionalFormatting sqref="AA158:AA159">
    <cfRule type="cellIs" dxfId="3725" priority="1839" operator="greaterThan">
      <formula>0</formula>
    </cfRule>
  </conditionalFormatting>
  <conditionalFormatting sqref="AA158:AA159">
    <cfRule type="cellIs" dxfId="3724" priority="1838" operator="equal">
      <formula>0</formula>
    </cfRule>
  </conditionalFormatting>
  <conditionalFormatting sqref="AA160">
    <cfRule type="cellIs" dxfId="3723" priority="1837" operator="equal">
      <formula>0</formula>
    </cfRule>
  </conditionalFormatting>
  <conditionalFormatting sqref="AA162:AA163">
    <cfRule type="cellIs" dxfId="3722" priority="1836" operator="greaterThan">
      <formula>0</formula>
    </cfRule>
  </conditionalFormatting>
  <conditionalFormatting sqref="AA162:AA163">
    <cfRule type="cellIs" dxfId="3721" priority="1835" operator="equal">
      <formula>0</formula>
    </cfRule>
  </conditionalFormatting>
  <conditionalFormatting sqref="AA164">
    <cfRule type="cellIs" dxfId="3720" priority="1834" operator="equal">
      <formula>0</formula>
    </cfRule>
  </conditionalFormatting>
  <conditionalFormatting sqref="AA166:AA167">
    <cfRule type="cellIs" dxfId="3719" priority="1833" operator="greaterThan">
      <formula>0</formula>
    </cfRule>
  </conditionalFormatting>
  <conditionalFormatting sqref="AA166:AA167">
    <cfRule type="cellIs" dxfId="3718" priority="1832" operator="equal">
      <formula>0</formula>
    </cfRule>
  </conditionalFormatting>
  <conditionalFormatting sqref="AA168">
    <cfRule type="cellIs" dxfId="3717" priority="1831" operator="equal">
      <formula>0</formula>
    </cfRule>
  </conditionalFormatting>
  <conditionalFormatting sqref="AB154:AB155 AB170:AB171 AB174:AB175 AB182:AB183 AB186:AB187 AB190:AB191 AB194:AB195 AB210:AB211">
    <cfRule type="cellIs" dxfId="3716" priority="1830" operator="greaterThan">
      <formula>0</formula>
    </cfRule>
  </conditionalFormatting>
  <conditionalFormatting sqref="AB154:AB155 AB170:AB171 AB174:AB175 AB182:AB183 AB186:AB187 AB190:AB191 AB194:AB195 AB210:AB211">
    <cfRule type="cellIs" dxfId="3715" priority="1829" operator="equal">
      <formula>0</formula>
    </cfRule>
  </conditionalFormatting>
  <conditionalFormatting sqref="AB156 AB172 AB184 AB188 AB192 AB196 AB212 AB176:AB180">
    <cfRule type="cellIs" dxfId="3714" priority="1828" operator="equal">
      <formula>0</formula>
    </cfRule>
  </conditionalFormatting>
  <conditionalFormatting sqref="AB150:AB151">
    <cfRule type="cellIs" dxfId="3713" priority="1827" operator="greaterThan">
      <formula>0</formula>
    </cfRule>
  </conditionalFormatting>
  <conditionalFormatting sqref="AB150:AB151">
    <cfRule type="cellIs" dxfId="3712" priority="1826" operator="equal">
      <formula>0</formula>
    </cfRule>
  </conditionalFormatting>
  <conditionalFormatting sqref="AB152">
    <cfRule type="cellIs" dxfId="3711" priority="1825" operator="equal">
      <formula>0</formula>
    </cfRule>
  </conditionalFormatting>
  <conditionalFormatting sqref="AB158:AB159">
    <cfRule type="cellIs" dxfId="3710" priority="1824" operator="greaterThan">
      <formula>0</formula>
    </cfRule>
  </conditionalFormatting>
  <conditionalFormatting sqref="AB158:AB159">
    <cfRule type="cellIs" dxfId="3709" priority="1823" operator="equal">
      <formula>0</formula>
    </cfRule>
  </conditionalFormatting>
  <conditionalFormatting sqref="AB160">
    <cfRule type="cellIs" dxfId="3708" priority="1822" operator="equal">
      <formula>0</formula>
    </cfRule>
  </conditionalFormatting>
  <conditionalFormatting sqref="AB162:AB163">
    <cfRule type="cellIs" dxfId="3707" priority="1821" operator="greaterThan">
      <formula>0</formula>
    </cfRule>
  </conditionalFormatting>
  <conditionalFormatting sqref="AB162:AB163">
    <cfRule type="cellIs" dxfId="3706" priority="1820" operator="equal">
      <formula>0</formula>
    </cfRule>
  </conditionalFormatting>
  <conditionalFormatting sqref="AB164">
    <cfRule type="cellIs" dxfId="3705" priority="1819" operator="equal">
      <formula>0</formula>
    </cfRule>
  </conditionalFormatting>
  <conditionalFormatting sqref="AB166:AB167">
    <cfRule type="cellIs" dxfId="3704" priority="1818" operator="greaterThan">
      <formula>0</formula>
    </cfRule>
  </conditionalFormatting>
  <conditionalFormatting sqref="AB166:AB167">
    <cfRule type="cellIs" dxfId="3703" priority="1817" operator="equal">
      <formula>0</formula>
    </cfRule>
  </conditionalFormatting>
  <conditionalFormatting sqref="AB168">
    <cfRule type="cellIs" dxfId="3702" priority="1816" operator="equal">
      <formula>0</formula>
    </cfRule>
  </conditionalFormatting>
  <conditionalFormatting sqref="AC154:AC155 AC170:AC171 AC174:AC175 AC182:AC183 AC186:AC187 AC190:AC191 AC194:AC195 AC210:AC211">
    <cfRule type="cellIs" dxfId="3701" priority="1815" operator="greaterThan">
      <formula>0</formula>
    </cfRule>
  </conditionalFormatting>
  <conditionalFormatting sqref="AC154:AC155 AC170:AC171 AC174:AC175 AC182:AC183 AC186:AC187 AC190:AC191 AC194:AC195 AC210:AC211">
    <cfRule type="cellIs" dxfId="3700" priority="1814" operator="equal">
      <formula>0</formula>
    </cfRule>
  </conditionalFormatting>
  <conditionalFormatting sqref="AC156 AC172 AC184 AC188 AC192 AC196 AC212 AC176:AC180">
    <cfRule type="cellIs" dxfId="3699" priority="1813" operator="equal">
      <formula>0</formula>
    </cfRule>
  </conditionalFormatting>
  <conditionalFormatting sqref="AC150:AC151">
    <cfRule type="cellIs" dxfId="3698" priority="1812" operator="greaterThan">
      <formula>0</formula>
    </cfRule>
  </conditionalFormatting>
  <conditionalFormatting sqref="AC150:AC151">
    <cfRule type="cellIs" dxfId="3697" priority="1811" operator="equal">
      <formula>0</formula>
    </cfRule>
  </conditionalFormatting>
  <conditionalFormatting sqref="AC152">
    <cfRule type="cellIs" dxfId="3696" priority="1810" operator="equal">
      <formula>0</formula>
    </cfRule>
  </conditionalFormatting>
  <conditionalFormatting sqref="AC158:AC159">
    <cfRule type="cellIs" dxfId="3695" priority="1809" operator="greaterThan">
      <formula>0</formula>
    </cfRule>
  </conditionalFormatting>
  <conditionalFormatting sqref="AC158:AC159">
    <cfRule type="cellIs" dxfId="3694" priority="1808" operator="equal">
      <formula>0</formula>
    </cfRule>
  </conditionalFormatting>
  <conditionalFormatting sqref="AC160">
    <cfRule type="cellIs" dxfId="3693" priority="1807" operator="equal">
      <formula>0</formula>
    </cfRule>
  </conditionalFormatting>
  <conditionalFormatting sqref="AC162:AC163">
    <cfRule type="cellIs" dxfId="3692" priority="1806" operator="greaterThan">
      <formula>0</formula>
    </cfRule>
  </conditionalFormatting>
  <conditionalFormatting sqref="AC162:AC163">
    <cfRule type="cellIs" dxfId="3691" priority="1805" operator="equal">
      <formula>0</formula>
    </cfRule>
  </conditionalFormatting>
  <conditionalFormatting sqref="AC164">
    <cfRule type="cellIs" dxfId="3690" priority="1804" operator="equal">
      <formula>0</formula>
    </cfRule>
  </conditionalFormatting>
  <conditionalFormatting sqref="AC166:AC167">
    <cfRule type="cellIs" dxfId="3689" priority="1803" operator="greaterThan">
      <formula>0</formula>
    </cfRule>
  </conditionalFormatting>
  <conditionalFormatting sqref="AC166:AC167">
    <cfRule type="cellIs" dxfId="3688" priority="1802" operator="equal">
      <formula>0</formula>
    </cfRule>
  </conditionalFormatting>
  <conditionalFormatting sqref="AC168">
    <cfRule type="cellIs" dxfId="3687" priority="1801" operator="equal">
      <formula>0</formula>
    </cfRule>
  </conditionalFormatting>
  <conditionalFormatting sqref="AD154:AD155 AD170:AD171 AD174:AD175 AD182:AD183 AD186:AD187 AD190:AD191 AD194:AD195 AD210:AD211">
    <cfRule type="cellIs" dxfId="3686" priority="1800" operator="greaterThan">
      <formula>0</formula>
    </cfRule>
  </conditionalFormatting>
  <conditionalFormatting sqref="AD154:AD155 AD170:AD171 AD174:AD175 AD182:AD183 AD186:AD187 AD190:AD191 AD194:AD195 AD210:AD211">
    <cfRule type="cellIs" dxfId="3685" priority="1799" operator="equal">
      <formula>0</formula>
    </cfRule>
  </conditionalFormatting>
  <conditionalFormatting sqref="AD156 AD172 AD184 AD188 AD192 AD196 AD212 AD176:AD180">
    <cfRule type="cellIs" dxfId="3684" priority="1798" operator="equal">
      <formula>0</formula>
    </cfRule>
  </conditionalFormatting>
  <conditionalFormatting sqref="AD150:AD151">
    <cfRule type="cellIs" dxfId="3683" priority="1797" operator="greaterThan">
      <formula>0</formula>
    </cfRule>
  </conditionalFormatting>
  <conditionalFormatting sqref="AD150:AD151">
    <cfRule type="cellIs" dxfId="3682" priority="1796" operator="equal">
      <formula>0</formula>
    </cfRule>
  </conditionalFormatting>
  <conditionalFormatting sqref="AD152">
    <cfRule type="cellIs" dxfId="3681" priority="1795" operator="equal">
      <formula>0</formula>
    </cfRule>
  </conditionalFormatting>
  <conditionalFormatting sqref="AD158:AD159">
    <cfRule type="cellIs" dxfId="3680" priority="1794" operator="greaterThan">
      <formula>0</formula>
    </cfRule>
  </conditionalFormatting>
  <conditionalFormatting sqref="AD158:AD159">
    <cfRule type="cellIs" dxfId="3679" priority="1793" operator="equal">
      <formula>0</formula>
    </cfRule>
  </conditionalFormatting>
  <conditionalFormatting sqref="AD160">
    <cfRule type="cellIs" dxfId="3678" priority="1792" operator="equal">
      <formula>0</formula>
    </cfRule>
  </conditionalFormatting>
  <conditionalFormatting sqref="AD162:AD163">
    <cfRule type="cellIs" dxfId="3677" priority="1791" operator="greaterThan">
      <formula>0</formula>
    </cfRule>
  </conditionalFormatting>
  <conditionalFormatting sqref="AD162:AD163">
    <cfRule type="cellIs" dxfId="3676" priority="1790" operator="equal">
      <formula>0</formula>
    </cfRule>
  </conditionalFormatting>
  <conditionalFormatting sqref="AD164">
    <cfRule type="cellIs" dxfId="3675" priority="1789" operator="equal">
      <formula>0</formula>
    </cfRule>
  </conditionalFormatting>
  <conditionalFormatting sqref="AD166:AD167">
    <cfRule type="cellIs" dxfId="3674" priority="1788" operator="greaterThan">
      <formula>0</formula>
    </cfRule>
  </conditionalFormatting>
  <conditionalFormatting sqref="AD166:AD167">
    <cfRule type="cellIs" dxfId="3673" priority="1787" operator="equal">
      <formula>0</formula>
    </cfRule>
  </conditionalFormatting>
  <conditionalFormatting sqref="AD168">
    <cfRule type="cellIs" dxfId="3672" priority="1786" operator="equal">
      <formula>0</formula>
    </cfRule>
  </conditionalFormatting>
  <conditionalFormatting sqref="AE154:AE155 AE170:AE171 AE174:AE175 AE182:AE183 AE186:AE187 AE190:AE191 AE194:AE195 AE210:AE211">
    <cfRule type="cellIs" dxfId="3671" priority="1785" operator="greaterThan">
      <formula>0</formula>
    </cfRule>
  </conditionalFormatting>
  <conditionalFormatting sqref="AE154:AE155 AE170:AE171 AE174:AE175 AE182:AE183 AE186:AE187 AE190:AE191 AE194:AE195 AE210:AE211">
    <cfRule type="cellIs" dxfId="3670" priority="1784" operator="equal">
      <formula>0</formula>
    </cfRule>
  </conditionalFormatting>
  <conditionalFormatting sqref="AE156 AE172 AE184 AE188 AE192 AE196 AE212 AE176:AE180">
    <cfRule type="cellIs" dxfId="3669" priority="1783" operator="equal">
      <formula>0</formula>
    </cfRule>
  </conditionalFormatting>
  <conditionalFormatting sqref="AE150:AE151">
    <cfRule type="cellIs" dxfId="3668" priority="1782" operator="greaterThan">
      <formula>0</formula>
    </cfRule>
  </conditionalFormatting>
  <conditionalFormatting sqref="AE150:AE151">
    <cfRule type="cellIs" dxfId="3667" priority="1781" operator="equal">
      <formula>0</formula>
    </cfRule>
  </conditionalFormatting>
  <conditionalFormatting sqref="AE152">
    <cfRule type="cellIs" dxfId="3666" priority="1780" operator="equal">
      <formula>0</formula>
    </cfRule>
  </conditionalFormatting>
  <conditionalFormatting sqref="AE158:AE159">
    <cfRule type="cellIs" dxfId="3665" priority="1779" operator="greaterThan">
      <formula>0</formula>
    </cfRule>
  </conditionalFormatting>
  <conditionalFormatting sqref="AE158:AE159">
    <cfRule type="cellIs" dxfId="3664" priority="1778" operator="equal">
      <formula>0</formula>
    </cfRule>
  </conditionalFormatting>
  <conditionalFormatting sqref="AE160">
    <cfRule type="cellIs" dxfId="3663" priority="1777" operator="equal">
      <formula>0</formula>
    </cfRule>
  </conditionalFormatting>
  <conditionalFormatting sqref="AE162:AE163">
    <cfRule type="cellIs" dxfId="3662" priority="1776" operator="greaterThan">
      <formula>0</formula>
    </cfRule>
  </conditionalFormatting>
  <conditionalFormatting sqref="AE162:AE163">
    <cfRule type="cellIs" dxfId="3661" priority="1775" operator="equal">
      <formula>0</formula>
    </cfRule>
  </conditionalFormatting>
  <conditionalFormatting sqref="AE164">
    <cfRule type="cellIs" dxfId="3660" priority="1774" operator="equal">
      <formula>0</formula>
    </cfRule>
  </conditionalFormatting>
  <conditionalFormatting sqref="AE166:AE167">
    <cfRule type="cellIs" dxfId="3659" priority="1773" operator="greaterThan">
      <formula>0</formula>
    </cfRule>
  </conditionalFormatting>
  <conditionalFormatting sqref="AE166:AE167">
    <cfRule type="cellIs" dxfId="3658" priority="1772" operator="equal">
      <formula>0</formula>
    </cfRule>
  </conditionalFormatting>
  <conditionalFormatting sqref="AE168">
    <cfRule type="cellIs" dxfId="3657" priority="1771" operator="equal">
      <formula>0</formula>
    </cfRule>
  </conditionalFormatting>
  <conditionalFormatting sqref="AF154:AF155 AF170:AF171 AF174:AF175 AF182:AF183 AF186:AF187 AF190:AF191 AF194:AF195 AF210:AF211">
    <cfRule type="cellIs" dxfId="3656" priority="1770" operator="greaterThan">
      <formula>0</formula>
    </cfRule>
  </conditionalFormatting>
  <conditionalFormatting sqref="AF154:AF155 AF170:AF171 AF174:AF175 AF182:AF183 AF186:AF187 AF190:AF191 AF194:AF195 AF210:AF211">
    <cfRule type="cellIs" dxfId="3655" priority="1769" operator="equal">
      <formula>0</formula>
    </cfRule>
  </conditionalFormatting>
  <conditionalFormatting sqref="AF156 AF172 AF184 AF188 AF192 AF196 AF212 AF176:AF180">
    <cfRule type="cellIs" dxfId="3654" priority="1768" operator="equal">
      <formula>0</formula>
    </cfRule>
  </conditionalFormatting>
  <conditionalFormatting sqref="AF150:AF151">
    <cfRule type="cellIs" dxfId="3653" priority="1767" operator="greaterThan">
      <formula>0</formula>
    </cfRule>
  </conditionalFormatting>
  <conditionalFormatting sqref="AF150:AF151">
    <cfRule type="cellIs" dxfId="3652" priority="1766" operator="equal">
      <formula>0</formula>
    </cfRule>
  </conditionalFormatting>
  <conditionalFormatting sqref="AF152">
    <cfRule type="cellIs" dxfId="3651" priority="1765" operator="equal">
      <formula>0</formula>
    </cfRule>
  </conditionalFormatting>
  <conditionalFormatting sqref="AF158:AF159">
    <cfRule type="cellIs" dxfId="3650" priority="1764" operator="greaterThan">
      <formula>0</formula>
    </cfRule>
  </conditionalFormatting>
  <conditionalFormatting sqref="AF158:AF159">
    <cfRule type="cellIs" dxfId="3649" priority="1763" operator="equal">
      <formula>0</formula>
    </cfRule>
  </conditionalFormatting>
  <conditionalFormatting sqref="AF160">
    <cfRule type="cellIs" dxfId="3648" priority="1762" operator="equal">
      <formula>0</formula>
    </cfRule>
  </conditionalFormatting>
  <conditionalFormatting sqref="AF162:AF163">
    <cfRule type="cellIs" dxfId="3647" priority="1761" operator="greaterThan">
      <formula>0</formula>
    </cfRule>
  </conditionalFormatting>
  <conditionalFormatting sqref="AF162:AF163">
    <cfRule type="cellIs" dxfId="3646" priority="1760" operator="equal">
      <formula>0</formula>
    </cfRule>
  </conditionalFormatting>
  <conditionalFormatting sqref="AF164">
    <cfRule type="cellIs" dxfId="3645" priority="1759" operator="equal">
      <formula>0</formula>
    </cfRule>
  </conditionalFormatting>
  <conditionalFormatting sqref="AF166:AF167">
    <cfRule type="cellIs" dxfId="3644" priority="1758" operator="greaterThan">
      <formula>0</formula>
    </cfRule>
  </conditionalFormatting>
  <conditionalFormatting sqref="AF166:AF167">
    <cfRule type="cellIs" dxfId="3643" priority="1757" operator="equal">
      <formula>0</formula>
    </cfRule>
  </conditionalFormatting>
  <conditionalFormatting sqref="AF168">
    <cfRule type="cellIs" dxfId="3642" priority="1756" operator="equal">
      <formula>0</formula>
    </cfRule>
  </conditionalFormatting>
  <conditionalFormatting sqref="AG156 AG172 AG184 AG188 AG192 AG196 AG212 AG176:AG180">
    <cfRule type="cellIs" dxfId="3641" priority="1755" operator="equal">
      <formula>0</formula>
    </cfRule>
  </conditionalFormatting>
  <conditionalFormatting sqref="AG152">
    <cfRule type="cellIs" dxfId="3640" priority="1754" operator="equal">
      <formula>0</formula>
    </cfRule>
  </conditionalFormatting>
  <conditionalFormatting sqref="AG160">
    <cfRule type="cellIs" dxfId="3639" priority="1753" operator="equal">
      <formula>0</formula>
    </cfRule>
  </conditionalFormatting>
  <conditionalFormatting sqref="AG164">
    <cfRule type="cellIs" dxfId="3638" priority="1752" operator="equal">
      <formula>0</formula>
    </cfRule>
  </conditionalFormatting>
  <conditionalFormatting sqref="AG168">
    <cfRule type="cellIs" dxfId="3637" priority="1751" operator="equal">
      <formula>0</formula>
    </cfRule>
  </conditionalFormatting>
  <conditionalFormatting sqref="AH156 AH172 AH184 AH188 AH192 AH196 AH212 AH176:AH180">
    <cfRule type="cellIs" dxfId="3636" priority="1750" operator="equal">
      <formula>0</formula>
    </cfRule>
  </conditionalFormatting>
  <conditionalFormatting sqref="AH152">
    <cfRule type="cellIs" dxfId="3635" priority="1749" operator="equal">
      <formula>0</formula>
    </cfRule>
  </conditionalFormatting>
  <conditionalFormatting sqref="AH160">
    <cfRule type="cellIs" dxfId="3634" priority="1748" operator="equal">
      <formula>0</formula>
    </cfRule>
  </conditionalFormatting>
  <conditionalFormatting sqref="AH164">
    <cfRule type="cellIs" dxfId="3633" priority="1747" operator="equal">
      <formula>0</formula>
    </cfRule>
  </conditionalFormatting>
  <conditionalFormatting sqref="AH168">
    <cfRule type="cellIs" dxfId="3632" priority="1746" operator="equal">
      <formula>0</formula>
    </cfRule>
  </conditionalFormatting>
  <conditionalFormatting sqref="AI156 AI172 AI184 AI188 AI192 AI196 AI212 AI176:AI180">
    <cfRule type="cellIs" dxfId="3631" priority="1745" operator="equal">
      <formula>0</formula>
    </cfRule>
  </conditionalFormatting>
  <conditionalFormatting sqref="AI152">
    <cfRule type="cellIs" dxfId="3630" priority="1744" operator="equal">
      <formula>0</formula>
    </cfRule>
  </conditionalFormatting>
  <conditionalFormatting sqref="AI160">
    <cfRule type="cellIs" dxfId="3629" priority="1743" operator="equal">
      <formula>0</formula>
    </cfRule>
  </conditionalFormatting>
  <conditionalFormatting sqref="AI164">
    <cfRule type="cellIs" dxfId="3628" priority="1742" operator="equal">
      <formula>0</formula>
    </cfRule>
  </conditionalFormatting>
  <conditionalFormatting sqref="AI168">
    <cfRule type="cellIs" dxfId="3627" priority="1741" operator="equal">
      <formula>0</formula>
    </cfRule>
  </conditionalFormatting>
  <conditionalFormatting sqref="AJ156 AJ172 AJ184 AJ188 AJ192 AJ196 AJ212 AJ176:AJ180">
    <cfRule type="cellIs" dxfId="3626" priority="1740" operator="equal">
      <formula>0</formula>
    </cfRule>
  </conditionalFormatting>
  <conditionalFormatting sqref="AJ152">
    <cfRule type="cellIs" dxfId="3625" priority="1739" operator="equal">
      <formula>0</formula>
    </cfRule>
  </conditionalFormatting>
  <conditionalFormatting sqref="AJ160">
    <cfRule type="cellIs" dxfId="3624" priority="1738" operator="equal">
      <formula>0</formula>
    </cfRule>
  </conditionalFormatting>
  <conditionalFormatting sqref="AJ164">
    <cfRule type="cellIs" dxfId="3623" priority="1737" operator="equal">
      <formula>0</formula>
    </cfRule>
  </conditionalFormatting>
  <conditionalFormatting sqref="AJ168">
    <cfRule type="cellIs" dxfId="3622" priority="1736" operator="equal">
      <formula>0</formula>
    </cfRule>
  </conditionalFormatting>
  <conditionalFormatting sqref="AK153">
    <cfRule type="cellIs" dxfId="3621" priority="1734" operator="equal">
      <formula>0</formula>
    </cfRule>
    <cfRule type="cellIs" dxfId="3620" priority="1735" operator="notEqual">
      <formula>0</formula>
    </cfRule>
  </conditionalFormatting>
  <conditionalFormatting sqref="AK169 AK173 AK181 AK185 AK189 AK193 AK209">
    <cfRule type="cellIs" dxfId="3619" priority="1733" operator="greaterThan">
      <formula>0</formula>
    </cfRule>
  </conditionalFormatting>
  <conditionalFormatting sqref="AK156 AK172 AK184 AK188 AK192 AK196 AK212 AK176:AK180">
    <cfRule type="cellIs" dxfId="3618" priority="1732" operator="equal">
      <formula>0</formula>
    </cfRule>
  </conditionalFormatting>
  <conditionalFormatting sqref="AK149">
    <cfRule type="cellIs" dxfId="3617" priority="1730" operator="equal">
      <formula>0</formula>
    </cfRule>
    <cfRule type="cellIs" dxfId="3616" priority="1731" operator="notEqual">
      <formula>0</formula>
    </cfRule>
  </conditionalFormatting>
  <conditionalFormatting sqref="AK152">
    <cfRule type="cellIs" dxfId="3615" priority="1729" operator="equal">
      <formula>0</formula>
    </cfRule>
  </conditionalFormatting>
  <conditionalFormatting sqref="AK157">
    <cfRule type="cellIs" dxfId="3614" priority="1727" operator="equal">
      <formula>0</formula>
    </cfRule>
    <cfRule type="cellIs" dxfId="3613" priority="1728" operator="notEqual">
      <formula>0</formula>
    </cfRule>
  </conditionalFormatting>
  <conditionalFormatting sqref="AK160">
    <cfRule type="cellIs" dxfId="3612" priority="1726" operator="equal">
      <formula>0</formula>
    </cfRule>
  </conditionalFormatting>
  <conditionalFormatting sqref="AK161">
    <cfRule type="cellIs" dxfId="3611" priority="1724" operator="equal">
      <formula>0</formula>
    </cfRule>
    <cfRule type="cellIs" dxfId="3610" priority="1725" operator="notEqual">
      <formula>0</formula>
    </cfRule>
  </conditionalFormatting>
  <conditionalFormatting sqref="AK164">
    <cfRule type="cellIs" dxfId="3609" priority="1723" operator="equal">
      <formula>0</formula>
    </cfRule>
  </conditionalFormatting>
  <conditionalFormatting sqref="AK165">
    <cfRule type="cellIs" dxfId="3608" priority="1721" operator="equal">
      <formula>0</formula>
    </cfRule>
    <cfRule type="cellIs" dxfId="3607" priority="1722" operator="notEqual">
      <formula>0</formula>
    </cfRule>
  </conditionalFormatting>
  <conditionalFormatting sqref="AK168">
    <cfRule type="cellIs" dxfId="3606" priority="1720" operator="equal">
      <formula>0</formula>
    </cfRule>
  </conditionalFormatting>
  <conditionalFormatting sqref="AL153">
    <cfRule type="cellIs" dxfId="3605" priority="1718" operator="equal">
      <formula>0</formula>
    </cfRule>
    <cfRule type="cellIs" dxfId="3604" priority="1719" operator="notEqual">
      <formula>0</formula>
    </cfRule>
  </conditionalFormatting>
  <conditionalFormatting sqref="AL169 AL173 AL181 AL185 AL189 AL193 AL209">
    <cfRule type="cellIs" dxfId="3603" priority="1717" operator="greaterThan">
      <formula>0</formula>
    </cfRule>
  </conditionalFormatting>
  <conditionalFormatting sqref="AL156 AL172 AL184 AL188 AL192 AL196 AL212 AL176:AL180">
    <cfRule type="cellIs" dxfId="3602" priority="1716" operator="equal">
      <formula>0</formula>
    </cfRule>
  </conditionalFormatting>
  <conditionalFormatting sqref="AL149">
    <cfRule type="cellIs" dxfId="3601" priority="1714" operator="equal">
      <formula>0</formula>
    </cfRule>
    <cfRule type="cellIs" dxfId="3600" priority="1715" operator="notEqual">
      <formula>0</formula>
    </cfRule>
  </conditionalFormatting>
  <conditionalFormatting sqref="AL152">
    <cfRule type="cellIs" dxfId="3599" priority="1713" operator="equal">
      <formula>0</formula>
    </cfRule>
  </conditionalFormatting>
  <conditionalFormatting sqref="AL157">
    <cfRule type="cellIs" dxfId="3598" priority="1711" operator="equal">
      <formula>0</formula>
    </cfRule>
    <cfRule type="cellIs" dxfId="3597" priority="1712" operator="notEqual">
      <formula>0</formula>
    </cfRule>
  </conditionalFormatting>
  <conditionalFormatting sqref="AL160">
    <cfRule type="cellIs" dxfId="3596" priority="1710" operator="equal">
      <formula>0</formula>
    </cfRule>
  </conditionalFormatting>
  <conditionalFormatting sqref="AL161">
    <cfRule type="cellIs" dxfId="3595" priority="1708" operator="equal">
      <formula>0</formula>
    </cfRule>
    <cfRule type="cellIs" dxfId="3594" priority="1709" operator="notEqual">
      <formula>0</formula>
    </cfRule>
  </conditionalFormatting>
  <conditionalFormatting sqref="AL164">
    <cfRule type="cellIs" dxfId="3593" priority="1707" operator="equal">
      <formula>0</formula>
    </cfRule>
  </conditionalFormatting>
  <conditionalFormatting sqref="AL165">
    <cfRule type="cellIs" dxfId="3592" priority="1705" operator="equal">
      <formula>0</formula>
    </cfRule>
    <cfRule type="cellIs" dxfId="3591" priority="1706" operator="notEqual">
      <formula>0</formula>
    </cfRule>
  </conditionalFormatting>
  <conditionalFormatting sqref="AL168">
    <cfRule type="cellIs" dxfId="3590" priority="1704" operator="equal">
      <formula>0</formula>
    </cfRule>
  </conditionalFormatting>
  <conditionalFormatting sqref="AM153">
    <cfRule type="cellIs" dxfId="3589" priority="1702" operator="equal">
      <formula>0</formula>
    </cfRule>
    <cfRule type="cellIs" dxfId="3588" priority="1703" operator="notEqual">
      <formula>0</formula>
    </cfRule>
  </conditionalFormatting>
  <conditionalFormatting sqref="AM169 AM173 AM181 AM185 AM189 AM193 AM209">
    <cfRule type="cellIs" dxfId="3587" priority="1701" operator="greaterThan">
      <formula>0</formula>
    </cfRule>
  </conditionalFormatting>
  <conditionalFormatting sqref="AM156 AM172 AM184 AM188 AM192 AM196 AM212 AM176:AM180">
    <cfRule type="cellIs" dxfId="3586" priority="1700" operator="equal">
      <formula>0</formula>
    </cfRule>
  </conditionalFormatting>
  <conditionalFormatting sqref="AM149">
    <cfRule type="cellIs" dxfId="3585" priority="1698" operator="equal">
      <formula>0</formula>
    </cfRule>
    <cfRule type="cellIs" dxfId="3584" priority="1699" operator="notEqual">
      <formula>0</formula>
    </cfRule>
  </conditionalFormatting>
  <conditionalFormatting sqref="AM152">
    <cfRule type="cellIs" dxfId="3583" priority="1697" operator="equal">
      <formula>0</formula>
    </cfRule>
  </conditionalFormatting>
  <conditionalFormatting sqref="AM157">
    <cfRule type="cellIs" dxfId="3582" priority="1695" operator="equal">
      <formula>0</formula>
    </cfRule>
    <cfRule type="cellIs" dxfId="3581" priority="1696" operator="notEqual">
      <formula>0</formula>
    </cfRule>
  </conditionalFormatting>
  <conditionalFormatting sqref="AM160">
    <cfRule type="cellIs" dxfId="3580" priority="1694" operator="equal">
      <formula>0</formula>
    </cfRule>
  </conditionalFormatting>
  <conditionalFormatting sqref="AM161">
    <cfRule type="cellIs" dxfId="3579" priority="1692" operator="equal">
      <formula>0</formula>
    </cfRule>
    <cfRule type="cellIs" dxfId="3578" priority="1693" operator="notEqual">
      <formula>0</formula>
    </cfRule>
  </conditionalFormatting>
  <conditionalFormatting sqref="AM164">
    <cfRule type="cellIs" dxfId="3577" priority="1691" operator="equal">
      <formula>0</formula>
    </cfRule>
  </conditionalFormatting>
  <conditionalFormatting sqref="AM165">
    <cfRule type="cellIs" dxfId="3576" priority="1689" operator="equal">
      <formula>0</formula>
    </cfRule>
    <cfRule type="cellIs" dxfId="3575" priority="1690" operator="notEqual">
      <formula>0</formula>
    </cfRule>
  </conditionalFormatting>
  <conditionalFormatting sqref="AM168">
    <cfRule type="cellIs" dxfId="3574" priority="1688" operator="equal">
      <formula>0</formula>
    </cfRule>
  </conditionalFormatting>
  <conditionalFormatting sqref="AN153">
    <cfRule type="cellIs" dxfId="3573" priority="1686" operator="equal">
      <formula>0</formula>
    </cfRule>
    <cfRule type="cellIs" dxfId="3572" priority="1687" operator="notEqual">
      <formula>0</formula>
    </cfRule>
  </conditionalFormatting>
  <conditionalFormatting sqref="AN169 AN173 AN181 AN185 AN189 AN193 AN209">
    <cfRule type="cellIs" dxfId="3571" priority="1685" operator="greaterThan">
      <formula>0</formula>
    </cfRule>
  </conditionalFormatting>
  <conditionalFormatting sqref="AN156 AN172 AN184 AN188 AN192 AN196 AN212 AN176:AN180">
    <cfRule type="cellIs" dxfId="3570" priority="1684" operator="equal">
      <formula>0</formula>
    </cfRule>
  </conditionalFormatting>
  <conditionalFormatting sqref="AN149">
    <cfRule type="cellIs" dxfId="3569" priority="1682" operator="equal">
      <formula>0</formula>
    </cfRule>
    <cfRule type="cellIs" dxfId="3568" priority="1683" operator="notEqual">
      <formula>0</formula>
    </cfRule>
  </conditionalFormatting>
  <conditionalFormatting sqref="AN152">
    <cfRule type="cellIs" dxfId="3567" priority="1681" operator="equal">
      <formula>0</formula>
    </cfRule>
  </conditionalFormatting>
  <conditionalFormatting sqref="AN157">
    <cfRule type="cellIs" dxfId="3566" priority="1679" operator="equal">
      <formula>0</formula>
    </cfRule>
    <cfRule type="cellIs" dxfId="3565" priority="1680" operator="notEqual">
      <formula>0</formula>
    </cfRule>
  </conditionalFormatting>
  <conditionalFormatting sqref="AN160">
    <cfRule type="cellIs" dxfId="3564" priority="1678" operator="equal">
      <formula>0</formula>
    </cfRule>
  </conditionalFormatting>
  <conditionalFormatting sqref="AN161">
    <cfRule type="cellIs" dxfId="3563" priority="1676" operator="equal">
      <formula>0</formula>
    </cfRule>
    <cfRule type="cellIs" dxfId="3562" priority="1677" operator="notEqual">
      <formula>0</formula>
    </cfRule>
  </conditionalFormatting>
  <conditionalFormatting sqref="AN164">
    <cfRule type="cellIs" dxfId="3561" priority="1675" operator="equal">
      <formula>0</formula>
    </cfRule>
  </conditionalFormatting>
  <conditionalFormatting sqref="AN165">
    <cfRule type="cellIs" dxfId="3560" priority="1673" operator="equal">
      <formula>0</formula>
    </cfRule>
    <cfRule type="cellIs" dxfId="3559" priority="1674" operator="notEqual">
      <formula>0</formula>
    </cfRule>
  </conditionalFormatting>
  <conditionalFormatting sqref="AN168">
    <cfRule type="cellIs" dxfId="3558" priority="1672" operator="equal">
      <formula>0</formula>
    </cfRule>
  </conditionalFormatting>
  <conditionalFormatting sqref="T62">
    <cfRule type="cellIs" dxfId="3557" priority="769" operator="equal">
      <formula>0</formula>
    </cfRule>
  </conditionalFormatting>
  <conditionalFormatting sqref="E60:E61">
    <cfRule type="cellIs" dxfId="3556" priority="764" operator="equal">
      <formula>0</formula>
    </cfRule>
    <cfRule type="cellIs" dxfId="3555" priority="765" operator="notEqual">
      <formula>0</formula>
    </cfRule>
  </conditionalFormatting>
  <conditionalFormatting sqref="E62">
    <cfRule type="cellIs" dxfId="3554" priority="763" operator="equal">
      <formula>0</formula>
    </cfRule>
  </conditionalFormatting>
  <conditionalFormatting sqref="F60:F61">
    <cfRule type="cellIs" dxfId="3553" priority="761" operator="equal">
      <formula>0</formula>
    </cfRule>
    <cfRule type="cellIs" dxfId="3552" priority="762" operator="notEqual">
      <formula>0</formula>
    </cfRule>
  </conditionalFormatting>
  <conditionalFormatting sqref="F62">
    <cfRule type="cellIs" dxfId="3551" priority="760" operator="equal">
      <formula>0</formula>
    </cfRule>
  </conditionalFormatting>
  <conditionalFormatting sqref="G60:G61">
    <cfRule type="cellIs" dxfId="3550" priority="758" operator="equal">
      <formula>0</formula>
    </cfRule>
    <cfRule type="cellIs" dxfId="3549" priority="759" operator="notEqual">
      <formula>0</formula>
    </cfRule>
  </conditionalFormatting>
  <conditionalFormatting sqref="G62">
    <cfRule type="cellIs" dxfId="3548" priority="757" operator="equal">
      <formula>0</formula>
    </cfRule>
  </conditionalFormatting>
  <conditionalFormatting sqref="H60:H61">
    <cfRule type="cellIs" dxfId="3547" priority="755" operator="equal">
      <formula>0</formula>
    </cfRule>
    <cfRule type="cellIs" dxfId="3546" priority="756" operator="notEqual">
      <formula>0</formula>
    </cfRule>
  </conditionalFormatting>
  <conditionalFormatting sqref="H62">
    <cfRule type="cellIs" dxfId="3545" priority="754" operator="equal">
      <formula>0</formula>
    </cfRule>
  </conditionalFormatting>
  <conditionalFormatting sqref="I60:I61">
    <cfRule type="cellIs" dxfId="3544" priority="752" operator="equal">
      <formula>0</formula>
    </cfRule>
    <cfRule type="cellIs" dxfId="3543" priority="753" operator="notEqual">
      <formula>0</formula>
    </cfRule>
  </conditionalFormatting>
  <conditionalFormatting sqref="I62">
    <cfRule type="cellIs" dxfId="3542" priority="751" operator="equal">
      <formula>0</formula>
    </cfRule>
  </conditionalFormatting>
  <conditionalFormatting sqref="J60:J61">
    <cfRule type="cellIs" dxfId="3541" priority="749" operator="equal">
      <formula>0</formula>
    </cfRule>
    <cfRule type="cellIs" dxfId="3540" priority="750" operator="notEqual">
      <formula>0</formula>
    </cfRule>
  </conditionalFormatting>
  <conditionalFormatting sqref="J62">
    <cfRule type="cellIs" dxfId="3539" priority="748" operator="equal">
      <formula>0</formula>
    </cfRule>
  </conditionalFormatting>
  <conditionalFormatting sqref="K60:K61">
    <cfRule type="cellIs" dxfId="3538" priority="746" operator="equal">
      <formula>0</formula>
    </cfRule>
    <cfRule type="cellIs" dxfId="3537" priority="747" operator="notEqual">
      <formula>0</formula>
    </cfRule>
  </conditionalFormatting>
  <conditionalFormatting sqref="K62">
    <cfRule type="cellIs" dxfId="3536" priority="745" operator="equal">
      <formula>0</formula>
    </cfRule>
  </conditionalFormatting>
  <conditionalFormatting sqref="L62">
    <cfRule type="cellIs" dxfId="3535" priority="744" operator="equal">
      <formula>0</formula>
    </cfRule>
  </conditionalFormatting>
  <conditionalFormatting sqref="M62">
    <cfRule type="cellIs" dxfId="3534" priority="743" operator="equal">
      <formula>0</formula>
    </cfRule>
  </conditionalFormatting>
  <conditionalFormatting sqref="N62">
    <cfRule type="cellIs" dxfId="3533" priority="742" operator="equal">
      <formula>0</formula>
    </cfRule>
  </conditionalFormatting>
  <conditionalFormatting sqref="O62">
    <cfRule type="cellIs" dxfId="3532" priority="741" operator="equal">
      <formula>0</formula>
    </cfRule>
  </conditionalFormatting>
  <conditionalFormatting sqref="P59">
    <cfRule type="cellIs" dxfId="3531" priority="739" operator="equal">
      <formula>0</formula>
    </cfRule>
    <cfRule type="cellIs" dxfId="3530" priority="740" operator="notEqual">
      <formula>0</formula>
    </cfRule>
  </conditionalFormatting>
  <conditionalFormatting sqref="P62">
    <cfRule type="cellIs" dxfId="3529" priority="738" operator="equal">
      <formula>0</formula>
    </cfRule>
  </conditionalFormatting>
  <conditionalFormatting sqref="Q59">
    <cfRule type="cellIs" dxfId="3528" priority="736" operator="equal">
      <formula>0</formula>
    </cfRule>
    <cfRule type="cellIs" dxfId="3527" priority="737" operator="notEqual">
      <formula>0</formula>
    </cfRule>
  </conditionalFormatting>
  <conditionalFormatting sqref="Q62">
    <cfRule type="cellIs" dxfId="3526" priority="735" operator="equal">
      <formula>0</formula>
    </cfRule>
  </conditionalFormatting>
  <conditionalFormatting sqref="R59">
    <cfRule type="cellIs" dxfId="3525" priority="733" operator="equal">
      <formula>0</formula>
    </cfRule>
    <cfRule type="cellIs" dxfId="3524" priority="734" operator="notEqual">
      <formula>0</formula>
    </cfRule>
  </conditionalFormatting>
  <conditionalFormatting sqref="R62">
    <cfRule type="cellIs" dxfId="3523" priority="732" operator="equal">
      <formula>0</formula>
    </cfRule>
  </conditionalFormatting>
  <conditionalFormatting sqref="S59">
    <cfRule type="cellIs" dxfId="3522" priority="730" operator="equal">
      <formula>0</formula>
    </cfRule>
    <cfRule type="cellIs" dxfId="3521" priority="731" operator="notEqual">
      <formula>0</formula>
    </cfRule>
  </conditionalFormatting>
  <conditionalFormatting sqref="S62">
    <cfRule type="cellIs" dxfId="3520" priority="729" operator="equal">
      <formula>0</formula>
    </cfRule>
  </conditionalFormatting>
  <conditionalFormatting sqref="T66">
    <cfRule type="cellIs" dxfId="3519" priority="728" operator="equal">
      <formula>0</formula>
    </cfRule>
  </conditionalFormatting>
  <conditionalFormatting sqref="E64:E65">
    <cfRule type="cellIs" dxfId="3518" priority="723" operator="equal">
      <formula>0</formula>
    </cfRule>
    <cfRule type="cellIs" dxfId="3517" priority="724" operator="notEqual">
      <formula>0</formula>
    </cfRule>
  </conditionalFormatting>
  <conditionalFormatting sqref="E66">
    <cfRule type="cellIs" dxfId="3516" priority="722" operator="equal">
      <formula>0</formula>
    </cfRule>
  </conditionalFormatting>
  <conditionalFormatting sqref="F64:F65">
    <cfRule type="cellIs" dxfId="3515" priority="720" operator="equal">
      <formula>0</formula>
    </cfRule>
    <cfRule type="cellIs" dxfId="3514" priority="721" operator="notEqual">
      <formula>0</formula>
    </cfRule>
  </conditionalFormatting>
  <conditionalFormatting sqref="F66">
    <cfRule type="cellIs" dxfId="3513" priority="719" operator="equal">
      <formula>0</formula>
    </cfRule>
  </conditionalFormatting>
  <conditionalFormatting sqref="G64:G65">
    <cfRule type="cellIs" dxfId="3512" priority="717" operator="equal">
      <formula>0</formula>
    </cfRule>
    <cfRule type="cellIs" dxfId="3511" priority="718" operator="notEqual">
      <formula>0</formula>
    </cfRule>
  </conditionalFormatting>
  <conditionalFormatting sqref="G66">
    <cfRule type="cellIs" dxfId="3510" priority="716" operator="equal">
      <formula>0</formula>
    </cfRule>
  </conditionalFormatting>
  <conditionalFormatting sqref="H64:H65">
    <cfRule type="cellIs" dxfId="3509" priority="714" operator="equal">
      <formula>0</formula>
    </cfRule>
    <cfRule type="cellIs" dxfId="3508" priority="715" operator="notEqual">
      <formula>0</formula>
    </cfRule>
  </conditionalFormatting>
  <conditionalFormatting sqref="H66">
    <cfRule type="cellIs" dxfId="3507" priority="713" operator="equal">
      <formula>0</formula>
    </cfRule>
  </conditionalFormatting>
  <conditionalFormatting sqref="I64:I65">
    <cfRule type="cellIs" dxfId="3506" priority="711" operator="equal">
      <formula>0</formula>
    </cfRule>
    <cfRule type="cellIs" dxfId="3505" priority="712" operator="notEqual">
      <formula>0</formula>
    </cfRule>
  </conditionalFormatting>
  <conditionalFormatting sqref="I66">
    <cfRule type="cellIs" dxfId="3504" priority="710" operator="equal">
      <formula>0</formula>
    </cfRule>
  </conditionalFormatting>
  <conditionalFormatting sqref="J64:J65">
    <cfRule type="cellIs" dxfId="3503" priority="708" operator="equal">
      <formula>0</formula>
    </cfRule>
    <cfRule type="cellIs" dxfId="3502" priority="709" operator="notEqual">
      <formula>0</formula>
    </cfRule>
  </conditionalFormatting>
  <conditionalFormatting sqref="J66">
    <cfRule type="cellIs" dxfId="3501" priority="707" operator="equal">
      <formula>0</formula>
    </cfRule>
  </conditionalFormatting>
  <conditionalFormatting sqref="K64:K65">
    <cfRule type="cellIs" dxfId="3500" priority="705" operator="equal">
      <formula>0</formula>
    </cfRule>
    <cfRule type="cellIs" dxfId="3499" priority="706" operator="notEqual">
      <formula>0</formula>
    </cfRule>
  </conditionalFormatting>
  <conditionalFormatting sqref="K66">
    <cfRule type="cellIs" dxfId="3498" priority="704" operator="equal">
      <formula>0</formula>
    </cfRule>
  </conditionalFormatting>
  <conditionalFormatting sqref="L66">
    <cfRule type="cellIs" dxfId="3497" priority="703" operator="equal">
      <formula>0</formula>
    </cfRule>
  </conditionalFormatting>
  <conditionalFormatting sqref="M66">
    <cfRule type="cellIs" dxfId="3496" priority="702" operator="equal">
      <formula>0</formula>
    </cfRule>
  </conditionalFormatting>
  <conditionalFormatting sqref="N66">
    <cfRule type="cellIs" dxfId="3495" priority="701" operator="equal">
      <formula>0</formula>
    </cfRule>
  </conditionalFormatting>
  <conditionalFormatting sqref="O66">
    <cfRule type="cellIs" dxfId="3494" priority="700" operator="equal">
      <formula>0</formula>
    </cfRule>
  </conditionalFormatting>
  <conditionalFormatting sqref="P63">
    <cfRule type="cellIs" dxfId="3493" priority="698" operator="equal">
      <formula>0</formula>
    </cfRule>
    <cfRule type="cellIs" dxfId="3492" priority="699" operator="notEqual">
      <formula>0</formula>
    </cfRule>
  </conditionalFormatting>
  <conditionalFormatting sqref="P66">
    <cfRule type="cellIs" dxfId="3491" priority="697" operator="equal">
      <formula>0</formula>
    </cfRule>
  </conditionalFormatting>
  <conditionalFormatting sqref="Q63">
    <cfRule type="cellIs" dxfId="3490" priority="695" operator="equal">
      <formula>0</formula>
    </cfRule>
    <cfRule type="cellIs" dxfId="3489" priority="696" operator="notEqual">
      <formula>0</formula>
    </cfRule>
  </conditionalFormatting>
  <conditionalFormatting sqref="Q66">
    <cfRule type="cellIs" dxfId="3488" priority="694" operator="equal">
      <formula>0</formula>
    </cfRule>
  </conditionalFormatting>
  <conditionalFormatting sqref="R63">
    <cfRule type="cellIs" dxfId="3487" priority="692" operator="equal">
      <formula>0</formula>
    </cfRule>
    <cfRule type="cellIs" dxfId="3486" priority="693" operator="notEqual">
      <formula>0</formula>
    </cfRule>
  </conditionalFormatting>
  <conditionalFormatting sqref="R66">
    <cfRule type="cellIs" dxfId="3485" priority="691" operator="equal">
      <formula>0</formula>
    </cfRule>
  </conditionalFormatting>
  <conditionalFormatting sqref="S63">
    <cfRule type="cellIs" dxfId="3484" priority="689" operator="equal">
      <formula>0</formula>
    </cfRule>
    <cfRule type="cellIs" dxfId="3483" priority="690" operator="notEqual">
      <formula>0</formula>
    </cfRule>
  </conditionalFormatting>
  <conditionalFormatting sqref="S66">
    <cfRule type="cellIs" dxfId="3482" priority="688" operator="equal">
      <formula>0</formula>
    </cfRule>
  </conditionalFormatting>
  <conditionalFormatting sqref="T70">
    <cfRule type="cellIs" dxfId="3481" priority="359" operator="equal">
      <formula>0</formula>
    </cfRule>
  </conditionalFormatting>
  <conditionalFormatting sqref="E68:E69">
    <cfRule type="cellIs" dxfId="3480" priority="354" operator="equal">
      <formula>0</formula>
    </cfRule>
    <cfRule type="cellIs" dxfId="3479" priority="355" operator="notEqual">
      <formula>0</formula>
    </cfRule>
  </conditionalFormatting>
  <conditionalFormatting sqref="E70">
    <cfRule type="cellIs" dxfId="3478" priority="353" operator="equal">
      <formula>0</formula>
    </cfRule>
  </conditionalFormatting>
  <conditionalFormatting sqref="F68:F69">
    <cfRule type="cellIs" dxfId="3477" priority="351" operator="equal">
      <formula>0</formula>
    </cfRule>
    <cfRule type="cellIs" dxfId="3476" priority="352" operator="notEqual">
      <formula>0</formula>
    </cfRule>
  </conditionalFormatting>
  <conditionalFormatting sqref="F70">
    <cfRule type="cellIs" dxfId="3475" priority="350" operator="equal">
      <formula>0</formula>
    </cfRule>
  </conditionalFormatting>
  <conditionalFormatting sqref="G68:G69">
    <cfRule type="cellIs" dxfId="3474" priority="348" operator="equal">
      <formula>0</formula>
    </cfRule>
    <cfRule type="cellIs" dxfId="3473" priority="349" operator="notEqual">
      <formula>0</formula>
    </cfRule>
  </conditionalFormatting>
  <conditionalFormatting sqref="G70">
    <cfRule type="cellIs" dxfId="3472" priority="347" operator="equal">
      <formula>0</formula>
    </cfRule>
  </conditionalFormatting>
  <conditionalFormatting sqref="H68:H69">
    <cfRule type="cellIs" dxfId="3471" priority="345" operator="equal">
      <formula>0</formula>
    </cfRule>
    <cfRule type="cellIs" dxfId="3470" priority="346" operator="notEqual">
      <formula>0</formula>
    </cfRule>
  </conditionalFormatting>
  <conditionalFormatting sqref="H70">
    <cfRule type="cellIs" dxfId="3469" priority="344" operator="equal">
      <formula>0</formula>
    </cfRule>
  </conditionalFormatting>
  <conditionalFormatting sqref="I68:I69">
    <cfRule type="cellIs" dxfId="3468" priority="342" operator="equal">
      <formula>0</formula>
    </cfRule>
    <cfRule type="cellIs" dxfId="3467" priority="343" operator="notEqual">
      <formula>0</formula>
    </cfRule>
  </conditionalFormatting>
  <conditionalFormatting sqref="I70">
    <cfRule type="cellIs" dxfId="3466" priority="341" operator="equal">
      <formula>0</formula>
    </cfRule>
  </conditionalFormatting>
  <conditionalFormatting sqref="J68:J69">
    <cfRule type="cellIs" dxfId="3465" priority="339" operator="equal">
      <formula>0</formula>
    </cfRule>
    <cfRule type="cellIs" dxfId="3464" priority="340" operator="notEqual">
      <formula>0</formula>
    </cfRule>
  </conditionalFormatting>
  <conditionalFormatting sqref="J70">
    <cfRule type="cellIs" dxfId="3463" priority="338" operator="equal">
      <formula>0</formula>
    </cfRule>
  </conditionalFormatting>
  <conditionalFormatting sqref="K68:K69">
    <cfRule type="cellIs" dxfId="3462" priority="336" operator="equal">
      <formula>0</formula>
    </cfRule>
    <cfRule type="cellIs" dxfId="3461" priority="337" operator="notEqual">
      <formula>0</formula>
    </cfRule>
  </conditionalFormatting>
  <conditionalFormatting sqref="K70">
    <cfRule type="cellIs" dxfId="3460" priority="335" operator="equal">
      <formula>0</formula>
    </cfRule>
  </conditionalFormatting>
  <conditionalFormatting sqref="L70">
    <cfRule type="cellIs" dxfId="3459" priority="334" operator="equal">
      <formula>0</formula>
    </cfRule>
  </conditionalFormatting>
  <conditionalFormatting sqref="M70">
    <cfRule type="cellIs" dxfId="3458" priority="333" operator="equal">
      <formula>0</formula>
    </cfRule>
  </conditionalFormatting>
  <conditionalFormatting sqref="N70">
    <cfRule type="cellIs" dxfId="3457" priority="332" operator="equal">
      <formula>0</formula>
    </cfRule>
  </conditionalFormatting>
  <conditionalFormatting sqref="O70">
    <cfRule type="cellIs" dxfId="3456" priority="331" operator="equal">
      <formula>0</formula>
    </cfRule>
  </conditionalFormatting>
  <conditionalFormatting sqref="P67">
    <cfRule type="cellIs" dxfId="3455" priority="329" operator="equal">
      <formula>0</formula>
    </cfRule>
    <cfRule type="cellIs" dxfId="3454" priority="330" operator="notEqual">
      <formula>0</formula>
    </cfRule>
  </conditionalFormatting>
  <conditionalFormatting sqref="P70">
    <cfRule type="cellIs" dxfId="3453" priority="328" operator="equal">
      <formula>0</formula>
    </cfRule>
  </conditionalFormatting>
  <conditionalFormatting sqref="Q67">
    <cfRule type="cellIs" dxfId="3452" priority="326" operator="equal">
      <formula>0</formula>
    </cfRule>
    <cfRule type="cellIs" dxfId="3451" priority="327" operator="notEqual">
      <formula>0</formula>
    </cfRule>
  </conditionalFormatting>
  <conditionalFormatting sqref="Q70">
    <cfRule type="cellIs" dxfId="3450" priority="325" operator="equal">
      <formula>0</formula>
    </cfRule>
  </conditionalFormatting>
  <conditionalFormatting sqref="R67">
    <cfRule type="cellIs" dxfId="3449" priority="323" operator="equal">
      <formula>0</formula>
    </cfRule>
    <cfRule type="cellIs" dxfId="3448" priority="324" operator="notEqual">
      <formula>0</formula>
    </cfRule>
  </conditionalFormatting>
  <conditionalFormatting sqref="R70">
    <cfRule type="cellIs" dxfId="3447" priority="322" operator="equal">
      <formula>0</formula>
    </cfRule>
  </conditionalFormatting>
  <conditionalFormatting sqref="S67">
    <cfRule type="cellIs" dxfId="3446" priority="320" operator="equal">
      <formula>0</formula>
    </cfRule>
    <cfRule type="cellIs" dxfId="3445" priority="321" operator="notEqual">
      <formula>0</formula>
    </cfRule>
  </conditionalFormatting>
  <conditionalFormatting sqref="S70">
    <cfRule type="cellIs" dxfId="3444" priority="319" operator="equal">
      <formula>0</formula>
    </cfRule>
  </conditionalFormatting>
  <conditionalFormatting sqref="D62">
    <cfRule type="cellIs" dxfId="3443" priority="766" operator="equal">
      <formula>0</formula>
    </cfRule>
  </conditionalFormatting>
  <conditionalFormatting sqref="D60:D61">
    <cfRule type="cellIs" dxfId="3442" priority="767" operator="equal">
      <formula>0</formula>
    </cfRule>
    <cfRule type="cellIs" dxfId="3441" priority="768" operator="notEqual">
      <formula>0</formula>
    </cfRule>
  </conditionalFormatting>
  <conditionalFormatting sqref="D66">
    <cfRule type="cellIs" dxfId="3440" priority="725" operator="equal">
      <formula>0</formula>
    </cfRule>
  </conditionalFormatting>
  <conditionalFormatting sqref="D64:D65">
    <cfRule type="cellIs" dxfId="3439" priority="726" operator="equal">
      <formula>0</formula>
    </cfRule>
    <cfRule type="cellIs" dxfId="3438" priority="727" operator="notEqual">
      <formula>0</formula>
    </cfRule>
  </conditionalFormatting>
  <conditionalFormatting sqref="D70">
    <cfRule type="cellIs" dxfId="3437" priority="356" operator="equal">
      <formula>0</formula>
    </cfRule>
  </conditionalFormatting>
  <conditionalFormatting sqref="D68:D69">
    <cfRule type="cellIs" dxfId="3436" priority="357" operator="equal">
      <formula>0</formula>
    </cfRule>
    <cfRule type="cellIs" dxfId="3435" priority="358" operator="notEqual">
      <formula>0</formula>
    </cfRule>
  </conditionalFormatting>
  <conditionalFormatting sqref="D129:T130 D133:T134 D137:T138">
    <cfRule type="cellIs" dxfId="3434" priority="30" operator="equal">
      <formula>0</formula>
    </cfRule>
    <cfRule type="cellIs" dxfId="3433" priority="31" operator="notEqual">
      <formula>0</formula>
    </cfRule>
  </conditionalFormatting>
  <conditionalFormatting sqref="D131:T131 D135:T135 D139:T139">
    <cfRule type="cellIs" dxfId="3432" priority="29" operator="equal">
      <formula>0</formula>
    </cfRule>
  </conditionalFormatting>
  <conditionalFormatting sqref="D198:T199 D202:T203 D206:T207">
    <cfRule type="cellIs" dxfId="3431" priority="24" operator="equal">
      <formula>0</formula>
    </cfRule>
    <cfRule type="cellIs" dxfId="3430" priority="25" operator="notEqual">
      <formula>0</formula>
    </cfRule>
  </conditionalFormatting>
  <conditionalFormatting sqref="D200:T200 D204:T204 D208:T208">
    <cfRule type="cellIs" dxfId="3429" priority="23" operator="equal">
      <formula>0</formula>
    </cfRule>
  </conditionalFormatting>
  <conditionalFormatting sqref="Y205:AN208">
    <cfRule type="cellIs" dxfId="3428" priority="13" operator="equal">
      <formula>0</formula>
    </cfRule>
  </conditionalFormatting>
  <conditionalFormatting sqref="Y201:AN204">
    <cfRule type="cellIs" dxfId="3427" priority="4" operator="equal">
      <formula>0</formula>
    </cfRule>
  </conditionalFormatting>
  <conditionalFormatting sqref="Y197:AN200">
    <cfRule type="cellIs" dxfId="3426" priority="3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8"/>
  <dimension ref="A1:AN80"/>
  <sheetViews>
    <sheetView topLeftCell="H1" zoomScale="85" zoomScaleNormal="85" workbookViewId="0">
      <selection activeCell="A40" sqref="A40:XFD40"/>
    </sheetView>
  </sheetViews>
  <sheetFormatPr baseColWidth="10" defaultColWidth="8.83203125" defaultRowHeight="14" x14ac:dyDescent="0.15"/>
  <cols>
    <col min="2" max="2" width="35" bestFit="1" customWidth="1"/>
    <col min="19" max="19" width="12.83203125" customWidth="1"/>
    <col min="21" max="21" width="35" bestFit="1" customWidth="1"/>
    <col min="22" max="22" width="11.5" bestFit="1" customWidth="1"/>
    <col min="23" max="28" width="10.1640625" bestFit="1" customWidth="1"/>
  </cols>
  <sheetData>
    <row r="1" spans="1:40" ht="65.25" customHeight="1" x14ac:dyDescent="0.15">
      <c r="A1" s="330" t="s">
        <v>1246</v>
      </c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  <c r="R1" s="330"/>
      <c r="S1" s="330"/>
      <c r="T1" s="330"/>
      <c r="U1" s="330"/>
      <c r="V1" s="330"/>
      <c r="W1" s="330"/>
      <c r="X1" s="330"/>
      <c r="Y1" s="330"/>
      <c r="Z1" s="330"/>
      <c r="AA1" s="330"/>
      <c r="AB1" s="330"/>
      <c r="AC1" s="330"/>
      <c r="AD1" s="330"/>
      <c r="AE1" s="330"/>
      <c r="AF1" s="330"/>
      <c r="AG1" s="330"/>
      <c r="AH1" s="330"/>
      <c r="AI1" s="330"/>
      <c r="AJ1" s="330"/>
      <c r="AK1" s="330"/>
      <c r="AL1" s="330"/>
      <c r="AM1" s="330"/>
      <c r="AN1" s="330"/>
    </row>
    <row r="2" spans="1:40" ht="42.75" customHeight="1" x14ac:dyDescent="0.15">
      <c r="A2" s="318"/>
      <c r="B2" s="318"/>
      <c r="C2" s="318"/>
      <c r="D2" s="318"/>
      <c r="E2" s="318"/>
      <c r="F2" s="318"/>
      <c r="G2" s="318"/>
      <c r="H2" s="318"/>
      <c r="I2" s="318"/>
      <c r="J2" s="318"/>
      <c r="K2" s="318"/>
      <c r="L2" s="318"/>
      <c r="M2" s="318"/>
      <c r="N2" s="318"/>
      <c r="O2" s="318"/>
      <c r="P2" s="318"/>
      <c r="Q2" s="318"/>
      <c r="R2" s="318"/>
      <c r="S2" s="318"/>
      <c r="T2" s="318"/>
      <c r="U2" s="318"/>
      <c r="V2" s="318"/>
      <c r="W2" s="318"/>
      <c r="X2" s="318"/>
      <c r="Y2" s="318"/>
      <c r="Z2" s="318"/>
      <c r="AA2" s="318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8"/>
      <c r="AM2" s="318"/>
      <c r="AN2" s="318"/>
    </row>
    <row r="3" spans="1:40" s="55" customFormat="1" ht="39.75" customHeight="1" x14ac:dyDescent="0.1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</row>
    <row r="4" spans="1:40" ht="16" x14ac:dyDescent="0.2">
      <c r="C4" s="286" t="s">
        <v>1247</v>
      </c>
      <c r="D4" s="287"/>
      <c r="E4" s="287"/>
      <c r="F4" s="287"/>
      <c r="G4" s="287"/>
      <c r="H4" s="287"/>
      <c r="I4" s="287"/>
      <c r="J4" s="287"/>
      <c r="K4" s="287"/>
      <c r="L4" s="287"/>
      <c r="M4" s="287"/>
      <c r="N4" s="287"/>
      <c r="O4" s="287"/>
      <c r="P4" s="287"/>
      <c r="Q4" s="287"/>
      <c r="R4" s="287"/>
      <c r="S4" s="331"/>
      <c r="T4" s="158"/>
      <c r="U4" s="158"/>
      <c r="V4" s="332" t="s">
        <v>1248</v>
      </c>
      <c r="W4" s="332"/>
      <c r="X4" s="332"/>
      <c r="Y4" s="332"/>
      <c r="Z4" s="332"/>
      <c r="AA4" s="332"/>
      <c r="AB4" s="332"/>
    </row>
    <row r="5" spans="1:40" x14ac:dyDescent="0.15">
      <c r="B5" s="156"/>
      <c r="C5" s="42" t="s">
        <v>1019</v>
      </c>
      <c r="D5" s="42" t="s">
        <v>1020</v>
      </c>
      <c r="E5" s="42" t="s">
        <v>1021</v>
      </c>
      <c r="F5" s="42" t="s">
        <v>1022</v>
      </c>
      <c r="G5" s="42" t="s">
        <v>1023</v>
      </c>
      <c r="H5" s="42" t="s">
        <v>1024</v>
      </c>
      <c r="I5" s="42" t="s">
        <v>1025</v>
      </c>
      <c r="J5" s="42" t="s">
        <v>1026</v>
      </c>
      <c r="K5" s="42" t="s">
        <v>1027</v>
      </c>
      <c r="L5" s="42" t="s">
        <v>1028</v>
      </c>
      <c r="M5" s="42" t="s">
        <v>1029</v>
      </c>
      <c r="N5" s="42" t="s">
        <v>1030</v>
      </c>
      <c r="O5" s="42" t="s">
        <v>1031</v>
      </c>
      <c r="P5" s="42" t="s">
        <v>1032</v>
      </c>
      <c r="Q5" s="42" t="s">
        <v>1033</v>
      </c>
      <c r="R5" s="42" t="s">
        <v>1034</v>
      </c>
      <c r="S5" s="43" t="s">
        <v>1036</v>
      </c>
      <c r="T5" s="76"/>
      <c r="U5" s="156"/>
      <c r="V5" s="42" t="s">
        <v>1019</v>
      </c>
      <c r="W5" s="42" t="s">
        <v>1020</v>
      </c>
      <c r="X5" s="42" t="s">
        <v>1021</v>
      </c>
      <c r="Y5" s="42" t="s">
        <v>1022</v>
      </c>
      <c r="Z5" s="42" t="s">
        <v>1023</v>
      </c>
      <c r="AA5" s="42" t="s">
        <v>1024</v>
      </c>
      <c r="AB5" s="42" t="s">
        <v>1025</v>
      </c>
      <c r="AC5" s="42" t="s">
        <v>1026</v>
      </c>
      <c r="AD5" s="42" t="s">
        <v>1027</v>
      </c>
      <c r="AE5" s="42" t="s">
        <v>1028</v>
      </c>
      <c r="AF5" s="42" t="s">
        <v>1029</v>
      </c>
      <c r="AG5" s="42" t="s">
        <v>1030</v>
      </c>
      <c r="AH5" s="42" t="s">
        <v>1031</v>
      </c>
      <c r="AI5" s="42" t="s">
        <v>1032</v>
      </c>
      <c r="AJ5" s="42" t="s">
        <v>1033</v>
      </c>
      <c r="AK5" s="42" t="s">
        <v>1034</v>
      </c>
    </row>
    <row r="6" spans="1:40" x14ac:dyDescent="0.15">
      <c r="B6" s="161" t="s">
        <v>1355</v>
      </c>
      <c r="C6" s="157">
        <f>SUMIF('caseload data'!$A:$A,"East Midlands Region",'caseload data'!E:E)</f>
        <v>0</v>
      </c>
      <c r="D6" s="157">
        <f>SUMIF('caseload data'!$A:$A,"East Midlands Region",'caseload data'!F:F)</f>
        <v>0</v>
      </c>
      <c r="E6" s="157">
        <f>SUMIF('caseload data'!$A:$A,"East Midlands Region",'caseload data'!G:G)</f>
        <v>0</v>
      </c>
      <c r="F6" s="157">
        <f>SUMIF('caseload data'!$A:$A,"East Midlands Region",'caseload data'!H:H)</f>
        <v>0</v>
      </c>
      <c r="G6" s="157">
        <f>SUMIF('caseload data'!$A:$A,"East Midlands Region",'caseload data'!I:I)</f>
        <v>0</v>
      </c>
      <c r="H6" s="157">
        <f>SUMIF('caseload data'!$A:$A,"East Midlands Region",'caseload data'!J:J)</f>
        <v>0</v>
      </c>
      <c r="I6" s="157">
        <f>SUMIF('caseload data'!$A:$A,"East Midlands Region",'caseload data'!K:K)</f>
        <v>0</v>
      </c>
      <c r="J6" s="157">
        <f>SUMIF('caseload data'!$A:$A,"East Midlands Region",'caseload data'!L:L)</f>
        <v>0</v>
      </c>
      <c r="K6" s="157">
        <f>SUMIF('caseload data'!$A:$A,"East Midlands Region",'caseload data'!M:M)</f>
        <v>0</v>
      </c>
      <c r="L6" s="157">
        <f>SUMIF('caseload data'!$A:$A,"East Midlands Region",'caseload data'!N:N)</f>
        <v>0</v>
      </c>
      <c r="M6" s="157">
        <f>SUMIF('caseload data'!$A:$A,"East Midlands Region",'caseload data'!O:O)</f>
        <v>0</v>
      </c>
      <c r="N6" s="157">
        <f>SUMIF('caseload data'!$A:$A,"East Midlands Region",'caseload data'!P:P)</f>
        <v>0</v>
      </c>
      <c r="O6" s="157">
        <f>SUMIF('caseload data'!$A:$A,"East Midlands Region",'caseload data'!Q:Q)</f>
        <v>0</v>
      </c>
      <c r="P6" s="157">
        <f>SUMIF('caseload data'!$A:$A,"East Midlands Region",'caseload data'!R:R)</f>
        <v>0</v>
      </c>
      <c r="Q6" s="157">
        <f>SUMIF('caseload data'!$A:$A,"East Midlands Region",'caseload data'!S:S)</f>
        <v>0</v>
      </c>
      <c r="R6" s="157">
        <f>SUMIF('caseload data'!$A:$A,"East Midlands Region",'caseload data'!T:T)</f>
        <v>0</v>
      </c>
      <c r="S6" s="157">
        <f>SUMIF('caseload data'!A:A,"East Midlands Region",'caseload data'!V:V)</f>
        <v>0</v>
      </c>
      <c r="T6" s="76"/>
      <c r="U6" s="161" t="s">
        <v>1355</v>
      </c>
      <c r="V6" s="78" t="e">
        <f>C6/$S$6</f>
        <v>#DIV/0!</v>
      </c>
      <c r="W6" s="78" t="e">
        <f t="shared" ref="W6:AK6" si="0">D6/$S$6</f>
        <v>#DIV/0!</v>
      </c>
      <c r="X6" s="78" t="e">
        <f t="shared" si="0"/>
        <v>#DIV/0!</v>
      </c>
      <c r="Y6" s="78" t="e">
        <f t="shared" si="0"/>
        <v>#DIV/0!</v>
      </c>
      <c r="Z6" s="78" t="e">
        <f t="shared" si="0"/>
        <v>#DIV/0!</v>
      </c>
      <c r="AA6" s="78" t="e">
        <f t="shared" si="0"/>
        <v>#DIV/0!</v>
      </c>
      <c r="AB6" s="78" t="e">
        <f t="shared" si="0"/>
        <v>#DIV/0!</v>
      </c>
      <c r="AC6" s="78" t="e">
        <f t="shared" si="0"/>
        <v>#DIV/0!</v>
      </c>
      <c r="AD6" s="78" t="e">
        <f t="shared" si="0"/>
        <v>#DIV/0!</v>
      </c>
      <c r="AE6" s="78" t="e">
        <f t="shared" si="0"/>
        <v>#DIV/0!</v>
      </c>
      <c r="AF6" s="78" t="e">
        <f t="shared" si="0"/>
        <v>#DIV/0!</v>
      </c>
      <c r="AG6" s="78" t="e">
        <f t="shared" si="0"/>
        <v>#DIV/0!</v>
      </c>
      <c r="AH6" s="78" t="e">
        <f t="shared" si="0"/>
        <v>#DIV/0!</v>
      </c>
      <c r="AI6" s="78" t="e">
        <f t="shared" si="0"/>
        <v>#DIV/0!</v>
      </c>
      <c r="AJ6" s="78" t="e">
        <f t="shared" si="0"/>
        <v>#DIV/0!</v>
      </c>
      <c r="AK6" s="78" t="e">
        <f t="shared" si="0"/>
        <v>#DIV/0!</v>
      </c>
    </row>
    <row r="7" spans="1:40" x14ac:dyDescent="0.15">
      <c r="B7" s="161" t="s">
        <v>20</v>
      </c>
      <c r="C7" s="157">
        <f>SUMIF('caseload data'!$A:$A,"East of England",'caseload data'!E:E)</f>
        <v>0</v>
      </c>
      <c r="D7" s="157">
        <f>SUMIF('caseload data'!$A:$A,"East of England",'caseload data'!F:F)</f>
        <v>0</v>
      </c>
      <c r="E7" s="157">
        <f>SUMIF('caseload data'!$A:$A,"East of England",'caseload data'!G:G)</f>
        <v>0</v>
      </c>
      <c r="F7" s="157">
        <f>SUMIF('caseload data'!$A:$A,"East of England",'caseload data'!H:H)</f>
        <v>0</v>
      </c>
      <c r="G7" s="157">
        <f>SUMIF('caseload data'!$A:$A,"East of England",'caseload data'!I:I)</f>
        <v>0</v>
      </c>
      <c r="H7" s="157">
        <f>SUMIF('caseload data'!$A:$A,"East of England",'caseload data'!J:J)</f>
        <v>0</v>
      </c>
      <c r="I7" s="157">
        <f>SUMIF('caseload data'!$A:$A,"East of England",'caseload data'!K:K)</f>
        <v>0</v>
      </c>
      <c r="J7" s="157">
        <f>SUMIF('caseload data'!$A:$A,"East of England",'caseload data'!L:L)</f>
        <v>0</v>
      </c>
      <c r="K7" s="157">
        <f>SUMIF('caseload data'!$A:$A,"East of England",'caseload data'!M:M)</f>
        <v>0</v>
      </c>
      <c r="L7" s="157">
        <f>SUMIF('caseload data'!$A:$A,"East of England",'caseload data'!N:N)</f>
        <v>0</v>
      </c>
      <c r="M7" s="157">
        <f>SUMIF('caseload data'!$A:$A,"East of England",'caseload data'!O:O)</f>
        <v>0</v>
      </c>
      <c r="N7" s="157">
        <f>SUMIF('caseload data'!$A:$A,"East of England",'caseload data'!P:P)</f>
        <v>0</v>
      </c>
      <c r="O7" s="157">
        <f>SUMIF('caseload data'!$A:$A,"East of England",'caseload data'!Q:Q)</f>
        <v>0</v>
      </c>
      <c r="P7" s="157">
        <f>SUMIF('caseload data'!$A:$A,"East of England",'caseload data'!R:R)</f>
        <v>0</v>
      </c>
      <c r="Q7" s="157">
        <f>SUMIF('caseload data'!$A:$A,"East of England",'caseload data'!S:S)</f>
        <v>0</v>
      </c>
      <c r="R7" s="157">
        <f>SUMIF('caseload data'!$A:$A,"East of England",'caseload data'!T:T)</f>
        <v>0</v>
      </c>
      <c r="S7" s="157">
        <f>SUMIF('caseload data'!A:A,"East of England",'caseload data'!V:V)</f>
        <v>0</v>
      </c>
      <c r="T7" s="76"/>
      <c r="U7" s="161" t="s">
        <v>20</v>
      </c>
      <c r="V7" s="78" t="e">
        <f>C7/$S$7</f>
        <v>#DIV/0!</v>
      </c>
      <c r="W7" s="78" t="e">
        <f>D7/$S$7</f>
        <v>#DIV/0!</v>
      </c>
      <c r="X7" s="78" t="e">
        <f t="shared" ref="X7:AA7" si="1">E7/$S$7</f>
        <v>#DIV/0!</v>
      </c>
      <c r="Y7" s="78" t="e">
        <f t="shared" si="1"/>
        <v>#DIV/0!</v>
      </c>
      <c r="Z7" s="78" t="e">
        <f t="shared" si="1"/>
        <v>#DIV/0!</v>
      </c>
      <c r="AA7" s="78" t="e">
        <f t="shared" si="1"/>
        <v>#DIV/0!</v>
      </c>
      <c r="AB7" s="78" t="e">
        <f>I7/$S$7</f>
        <v>#DIV/0!</v>
      </c>
      <c r="AC7" s="78" t="e">
        <f t="shared" ref="AC7:AD7" si="2">J7/$S$7</f>
        <v>#DIV/0!</v>
      </c>
      <c r="AD7" s="78" t="e">
        <f t="shared" si="2"/>
        <v>#DIV/0!</v>
      </c>
      <c r="AE7" s="78" t="e">
        <f t="shared" ref="AE7" si="3">L7/$S$7</f>
        <v>#DIV/0!</v>
      </c>
      <c r="AF7" s="78" t="e">
        <f t="shared" ref="AF7" si="4">M7/$S$7</f>
        <v>#DIV/0!</v>
      </c>
      <c r="AG7" s="78" t="e">
        <f t="shared" ref="AG7" si="5">N7/$S$7</f>
        <v>#DIV/0!</v>
      </c>
      <c r="AH7" s="78" t="e">
        <f t="shared" ref="AH7:AK7" si="6">O7/$S$7</f>
        <v>#DIV/0!</v>
      </c>
      <c r="AI7" s="78" t="e">
        <f t="shared" si="6"/>
        <v>#DIV/0!</v>
      </c>
      <c r="AJ7" s="78" t="e">
        <f t="shared" si="6"/>
        <v>#DIV/0!</v>
      </c>
      <c r="AK7" s="78" t="e">
        <f t="shared" si="6"/>
        <v>#DIV/0!</v>
      </c>
    </row>
    <row r="8" spans="1:40" x14ac:dyDescent="0.15">
      <c r="B8" s="161" t="s">
        <v>21</v>
      </c>
      <c r="C8" s="157">
        <f>SUMIF('caseload data'!$A:$A,"NPS Greater Manchester",'caseload data'!E:E)</f>
        <v>0</v>
      </c>
      <c r="D8" s="157">
        <f>SUMIF('caseload data'!$A:$A,"NPS Greater Manchester",'caseload data'!F:F)</f>
        <v>0</v>
      </c>
      <c r="E8" s="157">
        <f>SUMIF('caseload data'!$A:$A,"NPS Greater Manchester",'caseload data'!G:G)</f>
        <v>0</v>
      </c>
      <c r="F8" s="157">
        <f>SUMIF('caseload data'!$A:$A,"NPS Greater Manchester",'caseload data'!H:H)</f>
        <v>0</v>
      </c>
      <c r="G8" s="157">
        <f>SUMIF('caseload data'!$A:$A,"NPS Greater Manchester",'caseload data'!I:I)</f>
        <v>0</v>
      </c>
      <c r="H8" s="157">
        <f>SUMIF('caseload data'!$A:$A,"NPS Greater Manchester",'caseload data'!J:J)</f>
        <v>0</v>
      </c>
      <c r="I8" s="157">
        <f>SUMIF('caseload data'!$A:$A,"NPS Greater Manchester",'caseload data'!K:K)</f>
        <v>0</v>
      </c>
      <c r="J8" s="157">
        <f>SUMIF('caseload data'!$A:$A,"NPS Greater Manchester",'caseload data'!L:L)</f>
        <v>0</v>
      </c>
      <c r="K8" s="157">
        <f>SUMIF('caseload data'!$A:$A,"NPS Greater Manchester",'caseload data'!M:M)</f>
        <v>0</v>
      </c>
      <c r="L8" s="157">
        <f>SUMIF('caseload data'!$A:$A,"NPS Greater Manchester",'caseload data'!N:N)</f>
        <v>0</v>
      </c>
      <c r="M8" s="157">
        <f>SUMIF('caseload data'!$A:$A,"NPS Greater Manchester",'caseload data'!O:O)</f>
        <v>0</v>
      </c>
      <c r="N8" s="157">
        <f>SUMIF('caseload data'!$A:$A,"NPS Greater Manchester",'caseload data'!P:P)</f>
        <v>0</v>
      </c>
      <c r="O8" s="157">
        <f>SUMIF('caseload data'!$A:$A,"NPS Greater Manchester",'caseload data'!Q:Q)</f>
        <v>0</v>
      </c>
      <c r="P8" s="157">
        <f>SUMIF('caseload data'!$A:$A,"NPS Greater Manchester",'caseload data'!R:R)</f>
        <v>0</v>
      </c>
      <c r="Q8" s="157">
        <f>SUMIF('caseload data'!$A:$A,"NPS Greater Manchester",'caseload data'!S:S)</f>
        <v>0</v>
      </c>
      <c r="R8" s="157">
        <f>SUMIF('caseload data'!$A:$A,"NPS Greater Manchester",'caseload data'!T:T)</f>
        <v>0</v>
      </c>
      <c r="S8" s="157">
        <f>SUMIF('caseload data'!A:A,"NPS Greater Manchester",'caseload data'!V:V)</f>
        <v>0</v>
      </c>
      <c r="T8" s="76"/>
      <c r="U8" s="161" t="s">
        <v>21</v>
      </c>
      <c r="V8" s="78" t="e">
        <f>C8/$S$8</f>
        <v>#DIV/0!</v>
      </c>
      <c r="W8" s="78" t="e">
        <f t="shared" ref="W8:AC8" si="7">D8/$S$8</f>
        <v>#DIV/0!</v>
      </c>
      <c r="X8" s="78" t="e">
        <f t="shared" si="7"/>
        <v>#DIV/0!</v>
      </c>
      <c r="Y8" s="78" t="e">
        <f t="shared" si="7"/>
        <v>#DIV/0!</v>
      </c>
      <c r="Z8" s="78" t="e">
        <f t="shared" si="7"/>
        <v>#DIV/0!</v>
      </c>
      <c r="AA8" s="78" t="e">
        <f t="shared" si="7"/>
        <v>#DIV/0!</v>
      </c>
      <c r="AB8" s="78" t="e">
        <f t="shared" si="7"/>
        <v>#DIV/0!</v>
      </c>
      <c r="AC8" s="78" t="e">
        <f t="shared" si="7"/>
        <v>#DIV/0!</v>
      </c>
      <c r="AD8" s="78" t="e">
        <f t="shared" ref="AD8" si="8">K8/$S$8</f>
        <v>#DIV/0!</v>
      </c>
      <c r="AE8" s="78" t="e">
        <f t="shared" ref="AE8" si="9">L8/$S$8</f>
        <v>#DIV/0!</v>
      </c>
      <c r="AF8" s="78" t="e">
        <f t="shared" ref="AF8" si="10">M8/$S$8</f>
        <v>#DIV/0!</v>
      </c>
      <c r="AG8" s="78" t="e">
        <f t="shared" ref="AG8" si="11">N8/$S$8</f>
        <v>#DIV/0!</v>
      </c>
      <c r="AH8" s="78" t="e">
        <f t="shared" ref="AH8" si="12">O8/$S$8</f>
        <v>#DIV/0!</v>
      </c>
      <c r="AI8" s="78" t="e">
        <f t="shared" ref="AI8:AJ8" si="13">P8/$S$8</f>
        <v>#DIV/0!</v>
      </c>
      <c r="AJ8" s="78" t="e">
        <f t="shared" si="13"/>
        <v>#DIV/0!</v>
      </c>
      <c r="AK8" s="78" t="e">
        <f t="shared" ref="AK8" si="14">R8/$S$8</f>
        <v>#DIV/0!</v>
      </c>
    </row>
    <row r="9" spans="1:40" x14ac:dyDescent="0.15">
      <c r="B9" s="161" t="s">
        <v>1357</v>
      </c>
      <c r="C9" s="157">
        <f>SUMIF('caseload data'!$A:$A,"Kent Surrey Sussex Region",'caseload data'!E:E)</f>
        <v>0</v>
      </c>
      <c r="D9" s="157">
        <f>SUMIF('caseload data'!$A:$A,"Kent Surrey Sussex Region",'caseload data'!F:F)</f>
        <v>0</v>
      </c>
      <c r="E9" s="157">
        <f>SUMIF('caseload data'!$A:$A,"Kent Surrey Sussex Region",'caseload data'!G:G)</f>
        <v>0</v>
      </c>
      <c r="F9" s="157">
        <f>SUMIF('caseload data'!$A:$A,"Kent Surrey Sussex Region",'caseload data'!H:H)</f>
        <v>0</v>
      </c>
      <c r="G9" s="157">
        <f>SUMIF('caseload data'!$A:$A,"Kent Surrey Sussex Region",'caseload data'!I:I)</f>
        <v>0</v>
      </c>
      <c r="H9" s="157">
        <f>SUMIF('caseload data'!$A:$A,"Kent Surrey Sussex Region",'caseload data'!J:J)</f>
        <v>0</v>
      </c>
      <c r="I9" s="157">
        <f>SUMIF('caseload data'!$A:$A,"Kent Surrey Sussex Region",'caseload data'!K:K)</f>
        <v>0</v>
      </c>
      <c r="J9" s="157">
        <f>SUMIF('caseload data'!$A:$A,"Kent Surrey Sussex Region",'caseload data'!L:L)</f>
        <v>0</v>
      </c>
      <c r="K9" s="157">
        <f>SUMIF('caseload data'!$A:$A,"Kent Surrey Sussex Region",'caseload data'!M:M)</f>
        <v>0</v>
      </c>
      <c r="L9" s="157">
        <f>SUMIF('caseload data'!$A:$A,"Kent Surrey Sussex Region",'caseload data'!N:N)</f>
        <v>0</v>
      </c>
      <c r="M9" s="157">
        <f>SUMIF('caseload data'!$A:$A,"Kent Surrey Sussex Region",'caseload data'!O:O)</f>
        <v>0</v>
      </c>
      <c r="N9" s="157">
        <f>SUMIF('caseload data'!$A:$A,"Kent Surrey Sussex Region",'caseload data'!P:P)</f>
        <v>0</v>
      </c>
      <c r="O9" s="157">
        <f>SUMIF('caseload data'!$A:$A,"Kent Surrey Sussex Region",'caseload data'!Q:Q)</f>
        <v>0</v>
      </c>
      <c r="P9" s="157">
        <f>SUMIF('caseload data'!$A:$A,"Kent Surrey Sussex Region",'caseload data'!R:R)</f>
        <v>0</v>
      </c>
      <c r="Q9" s="157">
        <f>SUMIF('caseload data'!$A:$A,"Kent Surrey Sussex Region",'caseload data'!S:S)</f>
        <v>0</v>
      </c>
      <c r="R9" s="157">
        <f>SUMIF('caseload data'!$A:$A,"Kent Surrey Sussex Region",'caseload data'!T:T)</f>
        <v>0</v>
      </c>
      <c r="S9" s="157">
        <f>SUMIF('caseload data'!A:A,"Kent Surrey Sussex Region",'caseload data'!V:V)</f>
        <v>0</v>
      </c>
      <c r="T9" s="76"/>
      <c r="U9" s="161" t="s">
        <v>1357</v>
      </c>
      <c r="V9" s="78" t="e">
        <f>C9/$S$9</f>
        <v>#DIV/0!</v>
      </c>
      <c r="W9" s="78" t="e">
        <f t="shared" ref="W9:AC9" si="15">D9/$S$9</f>
        <v>#DIV/0!</v>
      </c>
      <c r="X9" s="78" t="e">
        <f t="shared" si="15"/>
        <v>#DIV/0!</v>
      </c>
      <c r="Y9" s="78" t="e">
        <f t="shared" si="15"/>
        <v>#DIV/0!</v>
      </c>
      <c r="Z9" s="78" t="e">
        <f t="shared" si="15"/>
        <v>#DIV/0!</v>
      </c>
      <c r="AA9" s="78" t="e">
        <f t="shared" si="15"/>
        <v>#DIV/0!</v>
      </c>
      <c r="AB9" s="78" t="e">
        <f t="shared" si="15"/>
        <v>#DIV/0!</v>
      </c>
      <c r="AC9" s="78" t="e">
        <f t="shared" si="15"/>
        <v>#DIV/0!</v>
      </c>
      <c r="AD9" s="78" t="e">
        <f t="shared" ref="AD9" si="16">K9/$S$9</f>
        <v>#DIV/0!</v>
      </c>
      <c r="AE9" s="78" t="e">
        <f t="shared" ref="AE9" si="17">L9/$S$9</f>
        <v>#DIV/0!</v>
      </c>
      <c r="AF9" s="78" t="e">
        <f t="shared" ref="AF9" si="18">M9/$S$9</f>
        <v>#DIV/0!</v>
      </c>
      <c r="AG9" s="78" t="e">
        <f t="shared" ref="AG9" si="19">N9/$S$9</f>
        <v>#DIV/0!</v>
      </c>
      <c r="AH9" s="78" t="e">
        <f t="shared" ref="AH9" si="20">O9/$S$9</f>
        <v>#DIV/0!</v>
      </c>
      <c r="AI9" s="78" t="e">
        <f t="shared" ref="AI9:AJ9" si="21">P9/$S$9</f>
        <v>#DIV/0!</v>
      </c>
      <c r="AJ9" s="78" t="e">
        <f t="shared" si="21"/>
        <v>#DIV/0!</v>
      </c>
      <c r="AK9" s="78" t="e">
        <f t="shared" ref="AK9" si="22">R9/$S$9</f>
        <v>#DIV/0!</v>
      </c>
    </row>
    <row r="10" spans="1:40" x14ac:dyDescent="0.15">
      <c r="B10" s="161" t="s">
        <v>22</v>
      </c>
      <c r="C10" s="157">
        <f>SUMIF('caseload data'!$A:$A,"London",'caseload data'!E:E)</f>
        <v>0</v>
      </c>
      <c r="D10" s="157">
        <f>SUMIF('caseload data'!$A:$A,"London",'caseload data'!F:F)</f>
        <v>0</v>
      </c>
      <c r="E10" s="157">
        <f>SUMIF('caseload data'!$A:$A,"London",'caseload data'!G:G)</f>
        <v>0</v>
      </c>
      <c r="F10" s="157">
        <f>SUMIF('caseload data'!$A:$A,"London",'caseload data'!H:H)</f>
        <v>0</v>
      </c>
      <c r="G10" s="157">
        <f>SUMIF('caseload data'!$A:$A,"London",'caseload data'!I:I)</f>
        <v>0</v>
      </c>
      <c r="H10" s="157">
        <f>SUMIF('caseload data'!$A:$A,"London",'caseload data'!J:J)</f>
        <v>0</v>
      </c>
      <c r="I10" s="157">
        <f>SUMIF('caseload data'!$A:$A,"London",'caseload data'!K:K)</f>
        <v>0</v>
      </c>
      <c r="J10" s="157">
        <f>SUMIF('caseload data'!$A:$A,"London",'caseload data'!L:L)</f>
        <v>0</v>
      </c>
      <c r="K10" s="157">
        <f>SUMIF('caseload data'!$A:$A,"London",'caseload data'!M:M)</f>
        <v>0</v>
      </c>
      <c r="L10" s="157">
        <f>SUMIF('caseload data'!$A:$A,"London",'caseload data'!N:N)</f>
        <v>0</v>
      </c>
      <c r="M10" s="157">
        <f>SUMIF('caseload data'!$A:$A,"London",'caseload data'!O:O)</f>
        <v>0</v>
      </c>
      <c r="N10" s="157">
        <f>SUMIF('caseload data'!$A:$A,"London",'caseload data'!P:P)</f>
        <v>0</v>
      </c>
      <c r="O10" s="157">
        <f>SUMIF('caseload data'!$A:$A,"London",'caseload data'!Q:Q)</f>
        <v>0</v>
      </c>
      <c r="P10" s="157">
        <f>SUMIF('caseload data'!$A:$A,"London",'caseload data'!R:R)</f>
        <v>0</v>
      </c>
      <c r="Q10" s="157">
        <f>SUMIF('caseload data'!$A:$A,"London",'caseload data'!S:S)</f>
        <v>0</v>
      </c>
      <c r="R10" s="157">
        <f>SUMIF('caseload data'!$A:$A,"London",'caseload data'!T:T)</f>
        <v>0</v>
      </c>
      <c r="S10" s="157">
        <f>SUMIF('caseload data'!A:A,"London",'caseload data'!V:V)</f>
        <v>0</v>
      </c>
      <c r="T10" s="76"/>
      <c r="U10" s="161" t="s">
        <v>22</v>
      </c>
      <c r="V10" s="78" t="e">
        <f>C10/$S$10</f>
        <v>#DIV/0!</v>
      </c>
      <c r="W10" s="78" t="e">
        <f t="shared" ref="W10:AC10" si="23">D10/$S$10</f>
        <v>#DIV/0!</v>
      </c>
      <c r="X10" s="78" t="e">
        <f t="shared" si="23"/>
        <v>#DIV/0!</v>
      </c>
      <c r="Y10" s="78" t="e">
        <f t="shared" si="23"/>
        <v>#DIV/0!</v>
      </c>
      <c r="Z10" s="78" t="e">
        <f t="shared" si="23"/>
        <v>#DIV/0!</v>
      </c>
      <c r="AA10" s="78" t="e">
        <f t="shared" si="23"/>
        <v>#DIV/0!</v>
      </c>
      <c r="AB10" s="78" t="e">
        <f t="shared" si="23"/>
        <v>#DIV/0!</v>
      </c>
      <c r="AC10" s="78" t="e">
        <f t="shared" si="23"/>
        <v>#DIV/0!</v>
      </c>
      <c r="AD10" s="78" t="e">
        <f t="shared" ref="AD10" si="24">K10/$S$10</f>
        <v>#DIV/0!</v>
      </c>
      <c r="AE10" s="78" t="e">
        <f t="shared" ref="AE10" si="25">L10/$S$10</f>
        <v>#DIV/0!</v>
      </c>
      <c r="AF10" s="78" t="e">
        <f t="shared" ref="AF10" si="26">M10/$S$10</f>
        <v>#DIV/0!</v>
      </c>
      <c r="AG10" s="78" t="e">
        <f t="shared" ref="AG10" si="27">N10/$S$10</f>
        <v>#DIV/0!</v>
      </c>
      <c r="AH10" s="78" t="e">
        <f t="shared" ref="AH10" si="28">O10/$S$10</f>
        <v>#DIV/0!</v>
      </c>
      <c r="AI10" s="78" t="e">
        <f t="shared" ref="AI10:AJ10" si="29">P10/$S$10</f>
        <v>#DIV/0!</v>
      </c>
      <c r="AJ10" s="78" t="e">
        <f t="shared" si="29"/>
        <v>#DIV/0!</v>
      </c>
      <c r="AK10" s="78" t="e">
        <f t="shared" ref="AK10" si="30">R10/$S$10</f>
        <v>#DIV/0!</v>
      </c>
    </row>
    <row r="11" spans="1:40" x14ac:dyDescent="0.15">
      <c r="B11" s="161" t="s">
        <v>23</v>
      </c>
      <c r="C11" s="157">
        <f>SUMIF('caseload data'!$A:$A,"North East Region",'caseload data'!E:E)</f>
        <v>0</v>
      </c>
      <c r="D11" s="157">
        <f>SUMIF('caseload data'!$A:$A,"North East Region",'caseload data'!F:F)</f>
        <v>0</v>
      </c>
      <c r="E11" s="157">
        <f>SUMIF('caseload data'!$A:$A,"North East Region",'caseload data'!G:G)</f>
        <v>0</v>
      </c>
      <c r="F11" s="157">
        <f>SUMIF('caseload data'!$A:$A,"North East Region",'caseload data'!H:H)</f>
        <v>0</v>
      </c>
      <c r="G11" s="157">
        <f>SUMIF('caseload data'!$A:$A,"North East Region",'caseload data'!I:I)</f>
        <v>0</v>
      </c>
      <c r="H11" s="157">
        <f>SUMIF('caseload data'!$A:$A,"North East Region",'caseload data'!J:J)</f>
        <v>0</v>
      </c>
      <c r="I11" s="157">
        <f>SUMIF('caseload data'!$A:$A,"North East Region",'caseload data'!K:K)</f>
        <v>0</v>
      </c>
      <c r="J11" s="157">
        <f>SUMIF('caseload data'!$A:$A,"North East Region",'caseload data'!L:L)</f>
        <v>0</v>
      </c>
      <c r="K11" s="157">
        <f>SUMIF('caseload data'!$A:$A,"North East Region",'caseload data'!M:M)</f>
        <v>0</v>
      </c>
      <c r="L11" s="157">
        <f>SUMIF('caseload data'!$A:$A,"North East Region",'caseload data'!N:N)</f>
        <v>0</v>
      </c>
      <c r="M11" s="157">
        <f>SUMIF('caseload data'!$A:$A,"North East Region",'caseload data'!O:O)</f>
        <v>0</v>
      </c>
      <c r="N11" s="157">
        <f>SUMIF('caseload data'!$A:$A,"North East Region",'caseload data'!P:P)</f>
        <v>0</v>
      </c>
      <c r="O11" s="157">
        <f>SUMIF('caseload data'!$A:$A,"North East Region",'caseload data'!Q:Q)</f>
        <v>0</v>
      </c>
      <c r="P11" s="157">
        <f>SUMIF('caseload data'!$A:$A,"North East Region",'caseload data'!R:R)</f>
        <v>0</v>
      </c>
      <c r="Q11" s="157">
        <f>SUMIF('caseload data'!$A:$A,"North East Region",'caseload data'!S:S)</f>
        <v>0</v>
      </c>
      <c r="R11" s="157">
        <f>SUMIF('caseload data'!$A:$A,"North East Region",'caseload data'!T:T)</f>
        <v>0</v>
      </c>
      <c r="S11" s="157">
        <f>SUMIF('caseload data'!A:A,"North East Region",'caseload data'!V:V)</f>
        <v>0</v>
      </c>
      <c r="T11" s="76"/>
      <c r="U11" s="161" t="s">
        <v>23</v>
      </c>
      <c r="V11" s="78" t="e">
        <f>C11/$S$11</f>
        <v>#DIV/0!</v>
      </c>
      <c r="W11" s="78" t="e">
        <f t="shared" ref="W11:AC11" si="31">D11/$S$11</f>
        <v>#DIV/0!</v>
      </c>
      <c r="X11" s="78" t="e">
        <f t="shared" si="31"/>
        <v>#DIV/0!</v>
      </c>
      <c r="Y11" s="78" t="e">
        <f t="shared" si="31"/>
        <v>#DIV/0!</v>
      </c>
      <c r="Z11" s="78" t="e">
        <f t="shared" si="31"/>
        <v>#DIV/0!</v>
      </c>
      <c r="AA11" s="78" t="e">
        <f t="shared" si="31"/>
        <v>#DIV/0!</v>
      </c>
      <c r="AB11" s="78" t="e">
        <f t="shared" si="31"/>
        <v>#DIV/0!</v>
      </c>
      <c r="AC11" s="78" t="e">
        <f t="shared" si="31"/>
        <v>#DIV/0!</v>
      </c>
      <c r="AD11" s="78" t="e">
        <f t="shared" ref="AD11" si="32">K11/$S$11</f>
        <v>#DIV/0!</v>
      </c>
      <c r="AE11" s="78" t="e">
        <f t="shared" ref="AE11" si="33">L11/$S$11</f>
        <v>#DIV/0!</v>
      </c>
      <c r="AF11" s="78" t="e">
        <f t="shared" ref="AF11" si="34">M11/$S$11</f>
        <v>#DIV/0!</v>
      </c>
      <c r="AG11" s="78" t="e">
        <f t="shared" ref="AG11" si="35">N11/$S$11</f>
        <v>#DIV/0!</v>
      </c>
      <c r="AH11" s="78" t="e">
        <f t="shared" ref="AH11" si="36">O11/$S$11</f>
        <v>#DIV/0!</v>
      </c>
      <c r="AI11" s="78" t="e">
        <f t="shared" ref="AI11:AJ11" si="37">P11/$S$11</f>
        <v>#DIV/0!</v>
      </c>
      <c r="AJ11" s="78" t="e">
        <f t="shared" si="37"/>
        <v>#DIV/0!</v>
      </c>
      <c r="AK11" s="78" t="e">
        <f t="shared" ref="AK11" si="38">R11/$S$11</f>
        <v>#DIV/0!</v>
      </c>
    </row>
    <row r="12" spans="1:40" x14ac:dyDescent="0.15">
      <c r="B12" s="161" t="s">
        <v>24</v>
      </c>
      <c r="C12" s="157">
        <f>SUMIF('caseload data'!$A:$A,"NPS North West Region",'caseload data'!E:E)</f>
        <v>0</v>
      </c>
      <c r="D12" s="157">
        <f>SUMIF('caseload data'!$A:$A,"NPS North West Region",'caseload data'!F:F)</f>
        <v>0</v>
      </c>
      <c r="E12" s="157">
        <f>SUMIF('caseload data'!$A:$A,"NPS North West Region",'caseload data'!G:G)</f>
        <v>0</v>
      </c>
      <c r="F12" s="157">
        <f>SUMIF('caseload data'!$A:$A,"NPS North West Region",'caseload data'!H:H)</f>
        <v>0</v>
      </c>
      <c r="G12" s="157">
        <f>SUMIF('caseload data'!$A:$A,"NPS North West Region",'caseload data'!I:I)</f>
        <v>0</v>
      </c>
      <c r="H12" s="157">
        <f>SUMIF('caseload data'!$A:$A,"NPS North West Region",'caseload data'!J:J)</f>
        <v>0</v>
      </c>
      <c r="I12" s="157">
        <f>SUMIF('caseload data'!$A:$A,"NPS North West Region",'caseload data'!K:K)</f>
        <v>0</v>
      </c>
      <c r="J12" s="157">
        <f>SUMIF('caseload data'!$A:$A,"NPS North West Region",'caseload data'!L:L)</f>
        <v>0</v>
      </c>
      <c r="K12" s="157">
        <f>SUMIF('caseload data'!$A:$A,"NPS North West Region",'caseload data'!M:M)</f>
        <v>0</v>
      </c>
      <c r="L12" s="157">
        <f>SUMIF('caseload data'!$A:$A,"NPS North West Region",'caseload data'!N:N)</f>
        <v>0</v>
      </c>
      <c r="M12" s="157">
        <f>SUMIF('caseload data'!$A:$A,"NPS North West Region",'caseload data'!O:O)</f>
        <v>0</v>
      </c>
      <c r="N12" s="157">
        <f>SUMIF('caseload data'!$A:$A,"NPS North West Region",'caseload data'!P:P)</f>
        <v>0</v>
      </c>
      <c r="O12" s="157">
        <f>SUMIF('caseload data'!$A:$A,"NPS North West Region",'caseload data'!Q:Q)</f>
        <v>0</v>
      </c>
      <c r="P12" s="157">
        <f>SUMIF('caseload data'!$A:$A,"NPS North West Region",'caseload data'!R:R)</f>
        <v>0</v>
      </c>
      <c r="Q12" s="157">
        <f>SUMIF('caseload data'!$A:$A,"NPS North West Region",'caseload data'!S:S)</f>
        <v>0</v>
      </c>
      <c r="R12" s="157">
        <f>SUMIF('caseload data'!$A:$A,"NPS North West Region",'caseload data'!T:T)</f>
        <v>0</v>
      </c>
      <c r="S12" s="157">
        <f>SUMIF('caseload data'!A:A,"NPS North West Region",'caseload data'!V:V)</f>
        <v>0</v>
      </c>
      <c r="T12" s="76"/>
      <c r="U12" s="161" t="s">
        <v>24</v>
      </c>
      <c r="V12" s="78" t="e">
        <f>C12/$S$12</f>
        <v>#DIV/0!</v>
      </c>
      <c r="W12" s="78" t="e">
        <f t="shared" ref="W12:AC12" si="39">D12/$S$12</f>
        <v>#DIV/0!</v>
      </c>
      <c r="X12" s="78" t="e">
        <f t="shared" si="39"/>
        <v>#DIV/0!</v>
      </c>
      <c r="Y12" s="78" t="e">
        <f t="shared" si="39"/>
        <v>#DIV/0!</v>
      </c>
      <c r="Z12" s="78" t="e">
        <f t="shared" si="39"/>
        <v>#DIV/0!</v>
      </c>
      <c r="AA12" s="78" t="e">
        <f t="shared" si="39"/>
        <v>#DIV/0!</v>
      </c>
      <c r="AB12" s="78" t="e">
        <f t="shared" si="39"/>
        <v>#DIV/0!</v>
      </c>
      <c r="AC12" s="78" t="e">
        <f t="shared" si="39"/>
        <v>#DIV/0!</v>
      </c>
      <c r="AD12" s="78" t="e">
        <f t="shared" ref="AD12" si="40">K12/$S$12</f>
        <v>#DIV/0!</v>
      </c>
      <c r="AE12" s="78" t="e">
        <f t="shared" ref="AE12" si="41">L12/$S$12</f>
        <v>#DIV/0!</v>
      </c>
      <c r="AF12" s="78" t="e">
        <f t="shared" ref="AF12" si="42">M12/$S$12</f>
        <v>#DIV/0!</v>
      </c>
      <c r="AG12" s="78" t="e">
        <f t="shared" ref="AG12" si="43">N12/$S$12</f>
        <v>#DIV/0!</v>
      </c>
      <c r="AH12" s="78" t="e">
        <f t="shared" ref="AH12" si="44">O12/$S$12</f>
        <v>#DIV/0!</v>
      </c>
      <c r="AI12" s="78" t="e">
        <f t="shared" ref="AI12:AJ12" si="45">P12/$S$12</f>
        <v>#DIV/0!</v>
      </c>
      <c r="AJ12" s="78" t="e">
        <f t="shared" si="45"/>
        <v>#DIV/0!</v>
      </c>
      <c r="AK12" s="78" t="e">
        <f t="shared" ref="AK12" si="46">R12/$S$12</f>
        <v>#DIV/0!</v>
      </c>
    </row>
    <row r="13" spans="1:40" x14ac:dyDescent="0.15">
      <c r="B13" s="161" t="s">
        <v>25</v>
      </c>
      <c r="C13" s="157">
        <f>SUMIF('caseload data'!$A:$A,"South Central",'caseload data'!E:E)</f>
        <v>0</v>
      </c>
      <c r="D13" s="157">
        <f>SUMIF('caseload data'!$A:$A,"South Central",'caseload data'!F:F)</f>
        <v>0</v>
      </c>
      <c r="E13" s="157">
        <f>SUMIF('caseload data'!$A:$A,"South Central",'caseload data'!G:G)</f>
        <v>0</v>
      </c>
      <c r="F13" s="157">
        <f>SUMIF('caseload data'!$A:$A,"South Central",'caseload data'!H:H)</f>
        <v>0</v>
      </c>
      <c r="G13" s="157">
        <f>SUMIF('caseload data'!$A:$A,"South Central",'caseload data'!I:I)</f>
        <v>0</v>
      </c>
      <c r="H13" s="157">
        <f>SUMIF('caseload data'!$A:$A,"South Central",'caseload data'!J:J)</f>
        <v>0</v>
      </c>
      <c r="I13" s="157">
        <f>SUMIF('caseload data'!$A:$A,"South Central",'caseload data'!K:K)</f>
        <v>0</v>
      </c>
      <c r="J13" s="157">
        <f>SUMIF('caseload data'!$A:$A,"South Central",'caseload data'!L:L)</f>
        <v>0</v>
      </c>
      <c r="K13" s="157">
        <f>SUMIF('caseload data'!$A:$A,"South Central",'caseload data'!M:M)</f>
        <v>0</v>
      </c>
      <c r="L13" s="157">
        <f>SUMIF('caseload data'!$A:$A,"South Central",'caseload data'!N:N)</f>
        <v>0</v>
      </c>
      <c r="M13" s="157">
        <f>SUMIF('caseload data'!$A:$A,"South Central",'caseload data'!O:O)</f>
        <v>0</v>
      </c>
      <c r="N13" s="157">
        <f>SUMIF('caseload data'!$A:$A,"South Central",'caseload data'!P:P)</f>
        <v>0</v>
      </c>
      <c r="O13" s="157">
        <f>SUMIF('caseload data'!$A:$A,"South Central",'caseload data'!Q:Q)</f>
        <v>0</v>
      </c>
      <c r="P13" s="157">
        <f>SUMIF('caseload data'!$A:$A,"South Central",'caseload data'!R:R)</f>
        <v>0</v>
      </c>
      <c r="Q13" s="157">
        <f>SUMIF('caseload data'!$A:$A,"South Central",'caseload data'!S:S)</f>
        <v>0</v>
      </c>
      <c r="R13" s="157">
        <f>SUMIF('caseload data'!$A:$A,"South Central",'caseload data'!T:T)</f>
        <v>0</v>
      </c>
      <c r="S13" s="157">
        <f>SUMIF('caseload data'!A:A,"South Central",'caseload data'!V:V)</f>
        <v>0</v>
      </c>
      <c r="T13" s="76"/>
      <c r="U13" s="161" t="s">
        <v>25</v>
      </c>
      <c r="V13" s="78" t="e">
        <f t="shared" ref="V13:AK13" si="47">C13/$S$13</f>
        <v>#DIV/0!</v>
      </c>
      <c r="W13" s="78" t="e">
        <f t="shared" si="47"/>
        <v>#DIV/0!</v>
      </c>
      <c r="X13" s="78" t="e">
        <f t="shared" si="47"/>
        <v>#DIV/0!</v>
      </c>
      <c r="Y13" s="78" t="e">
        <f t="shared" si="47"/>
        <v>#DIV/0!</v>
      </c>
      <c r="Z13" s="78" t="e">
        <f t="shared" si="47"/>
        <v>#DIV/0!</v>
      </c>
      <c r="AA13" s="78" t="e">
        <f t="shared" si="47"/>
        <v>#DIV/0!</v>
      </c>
      <c r="AB13" s="78" t="e">
        <f t="shared" si="47"/>
        <v>#DIV/0!</v>
      </c>
      <c r="AC13" s="78" t="e">
        <f t="shared" si="47"/>
        <v>#DIV/0!</v>
      </c>
      <c r="AD13" s="78" t="e">
        <f t="shared" si="47"/>
        <v>#DIV/0!</v>
      </c>
      <c r="AE13" s="78" t="e">
        <f t="shared" si="47"/>
        <v>#DIV/0!</v>
      </c>
      <c r="AF13" s="78" t="e">
        <f t="shared" si="47"/>
        <v>#DIV/0!</v>
      </c>
      <c r="AG13" s="78" t="e">
        <f t="shared" si="47"/>
        <v>#DIV/0!</v>
      </c>
      <c r="AH13" s="78" t="e">
        <f t="shared" si="47"/>
        <v>#DIV/0!</v>
      </c>
      <c r="AI13" s="78" t="e">
        <f t="shared" si="47"/>
        <v>#DIV/0!</v>
      </c>
      <c r="AJ13" s="78" t="e">
        <f t="shared" si="47"/>
        <v>#DIV/0!</v>
      </c>
      <c r="AK13" s="78" t="e">
        <f t="shared" si="47"/>
        <v>#DIV/0!</v>
      </c>
    </row>
    <row r="14" spans="1:40" x14ac:dyDescent="0.15">
      <c r="B14" s="161" t="s">
        <v>26</v>
      </c>
      <c r="C14" s="157">
        <f>SUMIF('caseload data'!$A:$A,"South West",'caseload data'!E:E)</f>
        <v>0</v>
      </c>
      <c r="D14" s="157">
        <f>SUMIF('caseload data'!$A:$A,"South West",'caseload data'!F:F)</f>
        <v>0</v>
      </c>
      <c r="E14" s="157">
        <f>SUMIF('caseload data'!$A:$A,"South West",'caseload data'!G:G)</f>
        <v>0</v>
      </c>
      <c r="F14" s="157">
        <f>SUMIF('caseload data'!$A:$A,"South West",'caseload data'!H:H)</f>
        <v>0</v>
      </c>
      <c r="G14" s="157">
        <f>SUMIF('caseload data'!$A:$A,"South West",'caseload data'!I:I)</f>
        <v>0</v>
      </c>
      <c r="H14" s="157">
        <f>SUMIF('caseload data'!$A:$A,"South West",'caseload data'!J:J)</f>
        <v>0</v>
      </c>
      <c r="I14" s="157">
        <f>SUMIF('caseload data'!$A:$A,"South West",'caseload data'!K:K)</f>
        <v>0</v>
      </c>
      <c r="J14" s="157">
        <f>SUMIF('caseload data'!$A:$A,"South West",'caseload data'!L:L)</f>
        <v>0</v>
      </c>
      <c r="K14" s="157">
        <f>SUMIF('caseload data'!$A:$A,"South West",'caseload data'!M:M)</f>
        <v>0</v>
      </c>
      <c r="L14" s="157">
        <f>SUMIF('caseload data'!$A:$A,"South West",'caseload data'!N:N)</f>
        <v>0</v>
      </c>
      <c r="M14" s="157">
        <f>SUMIF('caseload data'!$A:$A,"South West",'caseload data'!O:O)</f>
        <v>0</v>
      </c>
      <c r="N14" s="157">
        <f>SUMIF('caseload data'!$A:$A,"South West",'caseload data'!P:P)</f>
        <v>0</v>
      </c>
      <c r="O14" s="157">
        <f>SUMIF('caseload data'!$A:$A,"South West",'caseload data'!Q:Q)</f>
        <v>0</v>
      </c>
      <c r="P14" s="157">
        <f>SUMIF('caseload data'!$A:$A,"South West",'caseload data'!R:R)</f>
        <v>0</v>
      </c>
      <c r="Q14" s="157">
        <f>SUMIF('caseload data'!$A:$A,"South West",'caseload data'!S:S)</f>
        <v>0</v>
      </c>
      <c r="R14" s="157">
        <f>SUMIF('caseload data'!$A:$A,"South West",'caseload data'!T:T)</f>
        <v>0</v>
      </c>
      <c r="S14" s="157">
        <f>SUMIF('caseload data'!A:A,"South West",'caseload data'!V:V)</f>
        <v>0</v>
      </c>
      <c r="T14" s="76"/>
      <c r="U14" s="161" t="s">
        <v>26</v>
      </c>
      <c r="V14" s="78" t="e">
        <f>C14/$S$14</f>
        <v>#DIV/0!</v>
      </c>
      <c r="W14" s="78" t="e">
        <f t="shared" ref="W14:AC14" si="48">D14/$S$14</f>
        <v>#DIV/0!</v>
      </c>
      <c r="X14" s="78" t="e">
        <f t="shared" si="48"/>
        <v>#DIV/0!</v>
      </c>
      <c r="Y14" s="78" t="e">
        <f t="shared" si="48"/>
        <v>#DIV/0!</v>
      </c>
      <c r="Z14" s="78" t="e">
        <f t="shared" si="48"/>
        <v>#DIV/0!</v>
      </c>
      <c r="AA14" s="78" t="e">
        <f t="shared" si="48"/>
        <v>#DIV/0!</v>
      </c>
      <c r="AB14" s="78" t="e">
        <f t="shared" si="48"/>
        <v>#DIV/0!</v>
      </c>
      <c r="AC14" s="78" t="e">
        <f t="shared" si="48"/>
        <v>#DIV/0!</v>
      </c>
      <c r="AD14" s="78" t="e">
        <f t="shared" ref="AD14" si="49">K14/$S$14</f>
        <v>#DIV/0!</v>
      </c>
      <c r="AE14" s="78" t="e">
        <f t="shared" ref="AE14" si="50">L14/$S$14</f>
        <v>#DIV/0!</v>
      </c>
      <c r="AF14" s="78" t="e">
        <f t="shared" ref="AF14" si="51">M14/$S$14</f>
        <v>#DIV/0!</v>
      </c>
      <c r="AG14" s="78" t="e">
        <f t="shared" ref="AG14" si="52">N14/$S$14</f>
        <v>#DIV/0!</v>
      </c>
      <c r="AH14" s="78" t="e">
        <f t="shared" ref="AH14" si="53">O14/$S$14</f>
        <v>#DIV/0!</v>
      </c>
      <c r="AI14" s="78" t="e">
        <f t="shared" ref="AI14:AJ14" si="54">P14/$S$14</f>
        <v>#DIV/0!</v>
      </c>
      <c r="AJ14" s="78" t="e">
        <f t="shared" si="54"/>
        <v>#DIV/0!</v>
      </c>
      <c r="AK14" s="78" t="e">
        <f t="shared" ref="AK14" si="55">R14/$S$14</f>
        <v>#DIV/0!</v>
      </c>
    </row>
    <row r="15" spans="1:40" x14ac:dyDescent="0.15">
      <c r="B15" s="161" t="s">
        <v>27</v>
      </c>
      <c r="C15" s="157">
        <f>SUMIF('caseload data'!$A:$A,"Wales",'caseload data'!E:E)</f>
        <v>0</v>
      </c>
      <c r="D15" s="157">
        <f>SUMIF('caseload data'!$A:$A,"Wales",'caseload data'!F:F)</f>
        <v>0</v>
      </c>
      <c r="E15" s="157">
        <f>SUMIF('caseload data'!$A:$A,"Wales",'caseload data'!G:G)</f>
        <v>0</v>
      </c>
      <c r="F15" s="157">
        <f>SUMIF('caseload data'!$A:$A,"Wales",'caseload data'!H:H)</f>
        <v>0</v>
      </c>
      <c r="G15" s="157">
        <f>SUMIF('caseload data'!$A:$A,"Wales",'caseload data'!I:I)</f>
        <v>0</v>
      </c>
      <c r="H15" s="157">
        <f>SUMIF('caseload data'!$A:$A,"Wales",'caseload data'!J:J)</f>
        <v>0</v>
      </c>
      <c r="I15" s="157">
        <f>SUMIF('caseload data'!$A:$A,"Wales",'caseload data'!K:K)</f>
        <v>0</v>
      </c>
      <c r="J15" s="157">
        <f>SUMIF('caseload data'!$A:$A,"Wales",'caseload data'!L:L)</f>
        <v>0</v>
      </c>
      <c r="K15" s="157">
        <f>SUMIF('caseload data'!$A:$A,"Wales",'caseload data'!M:M)</f>
        <v>0</v>
      </c>
      <c r="L15" s="157">
        <f>SUMIF('caseload data'!$A:$A,"Wales",'caseload data'!N:N)</f>
        <v>0</v>
      </c>
      <c r="M15" s="157">
        <f>SUMIF('caseload data'!$A:$A,"Wales",'caseload data'!O:O)</f>
        <v>0</v>
      </c>
      <c r="N15" s="157">
        <f>SUMIF('caseload data'!$A:$A,"Wales",'caseload data'!P:P)</f>
        <v>0</v>
      </c>
      <c r="O15" s="157">
        <f>SUMIF('caseload data'!$A:$A,"Wales",'caseload data'!Q:Q)</f>
        <v>0</v>
      </c>
      <c r="P15" s="157">
        <f>SUMIF('caseload data'!$A:$A,"Wales",'caseload data'!R:R)</f>
        <v>0</v>
      </c>
      <c r="Q15" s="157">
        <f>SUMIF('caseload data'!$A:$A,"Wales",'caseload data'!S:S)</f>
        <v>0</v>
      </c>
      <c r="R15" s="157">
        <f>SUMIF('caseload data'!$A:$A,"Wales",'caseload data'!T:T)</f>
        <v>0</v>
      </c>
      <c r="S15" s="157">
        <f>SUMIF('caseload data'!A:A,"Wales",'caseload data'!V:V)</f>
        <v>0</v>
      </c>
      <c r="T15" s="76"/>
      <c r="U15" s="161" t="s">
        <v>27</v>
      </c>
      <c r="V15" s="78" t="e">
        <f>C15/$S$15</f>
        <v>#DIV/0!</v>
      </c>
      <c r="W15" s="78" t="e">
        <f t="shared" ref="W15:AC15" si="56">D15/$S$15</f>
        <v>#DIV/0!</v>
      </c>
      <c r="X15" s="78" t="e">
        <f t="shared" si="56"/>
        <v>#DIV/0!</v>
      </c>
      <c r="Y15" s="78" t="e">
        <f t="shared" si="56"/>
        <v>#DIV/0!</v>
      </c>
      <c r="Z15" s="78" t="e">
        <f t="shared" si="56"/>
        <v>#DIV/0!</v>
      </c>
      <c r="AA15" s="78" t="e">
        <f t="shared" si="56"/>
        <v>#DIV/0!</v>
      </c>
      <c r="AB15" s="78" t="e">
        <f t="shared" si="56"/>
        <v>#DIV/0!</v>
      </c>
      <c r="AC15" s="78" t="e">
        <f t="shared" si="56"/>
        <v>#DIV/0!</v>
      </c>
      <c r="AD15" s="78" t="e">
        <f t="shared" ref="AD15" si="57">K15/$S$15</f>
        <v>#DIV/0!</v>
      </c>
      <c r="AE15" s="78" t="e">
        <f t="shared" ref="AE15" si="58">L15/$S$15</f>
        <v>#DIV/0!</v>
      </c>
      <c r="AF15" s="78" t="e">
        <f t="shared" ref="AF15" si="59">M15/$S$15</f>
        <v>#DIV/0!</v>
      </c>
      <c r="AG15" s="78" t="e">
        <f t="shared" ref="AG15" si="60">N15/$S$15</f>
        <v>#DIV/0!</v>
      </c>
      <c r="AH15" s="78" t="e">
        <f t="shared" ref="AH15" si="61">O15/$S$15</f>
        <v>#DIV/0!</v>
      </c>
      <c r="AI15" s="78" t="e">
        <f t="shared" ref="AI15:AJ15" si="62">P15/$S$15</f>
        <v>#DIV/0!</v>
      </c>
      <c r="AJ15" s="78" t="e">
        <f t="shared" si="62"/>
        <v>#DIV/0!</v>
      </c>
      <c r="AK15" s="78" t="e">
        <f t="shared" ref="AK15" si="63">R15/$S$15</f>
        <v>#DIV/0!</v>
      </c>
    </row>
    <row r="16" spans="1:40" x14ac:dyDescent="0.15">
      <c r="B16" s="161" t="s">
        <v>28</v>
      </c>
      <c r="C16" s="157">
        <f>SUMIF('caseload data'!$A:$A,"West Midlands Region",'caseload data'!E:E)</f>
        <v>0</v>
      </c>
      <c r="D16" s="157">
        <f>SUMIF('caseload data'!$A:$A,"West Midlands Region",'caseload data'!F:F)</f>
        <v>0</v>
      </c>
      <c r="E16" s="157">
        <f>SUMIF('caseload data'!$A:$A,"West Midlands Region",'caseload data'!G:G)</f>
        <v>0</v>
      </c>
      <c r="F16" s="157">
        <f>SUMIF('caseload data'!$A:$A,"West Midlands Region",'caseload data'!H:H)</f>
        <v>0</v>
      </c>
      <c r="G16" s="157">
        <f>SUMIF('caseload data'!$A:$A,"West Midlands Region",'caseload data'!I:I)</f>
        <v>0</v>
      </c>
      <c r="H16" s="157">
        <f>SUMIF('caseload data'!$A:$A,"West Midlands Region",'caseload data'!J:J)</f>
        <v>0</v>
      </c>
      <c r="I16" s="157">
        <f>SUMIF('caseload data'!$A:$A,"West Midlands Region",'caseload data'!K:K)</f>
        <v>0</v>
      </c>
      <c r="J16" s="157">
        <f>SUMIF('caseload data'!$A:$A,"West Midlands Region",'caseload data'!L:L)</f>
        <v>0</v>
      </c>
      <c r="K16" s="157">
        <f>SUMIF('caseload data'!$A:$A,"West Midlands Region",'caseload data'!M:M)</f>
        <v>0</v>
      </c>
      <c r="L16" s="157">
        <f>SUMIF('caseload data'!$A:$A,"West Midlands Region",'caseload data'!N:N)</f>
        <v>0</v>
      </c>
      <c r="M16" s="157">
        <f>SUMIF('caseload data'!$A:$A,"West Midlands Region",'caseload data'!O:O)</f>
        <v>0</v>
      </c>
      <c r="N16" s="157">
        <f>SUMIF('caseload data'!$A:$A,"West Midlands Region",'caseload data'!P:P)</f>
        <v>0</v>
      </c>
      <c r="O16" s="157">
        <f>SUMIF('caseload data'!$A:$A,"West Midlands Region",'caseload data'!Q:Q)</f>
        <v>0</v>
      </c>
      <c r="P16" s="157">
        <f>SUMIF('caseload data'!$A:$A,"West Midlands Region",'caseload data'!R:R)</f>
        <v>0</v>
      </c>
      <c r="Q16" s="157">
        <f>SUMIF('caseload data'!$A:$A,"West Midlands Region",'caseload data'!S:S)</f>
        <v>0</v>
      </c>
      <c r="R16" s="157">
        <f>SUMIF('caseload data'!$A:$A,"West Midlands Region",'caseload data'!T:T)</f>
        <v>0</v>
      </c>
      <c r="S16" s="157">
        <f>SUMIF('caseload data'!A:A,"West Midlands Region",'caseload data'!V:V)</f>
        <v>0</v>
      </c>
      <c r="T16" s="76"/>
      <c r="U16" s="161" t="s">
        <v>28</v>
      </c>
      <c r="V16" s="78" t="e">
        <f>C16/$S$16</f>
        <v>#DIV/0!</v>
      </c>
      <c r="W16" s="78" t="e">
        <f t="shared" ref="W16:AC16" si="64">D16/$S$16</f>
        <v>#DIV/0!</v>
      </c>
      <c r="X16" s="78" t="e">
        <f t="shared" si="64"/>
        <v>#DIV/0!</v>
      </c>
      <c r="Y16" s="78" t="e">
        <f t="shared" si="64"/>
        <v>#DIV/0!</v>
      </c>
      <c r="Z16" s="78" t="e">
        <f t="shared" si="64"/>
        <v>#DIV/0!</v>
      </c>
      <c r="AA16" s="78" t="e">
        <f t="shared" si="64"/>
        <v>#DIV/0!</v>
      </c>
      <c r="AB16" s="78" t="e">
        <f t="shared" si="64"/>
        <v>#DIV/0!</v>
      </c>
      <c r="AC16" s="78" t="e">
        <f t="shared" si="64"/>
        <v>#DIV/0!</v>
      </c>
      <c r="AD16" s="78" t="e">
        <f t="shared" ref="AD16" si="65">K16/$S$16</f>
        <v>#DIV/0!</v>
      </c>
      <c r="AE16" s="78" t="e">
        <f t="shared" ref="AE16" si="66">L16/$S$16</f>
        <v>#DIV/0!</v>
      </c>
      <c r="AF16" s="78" t="e">
        <f t="shared" ref="AF16" si="67">M16/$S$16</f>
        <v>#DIV/0!</v>
      </c>
      <c r="AG16" s="78" t="e">
        <f t="shared" ref="AG16" si="68">N16/$S$16</f>
        <v>#DIV/0!</v>
      </c>
      <c r="AH16" s="78" t="e">
        <f t="shared" ref="AH16" si="69">O16/$S$16</f>
        <v>#DIV/0!</v>
      </c>
      <c r="AI16" s="78" t="e">
        <f t="shared" ref="AI16:AJ16" si="70">P16/$S$16</f>
        <v>#DIV/0!</v>
      </c>
      <c r="AJ16" s="78" t="e">
        <f t="shared" si="70"/>
        <v>#DIV/0!</v>
      </c>
      <c r="AK16" s="78" t="e">
        <f t="shared" ref="AK16" si="71">R16/$S$16</f>
        <v>#DIV/0!</v>
      </c>
    </row>
    <row r="17" spans="2:37" x14ac:dyDescent="0.15">
      <c r="B17" s="161" t="s">
        <v>1409</v>
      </c>
      <c r="C17" s="157">
        <f>SUMIF('caseload data'!$A:$A,"Yorkshire and The Humber",'caseload data'!E:E)</f>
        <v>0</v>
      </c>
      <c r="D17" s="157">
        <f>SUMIF('caseload data'!$A:$A,"Yorkshire and The Humber",'caseload data'!F:F)</f>
        <v>0</v>
      </c>
      <c r="E17" s="157">
        <f>SUMIF('caseload data'!$A:$A,"Yorkshire and The Humber",'caseload data'!G:G)</f>
        <v>0</v>
      </c>
      <c r="F17" s="157">
        <f>SUMIF('caseload data'!$A:$A,"Yorkshire and The Humber",'caseload data'!H:H)</f>
        <v>0</v>
      </c>
      <c r="G17" s="157">
        <f>SUMIF('caseload data'!$A:$A,"Yorkshire and The Humber",'caseload data'!I:I)</f>
        <v>0</v>
      </c>
      <c r="H17" s="157">
        <f>SUMIF('caseload data'!$A:$A,"Yorkshire and The Humber",'caseload data'!J:J)</f>
        <v>0</v>
      </c>
      <c r="I17" s="157">
        <f>SUMIF('caseload data'!$A:$A,"Yorkshire and The Humber",'caseload data'!K:K)</f>
        <v>0</v>
      </c>
      <c r="J17" s="157">
        <f>SUMIF('caseload data'!$A:$A,"Yorkshire and The Humber",'caseload data'!L:L)</f>
        <v>0</v>
      </c>
      <c r="K17" s="157">
        <f>SUMIF('caseload data'!$A:$A,"Yorkshire and The Humber",'caseload data'!M:M)</f>
        <v>0</v>
      </c>
      <c r="L17" s="157">
        <f>SUMIF('caseload data'!$A:$A,"Yorkshire and The Humber",'caseload data'!N:N)</f>
        <v>0</v>
      </c>
      <c r="M17" s="157">
        <f>SUMIF('caseload data'!$A:$A,"Yorkshire and The Humber",'caseload data'!O:O)</f>
        <v>0</v>
      </c>
      <c r="N17" s="157">
        <f>SUMIF('caseload data'!$A:$A,"Yorkshire and The Humber",'caseload data'!P:P)</f>
        <v>0</v>
      </c>
      <c r="O17" s="157">
        <f>SUMIF('caseload data'!$A:$A,"Yorkshire and The Humber",'caseload data'!Q:Q)</f>
        <v>0</v>
      </c>
      <c r="P17" s="157">
        <f>SUMIF('caseload data'!$A:$A,"Yorkshire and The Humber",'caseload data'!R:R)</f>
        <v>0</v>
      </c>
      <c r="Q17" s="157">
        <f>SUMIF('caseload data'!$A:$A,"Yorkshire and The Humber",'caseload data'!S:S)</f>
        <v>0</v>
      </c>
      <c r="R17" s="157">
        <f>SUMIF('caseload data'!$A:$A,"Yorkshire and The Humber",'caseload data'!T:T)</f>
        <v>0</v>
      </c>
      <c r="S17" s="157">
        <f>SUMIF('caseload data'!A:A,"Yorkshire and The Humber",'caseload data'!V:V)</f>
        <v>0</v>
      </c>
      <c r="T17" s="76"/>
      <c r="U17" s="161" t="s">
        <v>1409</v>
      </c>
      <c r="V17" s="78" t="e">
        <f>C17/$S$17</f>
        <v>#DIV/0!</v>
      </c>
      <c r="W17" s="78" t="e">
        <f t="shared" ref="W17:AC17" si="72">D17/$S$17</f>
        <v>#DIV/0!</v>
      </c>
      <c r="X17" s="78" t="e">
        <f t="shared" si="72"/>
        <v>#DIV/0!</v>
      </c>
      <c r="Y17" s="78" t="e">
        <f t="shared" si="72"/>
        <v>#DIV/0!</v>
      </c>
      <c r="Z17" s="78" t="e">
        <f t="shared" si="72"/>
        <v>#DIV/0!</v>
      </c>
      <c r="AA17" s="78" t="e">
        <f t="shared" si="72"/>
        <v>#DIV/0!</v>
      </c>
      <c r="AB17" s="78" t="e">
        <f t="shared" si="72"/>
        <v>#DIV/0!</v>
      </c>
      <c r="AC17" s="78" t="e">
        <f t="shared" si="72"/>
        <v>#DIV/0!</v>
      </c>
      <c r="AD17" s="78" t="e">
        <f t="shared" ref="AD17" si="73">K17/$S$17</f>
        <v>#DIV/0!</v>
      </c>
      <c r="AE17" s="78" t="e">
        <f t="shared" ref="AE17" si="74">L17/$S$17</f>
        <v>#DIV/0!</v>
      </c>
      <c r="AF17" s="78" t="e">
        <f t="shared" ref="AF17" si="75">M17/$S$17</f>
        <v>#DIV/0!</v>
      </c>
      <c r="AG17" s="78" t="e">
        <f t="shared" ref="AG17" si="76">N17/$S$17</f>
        <v>#DIV/0!</v>
      </c>
      <c r="AH17" s="78" t="e">
        <f t="shared" ref="AH17" si="77">O17/$S$17</f>
        <v>#DIV/0!</v>
      </c>
      <c r="AI17" s="78" t="e">
        <f t="shared" ref="AI17:AJ17" si="78">P17/$S$17</f>
        <v>#DIV/0!</v>
      </c>
      <c r="AJ17" s="78" t="e">
        <f t="shared" si="78"/>
        <v>#DIV/0!</v>
      </c>
      <c r="AK17" s="78" t="e">
        <f t="shared" ref="AK17" si="79">R17/$S$17</f>
        <v>#DIV/0!</v>
      </c>
    </row>
    <row r="18" spans="2:37" x14ac:dyDescent="0.15">
      <c r="B18" s="161" t="s">
        <v>29</v>
      </c>
      <c r="C18" s="157">
        <f>SUMIF('caseload data'!$A:$A,$B$18,'caseload data'!E:E)</f>
        <v>0</v>
      </c>
      <c r="D18" s="157">
        <f>SUMIF('caseload data'!$A:$A,$B$18,'caseload data'!F:F)</f>
        <v>0</v>
      </c>
      <c r="E18" s="157">
        <f>SUMIF('caseload data'!$A:$A,$B$18,'caseload data'!G:G)</f>
        <v>0</v>
      </c>
      <c r="F18" s="157">
        <f>SUMIF('caseload data'!$A:$A,$B$18,'caseload data'!H:H)</f>
        <v>0</v>
      </c>
      <c r="G18" s="157">
        <f>SUMIF('caseload data'!$A:$A,$B$18,'caseload data'!I:I)</f>
        <v>0</v>
      </c>
      <c r="H18" s="157">
        <f>SUMIF('caseload data'!$A:$A,$B$18,'caseload data'!J:J)</f>
        <v>0</v>
      </c>
      <c r="I18" s="157">
        <f>SUMIF('caseload data'!$A:$A,$B$18,'caseload data'!K:K)</f>
        <v>0</v>
      </c>
      <c r="J18" s="157">
        <f>SUMIF('caseload data'!$A:$A,$B$18,'caseload data'!L:L)</f>
        <v>0</v>
      </c>
      <c r="K18" s="157">
        <f>SUMIF('caseload data'!$A:$A,$B$18,'caseload data'!M:M)</f>
        <v>0</v>
      </c>
      <c r="L18" s="157">
        <f>SUMIF('caseload data'!$A:$A,$B$18,'caseload data'!N:N)</f>
        <v>0</v>
      </c>
      <c r="M18" s="157">
        <f>SUMIF('caseload data'!$A:$A,$B$18,'caseload data'!O:O)</f>
        <v>0</v>
      </c>
      <c r="N18" s="157">
        <f>SUMIF('caseload data'!$A:$A,$B$18,'caseload data'!P:P)</f>
        <v>0</v>
      </c>
      <c r="O18" s="157">
        <f>SUMIF('caseload data'!$A:$A,$B$18,'caseload data'!Q:Q)</f>
        <v>0</v>
      </c>
      <c r="P18" s="157">
        <f>SUMIF('caseload data'!$A:$A,$B$18,'caseload data'!R:R)</f>
        <v>0</v>
      </c>
      <c r="Q18" s="157">
        <f>SUMIF('caseload data'!$A:$A,$B$18,'caseload data'!S:S)</f>
        <v>0</v>
      </c>
      <c r="R18" s="157">
        <f>SUMIF('caseload data'!$A:$A,$B$18,'caseload data'!T:T)</f>
        <v>0</v>
      </c>
      <c r="S18" s="157">
        <f>SUMIF('caseload data'!$A:$A,$B$18,'caseload data'!V:V)</f>
        <v>0</v>
      </c>
      <c r="T18" s="76"/>
      <c r="U18" s="161" t="s">
        <v>29</v>
      </c>
      <c r="V18" s="78" t="e">
        <f t="shared" ref="V18:V20" si="80">C18/$S18</f>
        <v>#DIV/0!</v>
      </c>
      <c r="W18" s="78" t="e">
        <f t="shared" ref="W18:W20" si="81">D18/$S18</f>
        <v>#DIV/0!</v>
      </c>
      <c r="X18" s="78" t="e">
        <f t="shared" ref="X18:X20" si="82">E18/$S18</f>
        <v>#DIV/0!</v>
      </c>
      <c r="Y18" s="78" t="e">
        <f t="shared" ref="Y18:Y20" si="83">F18/$S18</f>
        <v>#DIV/0!</v>
      </c>
      <c r="Z18" s="78" t="e">
        <f t="shared" ref="Z18:Z20" si="84">G18/$S18</f>
        <v>#DIV/0!</v>
      </c>
      <c r="AA18" s="78" t="e">
        <f t="shared" ref="AA18:AA20" si="85">H18/$S18</f>
        <v>#DIV/0!</v>
      </c>
      <c r="AB18" s="78" t="e">
        <f t="shared" ref="AB18:AB20" si="86">I18/$S18</f>
        <v>#DIV/0!</v>
      </c>
      <c r="AC18" s="78" t="e">
        <f t="shared" ref="AC18:AC20" si="87">J18/$S18</f>
        <v>#DIV/0!</v>
      </c>
      <c r="AD18" s="78" t="e">
        <f t="shared" ref="AD18:AD20" si="88">K18/$S18</f>
        <v>#DIV/0!</v>
      </c>
      <c r="AE18" s="78" t="e">
        <f t="shared" ref="AE18:AE20" si="89">L18/$S18</f>
        <v>#DIV/0!</v>
      </c>
      <c r="AF18" s="78" t="e">
        <f t="shared" ref="AF18:AF20" si="90">M18/$S18</f>
        <v>#DIV/0!</v>
      </c>
      <c r="AG18" s="78" t="e">
        <f t="shared" ref="AG18:AG20" si="91">N18/$S18</f>
        <v>#DIV/0!</v>
      </c>
      <c r="AH18" s="78" t="e">
        <f t="shared" ref="AH18:AH20" si="92">O18/$S18</f>
        <v>#DIV/0!</v>
      </c>
      <c r="AI18" s="78" t="e">
        <f t="shared" ref="AI18:AI20" si="93">P18/$S18</f>
        <v>#DIV/0!</v>
      </c>
      <c r="AJ18" s="78" t="e">
        <f t="shared" ref="AJ18:AJ20" si="94">Q18/$S18</f>
        <v>#DIV/0!</v>
      </c>
      <c r="AK18" s="78" t="e">
        <f t="shared" ref="AK18:AK20" si="95">R18/$S18</f>
        <v>#DIV/0!</v>
      </c>
    </row>
    <row r="19" spans="2:37" x14ac:dyDescent="0.15">
      <c r="B19" s="161" t="s">
        <v>30</v>
      </c>
      <c r="C19" s="157">
        <f>SUMIF('caseload data'!$A:$A,$B$19,'caseload data'!E:E)</f>
        <v>0</v>
      </c>
      <c r="D19" s="157">
        <f>SUMIF('caseload data'!$A:$A,$B$19,'caseload data'!F:F)</f>
        <v>0</v>
      </c>
      <c r="E19" s="157">
        <f>SUMIF('caseload data'!$A:$A,$B$19,'caseload data'!G:G)</f>
        <v>0</v>
      </c>
      <c r="F19" s="157">
        <f>SUMIF('caseload data'!$A:$A,$B$19,'caseload data'!H:H)</f>
        <v>0</v>
      </c>
      <c r="G19" s="157">
        <f>SUMIF('caseload data'!$A:$A,$B$19,'caseload data'!I:I)</f>
        <v>0</v>
      </c>
      <c r="H19" s="157">
        <f>SUMIF('caseload data'!$A:$A,$B$19,'caseload data'!J:J)</f>
        <v>0</v>
      </c>
      <c r="I19" s="157">
        <f>SUMIF('caseload data'!$A:$A,$B$19,'caseload data'!K:K)</f>
        <v>0</v>
      </c>
      <c r="J19" s="157">
        <f>SUMIF('caseload data'!$A:$A,$B$19,'caseload data'!L:L)</f>
        <v>0</v>
      </c>
      <c r="K19" s="157">
        <f>SUMIF('caseload data'!$A:$A,$B$19,'caseload data'!M:M)</f>
        <v>0</v>
      </c>
      <c r="L19" s="157">
        <f>SUMIF('caseload data'!$A:$A,$B$19,'caseload data'!N:N)</f>
        <v>0</v>
      </c>
      <c r="M19" s="157">
        <f>SUMIF('caseload data'!$A:$A,$B$19,'caseload data'!O:O)</f>
        <v>0</v>
      </c>
      <c r="N19" s="157">
        <f>SUMIF('caseload data'!$A:$A,$B$19,'caseload data'!P:P)</f>
        <v>0</v>
      </c>
      <c r="O19" s="157">
        <f>SUMIF('caseload data'!$A:$A,$B$19,'caseload data'!Q:Q)</f>
        <v>0</v>
      </c>
      <c r="P19" s="157">
        <f>SUMIF('caseload data'!$A:$A,$B$19,'caseload data'!R:R)</f>
        <v>0</v>
      </c>
      <c r="Q19" s="157">
        <f>SUMIF('caseload data'!$A:$A,$B$19,'caseload data'!S:S)</f>
        <v>0</v>
      </c>
      <c r="R19" s="157">
        <f>SUMIF('caseload data'!$A:$A,$B$19,'caseload data'!T:T)</f>
        <v>0</v>
      </c>
      <c r="S19" s="157">
        <f>SUMIF('caseload data'!$A:$A,$B$19,'caseload data'!V:V)</f>
        <v>0</v>
      </c>
      <c r="T19" s="76"/>
      <c r="U19" s="161" t="s">
        <v>30</v>
      </c>
      <c r="V19" s="78" t="e">
        <f t="shared" si="80"/>
        <v>#DIV/0!</v>
      </c>
      <c r="W19" s="78" t="e">
        <f t="shared" si="81"/>
        <v>#DIV/0!</v>
      </c>
      <c r="X19" s="78" t="e">
        <f t="shared" si="82"/>
        <v>#DIV/0!</v>
      </c>
      <c r="Y19" s="78" t="e">
        <f t="shared" si="83"/>
        <v>#DIV/0!</v>
      </c>
      <c r="Z19" s="78" t="e">
        <f t="shared" si="84"/>
        <v>#DIV/0!</v>
      </c>
      <c r="AA19" s="78" t="e">
        <f t="shared" si="85"/>
        <v>#DIV/0!</v>
      </c>
      <c r="AB19" s="78" t="e">
        <f t="shared" si="86"/>
        <v>#DIV/0!</v>
      </c>
      <c r="AC19" s="78" t="e">
        <f t="shared" si="87"/>
        <v>#DIV/0!</v>
      </c>
      <c r="AD19" s="78" t="e">
        <f t="shared" si="88"/>
        <v>#DIV/0!</v>
      </c>
      <c r="AE19" s="78" t="e">
        <f t="shared" si="89"/>
        <v>#DIV/0!</v>
      </c>
      <c r="AF19" s="78" t="e">
        <f t="shared" si="90"/>
        <v>#DIV/0!</v>
      </c>
      <c r="AG19" s="78" t="e">
        <f t="shared" si="91"/>
        <v>#DIV/0!</v>
      </c>
      <c r="AH19" s="78" t="e">
        <f t="shared" si="92"/>
        <v>#DIV/0!</v>
      </c>
      <c r="AI19" s="78" t="e">
        <f t="shared" si="93"/>
        <v>#DIV/0!</v>
      </c>
      <c r="AJ19" s="78" t="e">
        <f t="shared" si="94"/>
        <v>#DIV/0!</v>
      </c>
      <c r="AK19" s="78" t="e">
        <f t="shared" si="95"/>
        <v>#DIV/0!</v>
      </c>
    </row>
    <row r="20" spans="2:37" x14ac:dyDescent="0.15">
      <c r="B20" s="161" t="s">
        <v>34</v>
      </c>
      <c r="C20" s="157">
        <f>SUMIF('caseload data'!$A:$A,$B$20,'caseload data'!E:E)</f>
        <v>0</v>
      </c>
      <c r="D20" s="157">
        <f>SUMIF('caseload data'!$A:$A,$B$20,'caseload data'!F:F)</f>
        <v>0</v>
      </c>
      <c r="E20" s="157">
        <f>SUMIF('caseload data'!$A:$A,$B$20,'caseload data'!G:G)</f>
        <v>0</v>
      </c>
      <c r="F20" s="157">
        <f>SUMIF('caseload data'!$A:$A,$B$20,'caseload data'!H:H)</f>
        <v>0</v>
      </c>
      <c r="G20" s="157">
        <f>SUMIF('caseload data'!$A:$A,$B$20,'caseload data'!I:I)</f>
        <v>0</v>
      </c>
      <c r="H20" s="157">
        <f>SUMIF('caseload data'!$A:$A,$B$20,'caseload data'!J:J)</f>
        <v>0</v>
      </c>
      <c r="I20" s="157">
        <f>SUMIF('caseload data'!$A:$A,$B$20,'caseload data'!K:K)</f>
        <v>0</v>
      </c>
      <c r="J20" s="157">
        <f>SUMIF('caseload data'!$A:$A,$B$20,'caseload data'!L:L)</f>
        <v>0</v>
      </c>
      <c r="K20" s="157">
        <f>SUMIF('caseload data'!$A:$A,$B$20,'caseload data'!M:M)</f>
        <v>0</v>
      </c>
      <c r="L20" s="157">
        <f>SUMIF('caseload data'!$A:$A,$B$20,'caseload data'!N:N)</f>
        <v>0</v>
      </c>
      <c r="M20" s="157">
        <f>SUMIF('caseload data'!$A:$A,$B$20,'caseload data'!O:O)</f>
        <v>0</v>
      </c>
      <c r="N20" s="157">
        <f>SUMIF('caseload data'!$A:$A,$B$20,'caseload data'!P:P)</f>
        <v>0</v>
      </c>
      <c r="O20" s="157">
        <f>SUMIF('caseload data'!$A:$A,$B$20,'caseload data'!Q:Q)</f>
        <v>0</v>
      </c>
      <c r="P20" s="157">
        <f>SUMIF('caseload data'!$A:$A,$B$20,'caseload data'!R:R)</f>
        <v>0</v>
      </c>
      <c r="Q20" s="157">
        <f>SUMIF('caseload data'!$A:$A,$B$20,'caseload data'!S:S)</f>
        <v>0</v>
      </c>
      <c r="R20" s="157">
        <f>SUMIF('caseload data'!$A:$A,$B$20,'caseload data'!T:T)</f>
        <v>0</v>
      </c>
      <c r="S20" s="157">
        <f>SUMIF('caseload data'!$A:$A,$B$20,'caseload data'!V:V)</f>
        <v>0</v>
      </c>
      <c r="T20" s="76"/>
      <c r="U20" s="161" t="s">
        <v>34</v>
      </c>
      <c r="V20" s="78" t="e">
        <f t="shared" si="80"/>
        <v>#DIV/0!</v>
      </c>
      <c r="W20" s="78" t="e">
        <f t="shared" si="81"/>
        <v>#DIV/0!</v>
      </c>
      <c r="X20" s="78" t="e">
        <f t="shared" si="82"/>
        <v>#DIV/0!</v>
      </c>
      <c r="Y20" s="78" t="e">
        <f t="shared" si="83"/>
        <v>#DIV/0!</v>
      </c>
      <c r="Z20" s="78" t="e">
        <f t="shared" si="84"/>
        <v>#DIV/0!</v>
      </c>
      <c r="AA20" s="78" t="e">
        <f t="shared" si="85"/>
        <v>#DIV/0!</v>
      </c>
      <c r="AB20" s="78" t="e">
        <f t="shared" si="86"/>
        <v>#DIV/0!</v>
      </c>
      <c r="AC20" s="78" t="e">
        <f t="shared" si="87"/>
        <v>#DIV/0!</v>
      </c>
      <c r="AD20" s="78" t="e">
        <f t="shared" si="88"/>
        <v>#DIV/0!</v>
      </c>
      <c r="AE20" s="78" t="e">
        <f t="shared" si="89"/>
        <v>#DIV/0!</v>
      </c>
      <c r="AF20" s="78" t="e">
        <f t="shared" si="90"/>
        <v>#DIV/0!</v>
      </c>
      <c r="AG20" s="78" t="e">
        <f t="shared" si="91"/>
        <v>#DIV/0!</v>
      </c>
      <c r="AH20" s="78" t="e">
        <f t="shared" si="92"/>
        <v>#DIV/0!</v>
      </c>
      <c r="AI20" s="78" t="e">
        <f t="shared" si="93"/>
        <v>#DIV/0!</v>
      </c>
      <c r="AJ20" s="78" t="e">
        <f t="shared" si="94"/>
        <v>#DIV/0!</v>
      </c>
      <c r="AK20" s="78" t="e">
        <f t="shared" si="95"/>
        <v>#DIV/0!</v>
      </c>
    </row>
    <row r="21" spans="2:37" x14ac:dyDescent="0.15">
      <c r="B21" s="123" t="s">
        <v>1036</v>
      </c>
      <c r="C21" s="159">
        <f>SUM('caseload data'!E:E)</f>
        <v>0</v>
      </c>
      <c r="D21" s="159">
        <f>SUM('caseload data'!F:F)</f>
        <v>0</v>
      </c>
      <c r="E21" s="159">
        <f>SUM('caseload data'!G:G)</f>
        <v>0</v>
      </c>
      <c r="F21" s="159">
        <f>SUM('caseload data'!H:H)</f>
        <v>0</v>
      </c>
      <c r="G21" s="159">
        <f>SUM('caseload data'!I:I)</f>
        <v>0</v>
      </c>
      <c r="H21" s="159">
        <f>SUM('caseload data'!J:J)</f>
        <v>0</v>
      </c>
      <c r="I21" s="159">
        <f>SUM('caseload data'!K:K)</f>
        <v>0</v>
      </c>
      <c r="J21" s="159">
        <f>SUM('caseload data'!L:L)</f>
        <v>0</v>
      </c>
      <c r="K21" s="159">
        <f>SUM('caseload data'!M:M)</f>
        <v>0</v>
      </c>
      <c r="L21" s="159">
        <f>SUM('caseload data'!N:N)</f>
        <v>0</v>
      </c>
      <c r="M21" s="159">
        <f>SUM('caseload data'!O:O)</f>
        <v>0</v>
      </c>
      <c r="N21" s="159">
        <f>SUM('caseload data'!P:P)</f>
        <v>0</v>
      </c>
      <c r="O21" s="159">
        <f>SUM('caseload data'!Q:Q)</f>
        <v>0</v>
      </c>
      <c r="P21" s="159">
        <f>SUM('caseload data'!R:R)</f>
        <v>0</v>
      </c>
      <c r="Q21" s="159">
        <f>SUM('caseload data'!S:S)</f>
        <v>0</v>
      </c>
      <c r="R21" s="159">
        <f>SUM('caseload data'!T:T)</f>
        <v>0</v>
      </c>
      <c r="S21" s="159">
        <f>SUM('caseload data'!V:V)</f>
        <v>0</v>
      </c>
      <c r="T21" s="76"/>
      <c r="U21" s="123" t="s">
        <v>1036</v>
      </c>
      <c r="V21" s="128" t="e">
        <f>C21/$S$21</f>
        <v>#DIV/0!</v>
      </c>
      <c r="W21" s="128" t="e">
        <f t="shared" ref="W21:AA21" si="96">D21/$S$21</f>
        <v>#DIV/0!</v>
      </c>
      <c r="X21" s="128" t="e">
        <f t="shared" si="96"/>
        <v>#DIV/0!</v>
      </c>
      <c r="Y21" s="128" t="e">
        <f t="shared" si="96"/>
        <v>#DIV/0!</v>
      </c>
      <c r="Z21" s="128" t="e">
        <f t="shared" si="96"/>
        <v>#DIV/0!</v>
      </c>
      <c r="AA21" s="128" t="e">
        <f t="shared" si="96"/>
        <v>#DIV/0!</v>
      </c>
      <c r="AB21" s="128" t="e">
        <f>I21/$S$21</f>
        <v>#DIV/0!</v>
      </c>
      <c r="AC21" s="128" t="e">
        <f t="shared" ref="AC21:AK21" si="97">J21/$S$21</f>
        <v>#DIV/0!</v>
      </c>
      <c r="AD21" s="128" t="e">
        <f t="shared" si="97"/>
        <v>#DIV/0!</v>
      </c>
      <c r="AE21" s="128" t="e">
        <f t="shared" si="97"/>
        <v>#DIV/0!</v>
      </c>
      <c r="AF21" s="128" t="e">
        <f t="shared" si="97"/>
        <v>#DIV/0!</v>
      </c>
      <c r="AG21" s="128" t="e">
        <f t="shared" si="97"/>
        <v>#DIV/0!</v>
      </c>
      <c r="AH21" s="128" t="e">
        <f t="shared" si="97"/>
        <v>#DIV/0!</v>
      </c>
      <c r="AI21" s="128" t="e">
        <f t="shared" si="97"/>
        <v>#DIV/0!</v>
      </c>
      <c r="AJ21" s="128" t="e">
        <f t="shared" si="97"/>
        <v>#DIV/0!</v>
      </c>
      <c r="AK21" s="128" t="e">
        <f t="shared" si="97"/>
        <v>#DIV/0!</v>
      </c>
    </row>
    <row r="24" spans="2:37" ht="16" x14ac:dyDescent="0.2">
      <c r="C24" s="286" t="s">
        <v>1249</v>
      </c>
      <c r="D24" s="287"/>
      <c r="E24" s="287"/>
      <c r="F24" s="287"/>
      <c r="G24" s="287"/>
      <c r="H24" s="287"/>
      <c r="I24" s="287"/>
      <c r="J24" s="287"/>
      <c r="K24" s="287"/>
      <c r="L24" s="287"/>
      <c r="M24" s="287"/>
      <c r="N24" s="287"/>
      <c r="O24" s="287"/>
      <c r="P24" s="287"/>
      <c r="Q24" s="287"/>
      <c r="R24" s="287"/>
      <c r="S24" s="331"/>
      <c r="T24" s="158"/>
      <c r="U24" s="158"/>
      <c r="V24" s="332" t="s">
        <v>1250</v>
      </c>
      <c r="W24" s="332"/>
      <c r="X24" s="332"/>
      <c r="Y24" s="332"/>
      <c r="Z24" s="332"/>
      <c r="AA24" s="332"/>
      <c r="AB24" s="332"/>
    </row>
    <row r="25" spans="2:37" x14ac:dyDescent="0.15">
      <c r="B25" s="160"/>
      <c r="C25" s="42" t="s">
        <v>1019</v>
      </c>
      <c r="D25" s="42" t="s">
        <v>1020</v>
      </c>
      <c r="E25" s="42" t="s">
        <v>1021</v>
      </c>
      <c r="F25" s="42" t="s">
        <v>1022</v>
      </c>
      <c r="G25" s="42" t="s">
        <v>1023</v>
      </c>
      <c r="H25" s="42" t="s">
        <v>1024</v>
      </c>
      <c r="I25" s="42" t="s">
        <v>1025</v>
      </c>
      <c r="J25" s="42" t="s">
        <v>1026</v>
      </c>
      <c r="K25" s="42" t="s">
        <v>1027</v>
      </c>
      <c r="L25" s="42" t="s">
        <v>1028</v>
      </c>
      <c r="M25" s="42" t="s">
        <v>1029</v>
      </c>
      <c r="N25" s="42" t="s">
        <v>1030</v>
      </c>
      <c r="O25" s="42" t="s">
        <v>1031</v>
      </c>
      <c r="P25" s="42" t="s">
        <v>1032</v>
      </c>
      <c r="Q25" s="42" t="s">
        <v>1033</v>
      </c>
      <c r="R25" s="42" t="s">
        <v>1034</v>
      </c>
      <c r="S25" s="43" t="s">
        <v>1036</v>
      </c>
      <c r="U25" s="69"/>
      <c r="V25" s="42" t="s">
        <v>1019</v>
      </c>
      <c r="W25" s="42" t="s">
        <v>1020</v>
      </c>
      <c r="X25" s="42" t="s">
        <v>1021</v>
      </c>
      <c r="Y25" s="42" t="s">
        <v>1022</v>
      </c>
      <c r="Z25" s="42" t="s">
        <v>1023</v>
      </c>
      <c r="AA25" s="42" t="s">
        <v>1024</v>
      </c>
      <c r="AB25" s="42" t="s">
        <v>1025</v>
      </c>
      <c r="AC25" s="42" t="s">
        <v>1026</v>
      </c>
      <c r="AD25" s="42" t="s">
        <v>1027</v>
      </c>
      <c r="AE25" s="42" t="s">
        <v>1028</v>
      </c>
      <c r="AF25" s="42" t="s">
        <v>1029</v>
      </c>
      <c r="AG25" s="42" t="s">
        <v>1030</v>
      </c>
      <c r="AH25" s="42" t="s">
        <v>1031</v>
      </c>
      <c r="AI25" s="42" t="s">
        <v>1032</v>
      </c>
      <c r="AJ25" s="42" t="s">
        <v>1033</v>
      </c>
      <c r="AK25" s="42" t="s">
        <v>1034</v>
      </c>
    </row>
    <row r="26" spans="2:37" x14ac:dyDescent="0.15">
      <c r="B26" s="161" t="s">
        <v>1355</v>
      </c>
      <c r="C26" s="157">
        <f>SUMIFS('caseload data'!E:E,'caseload data'!$A:$A,$B26,'caseload data'!$B:$B,"custody")</f>
        <v>0</v>
      </c>
      <c r="D26" s="157">
        <f>SUMIFS('caseload data'!F:F,'caseload data'!$A:$A,$B26,'caseload data'!$B:$B,"custody")</f>
        <v>0</v>
      </c>
      <c r="E26" s="157">
        <f>SUMIFS('caseload data'!G:G,'caseload data'!$A:$A,$B26,'caseload data'!$B:$B,"custody")</f>
        <v>0</v>
      </c>
      <c r="F26" s="157">
        <f>SUMIFS('caseload data'!H:H,'caseload data'!$A:$A,$B26,'caseload data'!$B:$B,"custody")</f>
        <v>0</v>
      </c>
      <c r="G26" s="157">
        <f>SUMIFS('caseload data'!I:I,'caseload data'!$A:$A,$B26,'caseload data'!$B:$B,"custody")</f>
        <v>0</v>
      </c>
      <c r="H26" s="157">
        <f>SUMIFS('caseload data'!J:J,'caseload data'!$A:$A,$B26,'caseload data'!$B:$B,"custody")</f>
        <v>0</v>
      </c>
      <c r="I26" s="157">
        <f>SUMIFS('caseload data'!K:K,'caseload data'!$A:$A,$B26,'caseload data'!$B:$B,"custody")</f>
        <v>0</v>
      </c>
      <c r="J26" s="157">
        <f>SUMIFS('caseload data'!L:L,'caseload data'!$A:$A,$B26,'caseload data'!$B:$B,"custody")</f>
        <v>0</v>
      </c>
      <c r="K26" s="157">
        <f>SUMIFS('caseload data'!M:M,'caseload data'!$A:$A,$B26,'caseload data'!$B:$B,"custody")</f>
        <v>0</v>
      </c>
      <c r="L26" s="157">
        <f>SUMIFS('caseload data'!N:N,'caseload data'!$A:$A,$B26,'caseload data'!$B:$B,"custody")</f>
        <v>0</v>
      </c>
      <c r="M26" s="157">
        <f>SUMIFS('caseload data'!O:O,'caseload data'!$A:$A,$B26,'caseload data'!$B:$B,"custody")</f>
        <v>0</v>
      </c>
      <c r="N26" s="157">
        <f>SUMIFS('caseload data'!P:P,'caseload data'!$A:$A,$B26,'caseload data'!$B:$B,"custody")</f>
        <v>0</v>
      </c>
      <c r="O26" s="157">
        <f>SUMIFS('caseload data'!Q:Q,'caseload data'!$A:$A,$B26,'caseload data'!$B:$B,"custody")</f>
        <v>0</v>
      </c>
      <c r="P26" s="157">
        <f>SUMIFS('caseload data'!R:R,'caseload data'!$A:$A,$B26,'caseload data'!$B:$B,"custody")</f>
        <v>0</v>
      </c>
      <c r="Q26" s="157">
        <f>SUMIFS('caseload data'!S:S,'caseload data'!$A:$A,$B26,'caseload data'!$B:$B,"custody")</f>
        <v>0</v>
      </c>
      <c r="R26" s="157">
        <f>SUMIFS('caseload data'!T:T,'caseload data'!$A:$A,$B26,'caseload data'!$B:$B,"custody")</f>
        <v>0</v>
      </c>
      <c r="S26" s="157">
        <f>SUMIFS('caseload data'!V:V,'caseload data'!$A:$A,B26,'caseload data'!$B:$B,"custody")</f>
        <v>0</v>
      </c>
      <c r="T26" s="76"/>
      <c r="U26" s="161" t="s">
        <v>1355</v>
      </c>
      <c r="V26" s="78" t="e">
        <f>C26/$S$26</f>
        <v>#DIV/0!</v>
      </c>
      <c r="W26" s="78" t="e">
        <f t="shared" ref="W26:AB26" si="98">D26/$S$26</f>
        <v>#DIV/0!</v>
      </c>
      <c r="X26" s="78" t="e">
        <f t="shared" si="98"/>
        <v>#DIV/0!</v>
      </c>
      <c r="Y26" s="78" t="e">
        <f t="shared" si="98"/>
        <v>#DIV/0!</v>
      </c>
      <c r="Z26" s="78" t="e">
        <f t="shared" si="98"/>
        <v>#DIV/0!</v>
      </c>
      <c r="AA26" s="78" t="e">
        <f t="shared" si="98"/>
        <v>#DIV/0!</v>
      </c>
      <c r="AB26" s="78" t="e">
        <f t="shared" si="98"/>
        <v>#DIV/0!</v>
      </c>
      <c r="AC26" s="78" t="e">
        <f t="shared" ref="AC26" si="99">J26/$S$26</f>
        <v>#DIV/0!</v>
      </c>
      <c r="AD26" s="78" t="e">
        <f t="shared" ref="AD26" si="100">K26/$S$26</f>
        <v>#DIV/0!</v>
      </c>
      <c r="AE26" s="78" t="e">
        <f t="shared" ref="AE26" si="101">L26/$S$26</f>
        <v>#DIV/0!</v>
      </c>
      <c r="AF26" s="78" t="e">
        <f t="shared" ref="AF26" si="102">M26/$S$26</f>
        <v>#DIV/0!</v>
      </c>
      <c r="AG26" s="78" t="e">
        <f t="shared" ref="AG26:AH26" si="103">N26/$S$26</f>
        <v>#DIV/0!</v>
      </c>
      <c r="AH26" s="78" t="e">
        <f t="shared" si="103"/>
        <v>#DIV/0!</v>
      </c>
      <c r="AI26" s="78" t="e">
        <f t="shared" ref="AI26" si="104">P26/$S$26</f>
        <v>#DIV/0!</v>
      </c>
      <c r="AJ26" s="78" t="e">
        <f t="shared" ref="AJ26" si="105">Q26/$S$26</f>
        <v>#DIV/0!</v>
      </c>
      <c r="AK26" s="78" t="e">
        <f t="shared" ref="AK26" si="106">R26/$S$26</f>
        <v>#DIV/0!</v>
      </c>
    </row>
    <row r="27" spans="2:37" x14ac:dyDescent="0.15">
      <c r="B27" s="161" t="s">
        <v>20</v>
      </c>
      <c r="C27" s="157">
        <f>SUMIFS('caseload data'!E:E,'caseload data'!$A:$A,$B27,'caseload data'!$B:$B,"custody")</f>
        <v>0</v>
      </c>
      <c r="D27" s="157">
        <f>SUMIFS('caseload data'!F:F,'caseload data'!$A:$A,$B27,'caseload data'!$B:$B,"custody")</f>
        <v>0</v>
      </c>
      <c r="E27" s="157">
        <f>SUMIFS('caseload data'!G:G,'caseload data'!$A:$A,$B27,'caseload data'!$B:$B,"custody")</f>
        <v>0</v>
      </c>
      <c r="F27" s="157">
        <f>SUMIFS('caseload data'!H:H,'caseload data'!$A:$A,$B27,'caseload data'!$B:$B,"custody")</f>
        <v>0</v>
      </c>
      <c r="G27" s="157">
        <f>SUMIFS('caseload data'!I:I,'caseload data'!$A:$A,$B27,'caseload data'!$B:$B,"custody")</f>
        <v>0</v>
      </c>
      <c r="H27" s="157">
        <f>SUMIFS('caseload data'!J:J,'caseload data'!$A:$A,$B27,'caseload data'!$B:$B,"custody")</f>
        <v>0</v>
      </c>
      <c r="I27" s="157">
        <f>SUMIFS('caseload data'!K:K,'caseload data'!$A:$A,$B27,'caseload data'!$B:$B,"custody")</f>
        <v>0</v>
      </c>
      <c r="J27" s="157">
        <f>SUMIFS('caseload data'!L:L,'caseload data'!$A:$A,$B27,'caseload data'!$B:$B,"custody")</f>
        <v>0</v>
      </c>
      <c r="K27" s="157">
        <f>SUMIFS('caseload data'!M:M,'caseload data'!$A:$A,$B27,'caseload data'!$B:$B,"custody")</f>
        <v>0</v>
      </c>
      <c r="L27" s="157">
        <f>SUMIFS('caseload data'!N:N,'caseload data'!$A:$A,$B27,'caseload data'!$B:$B,"custody")</f>
        <v>0</v>
      </c>
      <c r="M27" s="157">
        <f>SUMIFS('caseload data'!O:O,'caseload data'!$A:$A,$B27,'caseload data'!$B:$B,"custody")</f>
        <v>0</v>
      </c>
      <c r="N27" s="157">
        <f>SUMIFS('caseload data'!P:P,'caseload data'!$A:$A,$B27,'caseload data'!$B:$B,"custody")</f>
        <v>0</v>
      </c>
      <c r="O27" s="157">
        <f>SUMIFS('caseload data'!Q:Q,'caseload data'!$A:$A,$B27,'caseload data'!$B:$B,"custody")</f>
        <v>0</v>
      </c>
      <c r="P27" s="157">
        <f>SUMIFS('caseload data'!R:R,'caseload data'!$A:$A,$B27,'caseload data'!$B:$B,"custody")</f>
        <v>0</v>
      </c>
      <c r="Q27" s="157">
        <f>SUMIFS('caseload data'!S:S,'caseload data'!$A:$A,$B27,'caseload data'!$B:$B,"custody")</f>
        <v>0</v>
      </c>
      <c r="R27" s="157">
        <f>SUMIFS('caseload data'!T:T,'caseload data'!$A:$A,$B27,'caseload data'!$B:$B,"custody")</f>
        <v>0</v>
      </c>
      <c r="S27" s="157">
        <f>SUMIFS('caseload data'!V:V,'caseload data'!$A:$A,B27,'caseload data'!$B:$B,"custody")</f>
        <v>0</v>
      </c>
      <c r="T27" s="76"/>
      <c r="U27" s="161" t="s">
        <v>20</v>
      </c>
      <c r="V27" s="78" t="e">
        <f>C27/$S$27</f>
        <v>#DIV/0!</v>
      </c>
      <c r="W27" s="78" t="e">
        <f t="shared" ref="W27:AB27" si="107">D27/$S$27</f>
        <v>#DIV/0!</v>
      </c>
      <c r="X27" s="78" t="e">
        <f t="shared" si="107"/>
        <v>#DIV/0!</v>
      </c>
      <c r="Y27" s="78" t="e">
        <f t="shared" si="107"/>
        <v>#DIV/0!</v>
      </c>
      <c r="Z27" s="78" t="e">
        <f t="shared" si="107"/>
        <v>#DIV/0!</v>
      </c>
      <c r="AA27" s="78" t="e">
        <f t="shared" si="107"/>
        <v>#DIV/0!</v>
      </c>
      <c r="AB27" s="78" t="e">
        <f t="shared" si="107"/>
        <v>#DIV/0!</v>
      </c>
      <c r="AC27" s="78" t="e">
        <f t="shared" ref="AC27" si="108">J27/$S$27</f>
        <v>#DIV/0!</v>
      </c>
      <c r="AD27" s="78" t="e">
        <f t="shared" ref="AD27" si="109">K27/$S$27</f>
        <v>#DIV/0!</v>
      </c>
      <c r="AE27" s="78" t="e">
        <f t="shared" ref="AE27" si="110">L27/$S$27</f>
        <v>#DIV/0!</v>
      </c>
      <c r="AF27" s="78" t="e">
        <f t="shared" ref="AF27" si="111">M27/$S$27</f>
        <v>#DIV/0!</v>
      </c>
      <c r="AG27" s="78" t="e">
        <f t="shared" ref="AG27:AH27" si="112">N27/$S$27</f>
        <v>#DIV/0!</v>
      </c>
      <c r="AH27" s="78" t="e">
        <f t="shared" si="112"/>
        <v>#DIV/0!</v>
      </c>
      <c r="AI27" s="78" t="e">
        <f t="shared" ref="AI27" si="113">P27/$S$27</f>
        <v>#DIV/0!</v>
      </c>
      <c r="AJ27" s="78" t="e">
        <f t="shared" ref="AJ27" si="114">Q27/$S$27</f>
        <v>#DIV/0!</v>
      </c>
      <c r="AK27" s="78" t="e">
        <f t="shared" ref="AK27" si="115">R27/$S$27</f>
        <v>#DIV/0!</v>
      </c>
    </row>
    <row r="28" spans="2:37" x14ac:dyDescent="0.15">
      <c r="B28" s="161" t="s">
        <v>21</v>
      </c>
      <c r="C28" s="157">
        <f>SUMIFS('caseload data'!E:E,'caseload data'!$A:$A,$B28,'caseload data'!$B:$B,"custody")</f>
        <v>0</v>
      </c>
      <c r="D28" s="157">
        <f>SUMIFS('caseload data'!F:F,'caseload data'!$A:$A,$B28,'caseload data'!$B:$B,"custody")</f>
        <v>0</v>
      </c>
      <c r="E28" s="157">
        <f>SUMIFS('caseload data'!G:G,'caseload data'!$A:$A,$B28,'caseload data'!$B:$B,"custody")</f>
        <v>0</v>
      </c>
      <c r="F28" s="157">
        <f>SUMIFS('caseload data'!H:H,'caseload data'!$A:$A,$B28,'caseload data'!$B:$B,"custody")</f>
        <v>0</v>
      </c>
      <c r="G28" s="157">
        <f>SUMIFS('caseload data'!I:I,'caseload data'!$A:$A,$B28,'caseload data'!$B:$B,"custody")</f>
        <v>0</v>
      </c>
      <c r="H28" s="157">
        <f>SUMIFS('caseload data'!J:J,'caseload data'!$A:$A,$B28,'caseload data'!$B:$B,"custody")</f>
        <v>0</v>
      </c>
      <c r="I28" s="157">
        <f>SUMIFS('caseload data'!K:K,'caseload data'!$A:$A,$B28,'caseload data'!$B:$B,"custody")</f>
        <v>0</v>
      </c>
      <c r="J28" s="157">
        <f>SUMIFS('caseload data'!L:L,'caseload data'!$A:$A,$B28,'caseload data'!$B:$B,"custody")</f>
        <v>0</v>
      </c>
      <c r="K28" s="157">
        <f>SUMIFS('caseload data'!M:M,'caseload data'!$A:$A,$B28,'caseload data'!$B:$B,"custody")</f>
        <v>0</v>
      </c>
      <c r="L28" s="157">
        <f>SUMIFS('caseload data'!N:N,'caseload data'!$A:$A,$B28,'caseload data'!$B:$B,"custody")</f>
        <v>0</v>
      </c>
      <c r="M28" s="157">
        <f>SUMIFS('caseload data'!O:O,'caseload data'!$A:$A,$B28,'caseload data'!$B:$B,"custody")</f>
        <v>0</v>
      </c>
      <c r="N28" s="157">
        <f>SUMIFS('caseload data'!P:P,'caseload data'!$A:$A,$B28,'caseload data'!$B:$B,"custody")</f>
        <v>0</v>
      </c>
      <c r="O28" s="157">
        <f>SUMIFS('caseload data'!Q:Q,'caseload data'!$A:$A,$B28,'caseload data'!$B:$B,"custody")</f>
        <v>0</v>
      </c>
      <c r="P28" s="157">
        <f>SUMIFS('caseload data'!R:R,'caseload data'!$A:$A,$B28,'caseload data'!$B:$B,"custody")</f>
        <v>0</v>
      </c>
      <c r="Q28" s="157">
        <f>SUMIFS('caseload data'!S:S,'caseload data'!$A:$A,$B28,'caseload data'!$B:$B,"custody")</f>
        <v>0</v>
      </c>
      <c r="R28" s="157">
        <f>SUMIFS('caseload data'!T:T,'caseload data'!$A:$A,$B28,'caseload data'!$B:$B,"custody")</f>
        <v>0</v>
      </c>
      <c r="S28" s="157">
        <f>SUMIFS('caseload data'!V:V,'caseload data'!$A:$A,B28,'caseload data'!$B:$B,"custody")</f>
        <v>0</v>
      </c>
      <c r="T28" s="76"/>
      <c r="U28" s="161" t="s">
        <v>21</v>
      </c>
      <c r="V28" s="78" t="e">
        <f>C28/$S$28</f>
        <v>#DIV/0!</v>
      </c>
      <c r="W28" s="78" t="e">
        <f t="shared" ref="W28:AB28" si="116">D28/$S$28</f>
        <v>#DIV/0!</v>
      </c>
      <c r="X28" s="78" t="e">
        <f t="shared" si="116"/>
        <v>#DIV/0!</v>
      </c>
      <c r="Y28" s="78" t="e">
        <f t="shared" si="116"/>
        <v>#DIV/0!</v>
      </c>
      <c r="Z28" s="78" t="e">
        <f t="shared" si="116"/>
        <v>#DIV/0!</v>
      </c>
      <c r="AA28" s="78" t="e">
        <f t="shared" si="116"/>
        <v>#DIV/0!</v>
      </c>
      <c r="AB28" s="78" t="e">
        <f t="shared" si="116"/>
        <v>#DIV/0!</v>
      </c>
      <c r="AC28" s="78" t="e">
        <f t="shared" ref="AC28" si="117">J28/$S$28</f>
        <v>#DIV/0!</v>
      </c>
      <c r="AD28" s="78" t="e">
        <f t="shared" ref="AD28" si="118">K28/$S$28</f>
        <v>#DIV/0!</v>
      </c>
      <c r="AE28" s="78" t="e">
        <f t="shared" ref="AE28" si="119">L28/$S$28</f>
        <v>#DIV/0!</v>
      </c>
      <c r="AF28" s="78" t="e">
        <f t="shared" ref="AF28" si="120">M28/$S$28</f>
        <v>#DIV/0!</v>
      </c>
      <c r="AG28" s="78" t="e">
        <f t="shared" ref="AG28:AH28" si="121">N28/$S$28</f>
        <v>#DIV/0!</v>
      </c>
      <c r="AH28" s="78" t="e">
        <f t="shared" si="121"/>
        <v>#DIV/0!</v>
      </c>
      <c r="AI28" s="78" t="e">
        <f t="shared" ref="AI28" si="122">P28/$S$28</f>
        <v>#DIV/0!</v>
      </c>
      <c r="AJ28" s="78" t="e">
        <f t="shared" ref="AJ28" si="123">Q28/$S$28</f>
        <v>#DIV/0!</v>
      </c>
      <c r="AK28" s="78" t="e">
        <f t="shared" ref="AK28" si="124">R28/$S$28</f>
        <v>#DIV/0!</v>
      </c>
    </row>
    <row r="29" spans="2:37" x14ac:dyDescent="0.15">
      <c r="B29" s="161" t="s">
        <v>1357</v>
      </c>
      <c r="C29" s="157">
        <f>SUMIFS('caseload data'!E:E,'caseload data'!$A:$A,$B29,'caseload data'!$B:$B,"custody")</f>
        <v>0</v>
      </c>
      <c r="D29" s="157">
        <f>SUMIFS('caseload data'!F:F,'caseload data'!$A:$A,$B29,'caseload data'!$B:$B,"custody")</f>
        <v>0</v>
      </c>
      <c r="E29" s="157">
        <f>SUMIFS('caseload data'!G:G,'caseload data'!$A:$A,$B29,'caseload data'!$B:$B,"custody")</f>
        <v>0</v>
      </c>
      <c r="F29" s="157">
        <f>SUMIFS('caseload data'!H:H,'caseload data'!$A:$A,$B29,'caseload data'!$B:$B,"custody")</f>
        <v>0</v>
      </c>
      <c r="G29" s="157">
        <f>SUMIFS('caseload data'!I:I,'caseload data'!$A:$A,$B29,'caseload data'!$B:$B,"custody")</f>
        <v>0</v>
      </c>
      <c r="H29" s="157">
        <f>SUMIFS('caseload data'!J:J,'caseload data'!$A:$A,$B29,'caseload data'!$B:$B,"custody")</f>
        <v>0</v>
      </c>
      <c r="I29" s="157">
        <f>SUMIFS('caseload data'!K:K,'caseload data'!$A:$A,$B29,'caseload data'!$B:$B,"custody")</f>
        <v>0</v>
      </c>
      <c r="J29" s="157">
        <f>SUMIFS('caseload data'!L:L,'caseload data'!$A:$A,$B29,'caseload data'!$B:$B,"custody")</f>
        <v>0</v>
      </c>
      <c r="K29" s="157">
        <f>SUMIFS('caseload data'!M:M,'caseload data'!$A:$A,$B29,'caseload data'!$B:$B,"custody")</f>
        <v>0</v>
      </c>
      <c r="L29" s="157">
        <f>SUMIFS('caseload data'!N:N,'caseload data'!$A:$A,$B29,'caseload data'!$B:$B,"custody")</f>
        <v>0</v>
      </c>
      <c r="M29" s="157">
        <f>SUMIFS('caseload data'!O:O,'caseload data'!$A:$A,$B29,'caseload data'!$B:$B,"custody")</f>
        <v>0</v>
      </c>
      <c r="N29" s="157">
        <f>SUMIFS('caseload data'!P:P,'caseload data'!$A:$A,$B29,'caseload data'!$B:$B,"custody")</f>
        <v>0</v>
      </c>
      <c r="O29" s="157">
        <f>SUMIFS('caseload data'!Q:Q,'caseload data'!$A:$A,$B29,'caseload data'!$B:$B,"custody")</f>
        <v>0</v>
      </c>
      <c r="P29" s="157">
        <f>SUMIFS('caseload data'!R:R,'caseload data'!$A:$A,$B29,'caseload data'!$B:$B,"custody")</f>
        <v>0</v>
      </c>
      <c r="Q29" s="157">
        <f>SUMIFS('caseload data'!S:S,'caseload data'!$A:$A,$B29,'caseload data'!$B:$B,"custody")</f>
        <v>0</v>
      </c>
      <c r="R29" s="157">
        <f>SUMIFS('caseload data'!T:T,'caseload data'!$A:$A,$B29,'caseload data'!$B:$B,"custody")</f>
        <v>0</v>
      </c>
      <c r="S29" s="157">
        <f>SUMIFS('caseload data'!V:V,'caseload data'!$A:$A,B29,'caseload data'!$B:$B,"custody")</f>
        <v>0</v>
      </c>
      <c r="T29" s="76"/>
      <c r="U29" s="161" t="s">
        <v>1357</v>
      </c>
      <c r="V29" s="78" t="e">
        <f>C29/$S$29</f>
        <v>#DIV/0!</v>
      </c>
      <c r="W29" s="78" t="e">
        <f t="shared" ref="W29:AB29" si="125">D29/$S$29</f>
        <v>#DIV/0!</v>
      </c>
      <c r="X29" s="78" t="e">
        <f t="shared" si="125"/>
        <v>#DIV/0!</v>
      </c>
      <c r="Y29" s="78" t="e">
        <f t="shared" si="125"/>
        <v>#DIV/0!</v>
      </c>
      <c r="Z29" s="78" t="e">
        <f t="shared" si="125"/>
        <v>#DIV/0!</v>
      </c>
      <c r="AA29" s="78" t="e">
        <f t="shared" si="125"/>
        <v>#DIV/0!</v>
      </c>
      <c r="AB29" s="78" t="e">
        <f t="shared" si="125"/>
        <v>#DIV/0!</v>
      </c>
      <c r="AC29" s="78" t="e">
        <f t="shared" ref="AC29" si="126">J29/$S$29</f>
        <v>#DIV/0!</v>
      </c>
      <c r="AD29" s="78" t="e">
        <f t="shared" ref="AD29" si="127">K29/$S$29</f>
        <v>#DIV/0!</v>
      </c>
      <c r="AE29" s="78" t="e">
        <f t="shared" ref="AE29" si="128">L29/$S$29</f>
        <v>#DIV/0!</v>
      </c>
      <c r="AF29" s="78" t="e">
        <f t="shared" ref="AF29" si="129">M29/$S$29</f>
        <v>#DIV/0!</v>
      </c>
      <c r="AG29" s="78" t="e">
        <f t="shared" ref="AG29:AH29" si="130">N29/$S$29</f>
        <v>#DIV/0!</v>
      </c>
      <c r="AH29" s="78" t="e">
        <f t="shared" si="130"/>
        <v>#DIV/0!</v>
      </c>
      <c r="AI29" s="78" t="e">
        <f t="shared" ref="AI29" si="131">P29/$S$29</f>
        <v>#DIV/0!</v>
      </c>
      <c r="AJ29" s="78" t="e">
        <f t="shared" ref="AJ29" si="132">Q29/$S$29</f>
        <v>#DIV/0!</v>
      </c>
      <c r="AK29" s="78" t="e">
        <f t="shared" ref="AK29" si="133">R29/$S$29</f>
        <v>#DIV/0!</v>
      </c>
    </row>
    <row r="30" spans="2:37" x14ac:dyDescent="0.15">
      <c r="B30" s="161" t="s">
        <v>22</v>
      </c>
      <c r="C30" s="157">
        <f>SUMIFS('caseload data'!E:E,'caseload data'!$A:$A,$B30,'caseload data'!$B:$B,"custody")</f>
        <v>0</v>
      </c>
      <c r="D30" s="157">
        <f>SUMIFS('caseload data'!F:F,'caseload data'!$A:$A,$B30,'caseload data'!$B:$B,"custody")</f>
        <v>0</v>
      </c>
      <c r="E30" s="157">
        <f>SUMIFS('caseload data'!G:G,'caseload data'!$A:$A,$B30,'caseload data'!$B:$B,"custody")</f>
        <v>0</v>
      </c>
      <c r="F30" s="157">
        <f>SUMIFS('caseload data'!H:H,'caseload data'!$A:$A,$B30,'caseload data'!$B:$B,"custody")</f>
        <v>0</v>
      </c>
      <c r="G30" s="157">
        <f>SUMIFS('caseload data'!I:I,'caseload data'!$A:$A,$B30,'caseload data'!$B:$B,"custody")</f>
        <v>0</v>
      </c>
      <c r="H30" s="157">
        <f>SUMIFS('caseload data'!J:J,'caseload data'!$A:$A,$B30,'caseload data'!$B:$B,"custody")</f>
        <v>0</v>
      </c>
      <c r="I30" s="157">
        <f>SUMIFS('caseload data'!K:K,'caseload data'!$A:$A,$B30,'caseload data'!$B:$B,"custody")</f>
        <v>0</v>
      </c>
      <c r="J30" s="157">
        <f>SUMIFS('caseload data'!L:L,'caseload data'!$A:$A,$B30,'caseload data'!$B:$B,"custody")</f>
        <v>0</v>
      </c>
      <c r="K30" s="157">
        <f>SUMIFS('caseload data'!M:M,'caseload data'!$A:$A,$B30,'caseload data'!$B:$B,"custody")</f>
        <v>0</v>
      </c>
      <c r="L30" s="157">
        <f>SUMIFS('caseload data'!N:N,'caseload data'!$A:$A,$B30,'caseload data'!$B:$B,"custody")</f>
        <v>0</v>
      </c>
      <c r="M30" s="157">
        <f>SUMIFS('caseload data'!O:O,'caseload data'!$A:$A,$B30,'caseload data'!$B:$B,"custody")</f>
        <v>0</v>
      </c>
      <c r="N30" s="157">
        <f>SUMIFS('caseload data'!P:P,'caseload data'!$A:$A,$B30,'caseload data'!$B:$B,"custody")</f>
        <v>0</v>
      </c>
      <c r="O30" s="157">
        <f>SUMIFS('caseload data'!Q:Q,'caseload data'!$A:$A,$B30,'caseload data'!$B:$B,"custody")</f>
        <v>0</v>
      </c>
      <c r="P30" s="157">
        <f>SUMIFS('caseload data'!R:R,'caseload data'!$A:$A,$B30,'caseload data'!$B:$B,"custody")</f>
        <v>0</v>
      </c>
      <c r="Q30" s="157">
        <f>SUMIFS('caseload data'!S:S,'caseload data'!$A:$A,$B30,'caseload data'!$B:$B,"custody")</f>
        <v>0</v>
      </c>
      <c r="R30" s="157">
        <f>SUMIFS('caseload data'!T:T,'caseload data'!$A:$A,$B30,'caseload data'!$B:$B,"custody")</f>
        <v>0</v>
      </c>
      <c r="S30" s="157">
        <f>SUMIFS('caseload data'!V:V,'caseload data'!$A:$A,B30,'caseload data'!$B:$B,"custody")</f>
        <v>0</v>
      </c>
      <c r="T30" s="76"/>
      <c r="U30" s="161" t="s">
        <v>22</v>
      </c>
      <c r="V30" s="78" t="e">
        <f>C30/$S$30</f>
        <v>#DIV/0!</v>
      </c>
      <c r="W30" s="78" t="e">
        <f t="shared" ref="W30:AB30" si="134">D30/$S$30</f>
        <v>#DIV/0!</v>
      </c>
      <c r="X30" s="78" t="e">
        <f t="shared" si="134"/>
        <v>#DIV/0!</v>
      </c>
      <c r="Y30" s="78" t="e">
        <f t="shared" si="134"/>
        <v>#DIV/0!</v>
      </c>
      <c r="Z30" s="78" t="e">
        <f t="shared" si="134"/>
        <v>#DIV/0!</v>
      </c>
      <c r="AA30" s="78" t="e">
        <f t="shared" si="134"/>
        <v>#DIV/0!</v>
      </c>
      <c r="AB30" s="78" t="e">
        <f t="shared" si="134"/>
        <v>#DIV/0!</v>
      </c>
      <c r="AC30" s="78" t="e">
        <f t="shared" ref="AC30" si="135">J30/$S$30</f>
        <v>#DIV/0!</v>
      </c>
      <c r="AD30" s="78" t="e">
        <f t="shared" ref="AD30" si="136">K30/$S$30</f>
        <v>#DIV/0!</v>
      </c>
      <c r="AE30" s="78" t="e">
        <f t="shared" ref="AE30" si="137">L30/$S$30</f>
        <v>#DIV/0!</v>
      </c>
      <c r="AF30" s="78" t="e">
        <f t="shared" ref="AF30" si="138">M30/$S$30</f>
        <v>#DIV/0!</v>
      </c>
      <c r="AG30" s="78" t="e">
        <f t="shared" ref="AG30:AH30" si="139">N30/$S$30</f>
        <v>#DIV/0!</v>
      </c>
      <c r="AH30" s="78" t="e">
        <f t="shared" si="139"/>
        <v>#DIV/0!</v>
      </c>
      <c r="AI30" s="78" t="e">
        <f t="shared" ref="AI30" si="140">P30/$S$30</f>
        <v>#DIV/0!</v>
      </c>
      <c r="AJ30" s="78" t="e">
        <f t="shared" ref="AJ30" si="141">Q30/$S$30</f>
        <v>#DIV/0!</v>
      </c>
      <c r="AK30" s="78" t="e">
        <f t="shared" ref="AK30" si="142">R30/$S$30</f>
        <v>#DIV/0!</v>
      </c>
    </row>
    <row r="31" spans="2:37" x14ac:dyDescent="0.15">
      <c r="B31" s="161" t="s">
        <v>23</v>
      </c>
      <c r="C31" s="157">
        <f>SUMIFS('caseload data'!E:E,'caseload data'!$A:$A,$B31,'caseload data'!$B:$B,"custody")</f>
        <v>0</v>
      </c>
      <c r="D31" s="157">
        <f>SUMIFS('caseload data'!F:F,'caseload data'!$A:$A,$B31,'caseload data'!$B:$B,"custody")</f>
        <v>0</v>
      </c>
      <c r="E31" s="157">
        <f>SUMIFS('caseload data'!G:G,'caseload data'!$A:$A,$B31,'caseload data'!$B:$B,"custody")</f>
        <v>0</v>
      </c>
      <c r="F31" s="157">
        <f>SUMIFS('caseload data'!H:H,'caseload data'!$A:$A,$B31,'caseload data'!$B:$B,"custody")</f>
        <v>0</v>
      </c>
      <c r="G31" s="157">
        <f>SUMIFS('caseload data'!I:I,'caseload data'!$A:$A,$B31,'caseload data'!$B:$B,"custody")</f>
        <v>0</v>
      </c>
      <c r="H31" s="157">
        <f>SUMIFS('caseload data'!J:J,'caseload data'!$A:$A,$B31,'caseload data'!$B:$B,"custody")</f>
        <v>0</v>
      </c>
      <c r="I31" s="157">
        <f>SUMIFS('caseload data'!K:K,'caseload data'!$A:$A,$B31,'caseload data'!$B:$B,"custody")</f>
        <v>0</v>
      </c>
      <c r="J31" s="157">
        <f>SUMIFS('caseload data'!L:L,'caseload data'!$A:$A,$B31,'caseload data'!$B:$B,"custody")</f>
        <v>0</v>
      </c>
      <c r="K31" s="157">
        <f>SUMIFS('caseload data'!M:M,'caseload data'!$A:$A,$B31,'caseload data'!$B:$B,"custody")</f>
        <v>0</v>
      </c>
      <c r="L31" s="157">
        <f>SUMIFS('caseload data'!N:N,'caseload data'!$A:$A,$B31,'caseload data'!$B:$B,"custody")</f>
        <v>0</v>
      </c>
      <c r="M31" s="157">
        <f>SUMIFS('caseload data'!O:O,'caseload data'!$A:$A,$B31,'caseload data'!$B:$B,"custody")</f>
        <v>0</v>
      </c>
      <c r="N31" s="157">
        <f>SUMIFS('caseload data'!P:P,'caseload data'!$A:$A,$B31,'caseload data'!$B:$B,"custody")</f>
        <v>0</v>
      </c>
      <c r="O31" s="157">
        <f>SUMIFS('caseload data'!Q:Q,'caseload data'!$A:$A,$B31,'caseload data'!$B:$B,"custody")</f>
        <v>0</v>
      </c>
      <c r="P31" s="157">
        <f>SUMIFS('caseload data'!R:R,'caseload data'!$A:$A,$B31,'caseload data'!$B:$B,"custody")</f>
        <v>0</v>
      </c>
      <c r="Q31" s="157">
        <f>SUMIFS('caseload data'!S:S,'caseload data'!$A:$A,$B31,'caseload data'!$B:$B,"custody")</f>
        <v>0</v>
      </c>
      <c r="R31" s="157">
        <f>SUMIFS('caseload data'!T:T,'caseload data'!$A:$A,$B31,'caseload data'!$B:$B,"custody")</f>
        <v>0</v>
      </c>
      <c r="S31" s="157">
        <f>SUMIFS('caseload data'!V:V,'caseload data'!$A:$A,B31,'caseload data'!$B:$B,"custody")</f>
        <v>0</v>
      </c>
      <c r="T31" s="76"/>
      <c r="U31" s="161" t="s">
        <v>23</v>
      </c>
      <c r="V31" s="78" t="e">
        <f>C31/$S$31</f>
        <v>#DIV/0!</v>
      </c>
      <c r="W31" s="78" t="e">
        <f t="shared" ref="W31:AB31" si="143">D31/$S$31</f>
        <v>#DIV/0!</v>
      </c>
      <c r="X31" s="78" t="e">
        <f t="shared" si="143"/>
        <v>#DIV/0!</v>
      </c>
      <c r="Y31" s="78" t="e">
        <f t="shared" si="143"/>
        <v>#DIV/0!</v>
      </c>
      <c r="Z31" s="78" t="e">
        <f t="shared" si="143"/>
        <v>#DIV/0!</v>
      </c>
      <c r="AA31" s="78" t="e">
        <f t="shared" si="143"/>
        <v>#DIV/0!</v>
      </c>
      <c r="AB31" s="78" t="e">
        <f t="shared" si="143"/>
        <v>#DIV/0!</v>
      </c>
      <c r="AC31" s="78" t="e">
        <f t="shared" ref="AC31" si="144">J31/$S$31</f>
        <v>#DIV/0!</v>
      </c>
      <c r="AD31" s="78" t="e">
        <f t="shared" ref="AD31" si="145">K31/$S$31</f>
        <v>#DIV/0!</v>
      </c>
      <c r="AE31" s="78" t="e">
        <f t="shared" ref="AE31" si="146">L31/$S$31</f>
        <v>#DIV/0!</v>
      </c>
      <c r="AF31" s="78" t="e">
        <f t="shared" ref="AF31" si="147">M31/$S$31</f>
        <v>#DIV/0!</v>
      </c>
      <c r="AG31" s="78" t="e">
        <f t="shared" ref="AG31:AH31" si="148">N31/$S$31</f>
        <v>#DIV/0!</v>
      </c>
      <c r="AH31" s="78" t="e">
        <f t="shared" si="148"/>
        <v>#DIV/0!</v>
      </c>
      <c r="AI31" s="78" t="e">
        <f t="shared" ref="AI31" si="149">P31/$S$31</f>
        <v>#DIV/0!</v>
      </c>
      <c r="AJ31" s="78" t="e">
        <f t="shared" ref="AJ31" si="150">Q31/$S$31</f>
        <v>#DIV/0!</v>
      </c>
      <c r="AK31" s="78" t="e">
        <f t="shared" ref="AK31" si="151">R31/$S$31</f>
        <v>#DIV/0!</v>
      </c>
    </row>
    <row r="32" spans="2:37" x14ac:dyDescent="0.15">
      <c r="B32" s="161" t="s">
        <v>24</v>
      </c>
      <c r="C32" s="157">
        <f>SUMIFS('caseload data'!E:E,'caseload data'!$A:$A,$B32,'caseload data'!$B:$B,"custody")</f>
        <v>0</v>
      </c>
      <c r="D32" s="157">
        <f>SUMIFS('caseload data'!F:F,'caseload data'!$A:$A,$B32,'caseload data'!$B:$B,"custody")</f>
        <v>0</v>
      </c>
      <c r="E32" s="157">
        <f>SUMIFS('caseload data'!G:G,'caseload data'!$A:$A,$B32,'caseload data'!$B:$B,"custody")</f>
        <v>0</v>
      </c>
      <c r="F32" s="157">
        <f>SUMIFS('caseload data'!H:H,'caseload data'!$A:$A,$B32,'caseload data'!$B:$B,"custody")</f>
        <v>0</v>
      </c>
      <c r="G32" s="157">
        <f>SUMIFS('caseload data'!I:I,'caseload data'!$A:$A,$B32,'caseload data'!$B:$B,"custody")</f>
        <v>0</v>
      </c>
      <c r="H32" s="157">
        <f>SUMIFS('caseload data'!J:J,'caseload data'!$A:$A,$B32,'caseload data'!$B:$B,"custody")</f>
        <v>0</v>
      </c>
      <c r="I32" s="157">
        <f>SUMIFS('caseload data'!K:K,'caseload data'!$A:$A,$B32,'caseload data'!$B:$B,"custody")</f>
        <v>0</v>
      </c>
      <c r="J32" s="157">
        <f>SUMIFS('caseload data'!L:L,'caseload data'!$A:$A,$B32,'caseload data'!$B:$B,"custody")</f>
        <v>0</v>
      </c>
      <c r="K32" s="157">
        <f>SUMIFS('caseload data'!M:M,'caseload data'!$A:$A,$B32,'caseload data'!$B:$B,"custody")</f>
        <v>0</v>
      </c>
      <c r="L32" s="157">
        <f>SUMIFS('caseload data'!N:N,'caseload data'!$A:$A,$B32,'caseload data'!$B:$B,"custody")</f>
        <v>0</v>
      </c>
      <c r="M32" s="157">
        <f>SUMIFS('caseload data'!O:O,'caseload data'!$A:$A,$B32,'caseload data'!$B:$B,"custody")</f>
        <v>0</v>
      </c>
      <c r="N32" s="157">
        <f>SUMIFS('caseload data'!P:P,'caseload data'!$A:$A,$B32,'caseload data'!$B:$B,"custody")</f>
        <v>0</v>
      </c>
      <c r="O32" s="157">
        <f>SUMIFS('caseload data'!Q:Q,'caseload data'!$A:$A,$B32,'caseload data'!$B:$B,"custody")</f>
        <v>0</v>
      </c>
      <c r="P32" s="157">
        <f>SUMIFS('caseload data'!R:R,'caseload data'!$A:$A,$B32,'caseload data'!$B:$B,"custody")</f>
        <v>0</v>
      </c>
      <c r="Q32" s="157">
        <f>SUMIFS('caseload data'!S:S,'caseload data'!$A:$A,$B32,'caseload data'!$B:$B,"custody")</f>
        <v>0</v>
      </c>
      <c r="R32" s="157">
        <f>SUMIFS('caseload data'!T:T,'caseload data'!$A:$A,$B32,'caseload data'!$B:$B,"custody")</f>
        <v>0</v>
      </c>
      <c r="S32" s="157">
        <f>SUMIFS('caseload data'!V:V,'caseload data'!$A:$A,B32,'caseload data'!$B:$B,"custody")</f>
        <v>0</v>
      </c>
      <c r="T32" s="76"/>
      <c r="U32" s="161" t="s">
        <v>24</v>
      </c>
      <c r="V32" s="78" t="e">
        <f>C32/$S$32</f>
        <v>#DIV/0!</v>
      </c>
      <c r="W32" s="78" t="e">
        <f t="shared" ref="W32:AA32" si="152">D32/$S$32</f>
        <v>#DIV/0!</v>
      </c>
      <c r="X32" s="78" t="e">
        <f t="shared" si="152"/>
        <v>#DIV/0!</v>
      </c>
      <c r="Y32" s="78" t="e">
        <f t="shared" si="152"/>
        <v>#DIV/0!</v>
      </c>
      <c r="Z32" s="78" t="e">
        <f t="shared" si="152"/>
        <v>#DIV/0!</v>
      </c>
      <c r="AA32" s="78" t="e">
        <f t="shared" si="152"/>
        <v>#DIV/0!</v>
      </c>
      <c r="AB32" s="78" t="e">
        <f t="shared" ref="AB32" si="153">I32/$S$32</f>
        <v>#DIV/0!</v>
      </c>
      <c r="AC32" s="78" t="e">
        <f t="shared" ref="AC32" si="154">J32/$S$32</f>
        <v>#DIV/0!</v>
      </c>
      <c r="AD32" s="78" t="e">
        <f t="shared" ref="AD32" si="155">K32/$S$32</f>
        <v>#DIV/0!</v>
      </c>
      <c r="AE32" s="78" t="e">
        <f t="shared" ref="AE32" si="156">L32/$S$32</f>
        <v>#DIV/0!</v>
      </c>
      <c r="AF32" s="78" t="e">
        <f t="shared" ref="AF32" si="157">M32/$S$32</f>
        <v>#DIV/0!</v>
      </c>
      <c r="AG32" s="78" t="e">
        <f t="shared" ref="AG32" si="158">N32/$S$32</f>
        <v>#DIV/0!</v>
      </c>
      <c r="AH32" s="78" t="e">
        <f t="shared" ref="AH32" si="159">O32/$S$32</f>
        <v>#DIV/0!</v>
      </c>
      <c r="AI32" s="78" t="e">
        <f t="shared" ref="AI32" si="160">P32/$S$32</f>
        <v>#DIV/0!</v>
      </c>
      <c r="AJ32" s="78" t="e">
        <f t="shared" ref="AJ32" si="161">Q32/$S$32</f>
        <v>#DIV/0!</v>
      </c>
      <c r="AK32" s="78" t="e">
        <f t="shared" ref="AK32" si="162">R32/$S$32</f>
        <v>#DIV/0!</v>
      </c>
    </row>
    <row r="33" spans="2:37" x14ac:dyDescent="0.15">
      <c r="B33" s="161" t="s">
        <v>25</v>
      </c>
      <c r="C33" s="157">
        <f>SUMIFS('caseload data'!E:E,'caseload data'!$A:$A,$B33,'caseload data'!$B:$B,"custody")</f>
        <v>0</v>
      </c>
      <c r="D33" s="157">
        <f>SUMIFS('caseload data'!F:F,'caseload data'!$A:$A,$B33,'caseload data'!$B:$B,"custody")</f>
        <v>0</v>
      </c>
      <c r="E33" s="157">
        <f>SUMIFS('caseload data'!G:G,'caseload data'!$A:$A,$B33,'caseload data'!$B:$B,"custody")</f>
        <v>0</v>
      </c>
      <c r="F33" s="157">
        <f>SUMIFS('caseload data'!H:H,'caseload data'!$A:$A,$B33,'caseload data'!$B:$B,"custody")</f>
        <v>0</v>
      </c>
      <c r="G33" s="157">
        <f>SUMIFS('caseload data'!I:I,'caseload data'!$A:$A,$B33,'caseload data'!$B:$B,"custody")</f>
        <v>0</v>
      </c>
      <c r="H33" s="157">
        <f>SUMIFS('caseload data'!J:J,'caseload data'!$A:$A,$B33,'caseload data'!$B:$B,"custody")</f>
        <v>0</v>
      </c>
      <c r="I33" s="157">
        <f>SUMIFS('caseload data'!K:K,'caseload data'!$A:$A,$B33,'caseload data'!$B:$B,"custody")</f>
        <v>0</v>
      </c>
      <c r="J33" s="157">
        <f>SUMIFS('caseload data'!L:L,'caseload data'!$A:$A,$B33,'caseload data'!$B:$B,"custody")</f>
        <v>0</v>
      </c>
      <c r="K33" s="157">
        <f>SUMIFS('caseload data'!M:M,'caseload data'!$A:$A,$B33,'caseload data'!$B:$B,"custody")</f>
        <v>0</v>
      </c>
      <c r="L33" s="157">
        <f>SUMIFS('caseload data'!N:N,'caseload data'!$A:$A,$B33,'caseload data'!$B:$B,"custody")</f>
        <v>0</v>
      </c>
      <c r="M33" s="157">
        <f>SUMIFS('caseload data'!O:O,'caseload data'!$A:$A,$B33,'caseload data'!$B:$B,"custody")</f>
        <v>0</v>
      </c>
      <c r="N33" s="157">
        <f>SUMIFS('caseload data'!P:P,'caseload data'!$A:$A,$B33,'caseload data'!$B:$B,"custody")</f>
        <v>0</v>
      </c>
      <c r="O33" s="157">
        <f>SUMIFS('caseload data'!Q:Q,'caseload data'!$A:$A,$B33,'caseload data'!$B:$B,"custody")</f>
        <v>0</v>
      </c>
      <c r="P33" s="157">
        <f>SUMIFS('caseload data'!R:R,'caseload data'!$A:$A,$B33,'caseload data'!$B:$B,"custody")</f>
        <v>0</v>
      </c>
      <c r="Q33" s="157">
        <f>SUMIFS('caseload data'!S:S,'caseload data'!$A:$A,$B33,'caseload data'!$B:$B,"custody")</f>
        <v>0</v>
      </c>
      <c r="R33" s="157">
        <f>SUMIFS('caseload data'!T:T,'caseload data'!$A:$A,$B33,'caseload data'!$B:$B,"custody")</f>
        <v>0</v>
      </c>
      <c r="S33" s="157">
        <f>SUMIFS('caseload data'!V:V,'caseload data'!$A:$A,B33,'caseload data'!$B:$B,"custody")</f>
        <v>0</v>
      </c>
      <c r="T33" s="76"/>
      <c r="U33" s="161" t="s">
        <v>25</v>
      </c>
      <c r="V33" s="78" t="e">
        <f t="shared" ref="V33:AK33" si="163">C33/$S$33</f>
        <v>#DIV/0!</v>
      </c>
      <c r="W33" s="78" t="e">
        <f t="shared" si="163"/>
        <v>#DIV/0!</v>
      </c>
      <c r="X33" s="78" t="e">
        <f t="shared" si="163"/>
        <v>#DIV/0!</v>
      </c>
      <c r="Y33" s="78" t="e">
        <f t="shared" si="163"/>
        <v>#DIV/0!</v>
      </c>
      <c r="Z33" s="78" t="e">
        <f t="shared" si="163"/>
        <v>#DIV/0!</v>
      </c>
      <c r="AA33" s="78" t="e">
        <f t="shared" si="163"/>
        <v>#DIV/0!</v>
      </c>
      <c r="AB33" s="78" t="e">
        <f t="shared" si="163"/>
        <v>#DIV/0!</v>
      </c>
      <c r="AC33" s="78" t="e">
        <f t="shared" si="163"/>
        <v>#DIV/0!</v>
      </c>
      <c r="AD33" s="78" t="e">
        <f t="shared" si="163"/>
        <v>#DIV/0!</v>
      </c>
      <c r="AE33" s="78" t="e">
        <f t="shared" si="163"/>
        <v>#DIV/0!</v>
      </c>
      <c r="AF33" s="78" t="e">
        <f t="shared" si="163"/>
        <v>#DIV/0!</v>
      </c>
      <c r="AG33" s="78" t="e">
        <f t="shared" si="163"/>
        <v>#DIV/0!</v>
      </c>
      <c r="AH33" s="78" t="e">
        <f t="shared" si="163"/>
        <v>#DIV/0!</v>
      </c>
      <c r="AI33" s="78" t="e">
        <f t="shared" si="163"/>
        <v>#DIV/0!</v>
      </c>
      <c r="AJ33" s="78" t="e">
        <f t="shared" si="163"/>
        <v>#DIV/0!</v>
      </c>
      <c r="AK33" s="78" t="e">
        <f t="shared" si="163"/>
        <v>#DIV/0!</v>
      </c>
    </row>
    <row r="34" spans="2:37" x14ac:dyDescent="0.15">
      <c r="B34" s="161" t="s">
        <v>26</v>
      </c>
      <c r="C34" s="157">
        <f>SUMIFS('caseload data'!E:E,'caseload data'!$A:$A,$B34,'caseload data'!$B:$B,"custody")</f>
        <v>0</v>
      </c>
      <c r="D34" s="157">
        <f>SUMIFS('caseload data'!F:F,'caseload data'!$A:$A,$B34,'caseload data'!$B:$B,"custody")</f>
        <v>0</v>
      </c>
      <c r="E34" s="157">
        <f>SUMIFS('caseload data'!G:G,'caseload data'!$A:$A,$B34,'caseload data'!$B:$B,"custody")</f>
        <v>0</v>
      </c>
      <c r="F34" s="157">
        <f>SUMIFS('caseload data'!H:H,'caseload data'!$A:$A,$B34,'caseload data'!$B:$B,"custody")</f>
        <v>0</v>
      </c>
      <c r="G34" s="157">
        <f>SUMIFS('caseload data'!I:I,'caseload data'!$A:$A,$B34,'caseload data'!$B:$B,"custody")</f>
        <v>0</v>
      </c>
      <c r="H34" s="157">
        <f>SUMIFS('caseload data'!J:J,'caseload data'!$A:$A,$B34,'caseload data'!$B:$B,"custody")</f>
        <v>0</v>
      </c>
      <c r="I34" s="157">
        <f>SUMIFS('caseload data'!K:K,'caseload data'!$A:$A,$B34,'caseload data'!$B:$B,"custody")</f>
        <v>0</v>
      </c>
      <c r="J34" s="157">
        <f>SUMIFS('caseload data'!L:L,'caseload data'!$A:$A,$B34,'caseload data'!$B:$B,"custody")</f>
        <v>0</v>
      </c>
      <c r="K34" s="157">
        <f>SUMIFS('caseload data'!M:M,'caseload data'!$A:$A,$B34,'caseload data'!$B:$B,"custody")</f>
        <v>0</v>
      </c>
      <c r="L34" s="157">
        <f>SUMIFS('caseload data'!N:N,'caseload data'!$A:$A,$B34,'caseload data'!$B:$B,"custody")</f>
        <v>0</v>
      </c>
      <c r="M34" s="157">
        <f>SUMIFS('caseload data'!O:O,'caseload data'!$A:$A,$B34,'caseload data'!$B:$B,"custody")</f>
        <v>0</v>
      </c>
      <c r="N34" s="157">
        <f>SUMIFS('caseload data'!P:P,'caseload data'!$A:$A,$B34,'caseload data'!$B:$B,"custody")</f>
        <v>0</v>
      </c>
      <c r="O34" s="157">
        <f>SUMIFS('caseload data'!Q:Q,'caseload data'!$A:$A,$B34,'caseload data'!$B:$B,"custody")</f>
        <v>0</v>
      </c>
      <c r="P34" s="157">
        <f>SUMIFS('caseload data'!R:R,'caseload data'!$A:$A,$B34,'caseload data'!$B:$B,"custody")</f>
        <v>0</v>
      </c>
      <c r="Q34" s="157">
        <f>SUMIFS('caseload data'!S:S,'caseload data'!$A:$A,$B34,'caseload data'!$B:$B,"custody")</f>
        <v>0</v>
      </c>
      <c r="R34" s="157">
        <f>SUMIFS('caseload data'!T:T,'caseload data'!$A:$A,$B34,'caseload data'!$B:$B,"custody")</f>
        <v>0</v>
      </c>
      <c r="S34" s="157">
        <f>SUMIFS('caseload data'!V:V,'caseload data'!$A:$A,B34,'caseload data'!$B:$B,"custody")</f>
        <v>0</v>
      </c>
      <c r="T34" s="76"/>
      <c r="U34" s="161" t="s">
        <v>26</v>
      </c>
      <c r="V34" s="78" t="e">
        <f>C34/$S$34</f>
        <v>#DIV/0!</v>
      </c>
      <c r="W34" s="78" t="e">
        <f t="shared" ref="W34:AB34" si="164">D34/$S$34</f>
        <v>#DIV/0!</v>
      </c>
      <c r="X34" s="78" t="e">
        <f t="shared" si="164"/>
        <v>#DIV/0!</v>
      </c>
      <c r="Y34" s="78" t="e">
        <f t="shared" si="164"/>
        <v>#DIV/0!</v>
      </c>
      <c r="Z34" s="78" t="e">
        <f t="shared" si="164"/>
        <v>#DIV/0!</v>
      </c>
      <c r="AA34" s="78" t="e">
        <f t="shared" si="164"/>
        <v>#DIV/0!</v>
      </c>
      <c r="AB34" s="78" t="e">
        <f t="shared" si="164"/>
        <v>#DIV/0!</v>
      </c>
      <c r="AC34" s="78" t="e">
        <f t="shared" ref="AC34" si="165">J34/$S$34</f>
        <v>#DIV/0!</v>
      </c>
      <c r="AD34" s="78" t="e">
        <f t="shared" ref="AD34" si="166">K34/$S$34</f>
        <v>#DIV/0!</v>
      </c>
      <c r="AE34" s="78" t="e">
        <f t="shared" ref="AE34" si="167">L34/$S$34</f>
        <v>#DIV/0!</v>
      </c>
      <c r="AF34" s="78" t="e">
        <f t="shared" ref="AF34" si="168">M34/$S$34</f>
        <v>#DIV/0!</v>
      </c>
      <c r="AG34" s="78" t="e">
        <f t="shared" ref="AG34:AH34" si="169">N34/$S$34</f>
        <v>#DIV/0!</v>
      </c>
      <c r="AH34" s="78" t="e">
        <f t="shared" si="169"/>
        <v>#DIV/0!</v>
      </c>
      <c r="AI34" s="78" t="e">
        <f t="shared" ref="AI34" si="170">P34/$S$34</f>
        <v>#DIV/0!</v>
      </c>
      <c r="AJ34" s="78" t="e">
        <f t="shared" ref="AJ34" si="171">Q34/$S$34</f>
        <v>#DIV/0!</v>
      </c>
      <c r="AK34" s="78" t="e">
        <f t="shared" ref="AK34" si="172">R34/$S$34</f>
        <v>#DIV/0!</v>
      </c>
    </row>
    <row r="35" spans="2:37" x14ac:dyDescent="0.15">
      <c r="B35" s="161" t="s">
        <v>27</v>
      </c>
      <c r="C35" s="157">
        <f>SUMIFS('caseload data'!E:E,'caseload data'!$A:$A,$B35,'caseload data'!$B:$B,"custody")</f>
        <v>0</v>
      </c>
      <c r="D35" s="157">
        <f>SUMIFS('caseload data'!F:F,'caseload data'!$A:$A,$B35,'caseload data'!$B:$B,"custody")</f>
        <v>0</v>
      </c>
      <c r="E35" s="157">
        <f>SUMIFS('caseload data'!G:G,'caseload data'!$A:$A,$B35,'caseload data'!$B:$B,"custody")</f>
        <v>0</v>
      </c>
      <c r="F35" s="157">
        <f>SUMIFS('caseload data'!H:H,'caseload data'!$A:$A,$B35,'caseload data'!$B:$B,"custody")</f>
        <v>0</v>
      </c>
      <c r="G35" s="157">
        <f>SUMIFS('caseload data'!I:I,'caseload data'!$A:$A,$B35,'caseload data'!$B:$B,"custody")</f>
        <v>0</v>
      </c>
      <c r="H35" s="157">
        <f>SUMIFS('caseload data'!J:J,'caseload data'!$A:$A,$B35,'caseload data'!$B:$B,"custody")</f>
        <v>0</v>
      </c>
      <c r="I35" s="157">
        <f>SUMIFS('caseload data'!K:K,'caseload data'!$A:$A,$B35,'caseload data'!$B:$B,"custody")</f>
        <v>0</v>
      </c>
      <c r="J35" s="157">
        <f>SUMIFS('caseload data'!L:L,'caseload data'!$A:$A,$B35,'caseload data'!$B:$B,"custody")</f>
        <v>0</v>
      </c>
      <c r="K35" s="157">
        <f>SUMIFS('caseload data'!M:M,'caseload data'!$A:$A,$B35,'caseload data'!$B:$B,"custody")</f>
        <v>0</v>
      </c>
      <c r="L35" s="157">
        <f>SUMIFS('caseload data'!N:N,'caseload data'!$A:$A,$B35,'caseload data'!$B:$B,"custody")</f>
        <v>0</v>
      </c>
      <c r="M35" s="157">
        <f>SUMIFS('caseload data'!O:O,'caseload data'!$A:$A,$B35,'caseload data'!$B:$B,"custody")</f>
        <v>0</v>
      </c>
      <c r="N35" s="157">
        <f>SUMIFS('caseload data'!P:P,'caseload data'!$A:$A,$B35,'caseload data'!$B:$B,"custody")</f>
        <v>0</v>
      </c>
      <c r="O35" s="157">
        <f>SUMIFS('caseload data'!Q:Q,'caseload data'!$A:$A,$B35,'caseload data'!$B:$B,"custody")</f>
        <v>0</v>
      </c>
      <c r="P35" s="157">
        <f>SUMIFS('caseload data'!R:R,'caseload data'!$A:$A,$B35,'caseload data'!$B:$B,"custody")</f>
        <v>0</v>
      </c>
      <c r="Q35" s="157">
        <f>SUMIFS('caseload data'!S:S,'caseload data'!$A:$A,$B35,'caseload data'!$B:$B,"custody")</f>
        <v>0</v>
      </c>
      <c r="R35" s="157">
        <f>SUMIFS('caseload data'!T:T,'caseload data'!$A:$A,$B35,'caseload data'!$B:$B,"custody")</f>
        <v>0</v>
      </c>
      <c r="S35" s="157">
        <f>SUMIFS('caseload data'!V:V,'caseload data'!$A:$A,B35,'caseload data'!$B:$B,"custody")</f>
        <v>0</v>
      </c>
      <c r="T35" s="76"/>
      <c r="U35" s="161" t="s">
        <v>27</v>
      </c>
      <c r="V35" s="78" t="e">
        <f>C35/$S$35</f>
        <v>#DIV/0!</v>
      </c>
      <c r="W35" s="78" t="e">
        <f t="shared" ref="W35:AB35" si="173">D35/$S$35</f>
        <v>#DIV/0!</v>
      </c>
      <c r="X35" s="78" t="e">
        <f t="shared" si="173"/>
        <v>#DIV/0!</v>
      </c>
      <c r="Y35" s="78" t="e">
        <f t="shared" si="173"/>
        <v>#DIV/0!</v>
      </c>
      <c r="Z35" s="78" t="e">
        <f t="shared" si="173"/>
        <v>#DIV/0!</v>
      </c>
      <c r="AA35" s="78" t="e">
        <f t="shared" si="173"/>
        <v>#DIV/0!</v>
      </c>
      <c r="AB35" s="78" t="e">
        <f t="shared" si="173"/>
        <v>#DIV/0!</v>
      </c>
      <c r="AC35" s="78" t="e">
        <f t="shared" ref="AC35" si="174">J35/$S$35</f>
        <v>#DIV/0!</v>
      </c>
      <c r="AD35" s="78" t="e">
        <f t="shared" ref="AD35" si="175">K35/$S$35</f>
        <v>#DIV/0!</v>
      </c>
      <c r="AE35" s="78" t="e">
        <f t="shared" ref="AE35" si="176">L35/$S$35</f>
        <v>#DIV/0!</v>
      </c>
      <c r="AF35" s="78" t="e">
        <f t="shared" ref="AF35" si="177">M35/$S$35</f>
        <v>#DIV/0!</v>
      </c>
      <c r="AG35" s="78" t="e">
        <f t="shared" ref="AG35:AH35" si="178">N35/$S$35</f>
        <v>#DIV/0!</v>
      </c>
      <c r="AH35" s="78" t="e">
        <f t="shared" si="178"/>
        <v>#DIV/0!</v>
      </c>
      <c r="AI35" s="78" t="e">
        <f t="shared" ref="AI35" si="179">P35/$S$35</f>
        <v>#DIV/0!</v>
      </c>
      <c r="AJ35" s="78" t="e">
        <f t="shared" ref="AJ35" si="180">Q35/$S$35</f>
        <v>#DIV/0!</v>
      </c>
      <c r="AK35" s="78" t="e">
        <f t="shared" ref="AK35" si="181">R35/$S$35</f>
        <v>#DIV/0!</v>
      </c>
    </row>
    <row r="36" spans="2:37" x14ac:dyDescent="0.15">
      <c r="B36" s="161" t="s">
        <v>28</v>
      </c>
      <c r="C36" s="157">
        <f>SUMIFS('caseload data'!E:E,'caseload data'!$A:$A,$B36,'caseload data'!$B:$B,"custody")</f>
        <v>0</v>
      </c>
      <c r="D36" s="157">
        <f>SUMIFS('caseload data'!F:F,'caseload data'!$A:$A,$B36,'caseload data'!$B:$B,"custody")</f>
        <v>0</v>
      </c>
      <c r="E36" s="157">
        <f>SUMIFS('caseload data'!G:G,'caseload data'!$A:$A,$B36,'caseload data'!$B:$B,"custody")</f>
        <v>0</v>
      </c>
      <c r="F36" s="157">
        <f>SUMIFS('caseload data'!H:H,'caseload data'!$A:$A,$B36,'caseload data'!$B:$B,"custody")</f>
        <v>0</v>
      </c>
      <c r="G36" s="157">
        <f>SUMIFS('caseload data'!I:I,'caseload data'!$A:$A,$B36,'caseload data'!$B:$B,"custody")</f>
        <v>0</v>
      </c>
      <c r="H36" s="157">
        <f>SUMIFS('caseload data'!J:J,'caseload data'!$A:$A,$B36,'caseload data'!$B:$B,"custody")</f>
        <v>0</v>
      </c>
      <c r="I36" s="157">
        <f>SUMIFS('caseload data'!K:K,'caseload data'!$A:$A,$B36,'caseload data'!$B:$B,"custody")</f>
        <v>0</v>
      </c>
      <c r="J36" s="157">
        <f>SUMIFS('caseload data'!L:L,'caseload data'!$A:$A,$B36,'caseload data'!$B:$B,"custody")</f>
        <v>0</v>
      </c>
      <c r="K36" s="157">
        <f>SUMIFS('caseload data'!M:M,'caseload data'!$A:$A,$B36,'caseload data'!$B:$B,"custody")</f>
        <v>0</v>
      </c>
      <c r="L36" s="157">
        <f>SUMIFS('caseload data'!N:N,'caseload data'!$A:$A,$B36,'caseload data'!$B:$B,"custody")</f>
        <v>0</v>
      </c>
      <c r="M36" s="157">
        <f>SUMIFS('caseload data'!O:O,'caseload data'!$A:$A,$B36,'caseload data'!$B:$B,"custody")</f>
        <v>0</v>
      </c>
      <c r="N36" s="157">
        <f>SUMIFS('caseload data'!P:P,'caseload data'!$A:$A,$B36,'caseload data'!$B:$B,"custody")</f>
        <v>0</v>
      </c>
      <c r="O36" s="157">
        <f>SUMIFS('caseload data'!Q:Q,'caseload data'!$A:$A,$B36,'caseload data'!$B:$B,"custody")</f>
        <v>0</v>
      </c>
      <c r="P36" s="157">
        <f>SUMIFS('caseload data'!R:R,'caseload data'!$A:$A,$B36,'caseload data'!$B:$B,"custody")</f>
        <v>0</v>
      </c>
      <c r="Q36" s="157">
        <f>SUMIFS('caseload data'!S:S,'caseload data'!$A:$A,$B36,'caseload data'!$B:$B,"custody")</f>
        <v>0</v>
      </c>
      <c r="R36" s="157">
        <f>SUMIFS('caseload data'!T:T,'caseload data'!$A:$A,$B36,'caseload data'!$B:$B,"custody")</f>
        <v>0</v>
      </c>
      <c r="S36" s="157">
        <f>SUMIFS('caseload data'!V:V,'caseload data'!$A:$A,B36,'caseload data'!$B:$B,"custody")</f>
        <v>0</v>
      </c>
      <c r="T36" s="76"/>
      <c r="U36" s="161" t="s">
        <v>28</v>
      </c>
      <c r="V36" s="78" t="e">
        <f>C36/$S$36</f>
        <v>#DIV/0!</v>
      </c>
      <c r="W36" s="78" t="e">
        <f t="shared" ref="W36:AB36" si="182">D36/$S$36</f>
        <v>#DIV/0!</v>
      </c>
      <c r="X36" s="78" t="e">
        <f t="shared" si="182"/>
        <v>#DIV/0!</v>
      </c>
      <c r="Y36" s="78" t="e">
        <f t="shared" si="182"/>
        <v>#DIV/0!</v>
      </c>
      <c r="Z36" s="78" t="e">
        <f t="shared" si="182"/>
        <v>#DIV/0!</v>
      </c>
      <c r="AA36" s="78" t="e">
        <f t="shared" si="182"/>
        <v>#DIV/0!</v>
      </c>
      <c r="AB36" s="78" t="e">
        <f t="shared" si="182"/>
        <v>#DIV/0!</v>
      </c>
      <c r="AC36" s="78" t="e">
        <f t="shared" ref="AC36" si="183">J36/$S$36</f>
        <v>#DIV/0!</v>
      </c>
      <c r="AD36" s="78" t="e">
        <f t="shared" ref="AD36" si="184">K36/$S$36</f>
        <v>#DIV/0!</v>
      </c>
      <c r="AE36" s="78" t="e">
        <f t="shared" ref="AE36" si="185">L36/$S$36</f>
        <v>#DIV/0!</v>
      </c>
      <c r="AF36" s="78" t="e">
        <f t="shared" ref="AF36" si="186">M36/$S$36</f>
        <v>#DIV/0!</v>
      </c>
      <c r="AG36" s="78" t="e">
        <f t="shared" ref="AG36:AH36" si="187">N36/$S$36</f>
        <v>#DIV/0!</v>
      </c>
      <c r="AH36" s="78" t="e">
        <f t="shared" si="187"/>
        <v>#DIV/0!</v>
      </c>
      <c r="AI36" s="78" t="e">
        <f t="shared" ref="AI36" si="188">P36/$S$36</f>
        <v>#DIV/0!</v>
      </c>
      <c r="AJ36" s="78" t="e">
        <f t="shared" ref="AJ36" si="189">Q36/$S$36</f>
        <v>#DIV/0!</v>
      </c>
      <c r="AK36" s="78" t="e">
        <f t="shared" ref="AK36" si="190">R36/$S$36</f>
        <v>#DIV/0!</v>
      </c>
    </row>
    <row r="37" spans="2:37" x14ac:dyDescent="0.15">
      <c r="B37" s="161" t="s">
        <v>1409</v>
      </c>
      <c r="C37" s="157">
        <f>SUMIFS('caseload data'!E:E,'caseload data'!$A:$A,$B37,'caseload data'!$B:$B,"custody")</f>
        <v>0</v>
      </c>
      <c r="D37" s="157">
        <f>SUMIFS('caseload data'!F:F,'caseload data'!$A:$A,$B37,'caseload data'!$B:$B,"custody")</f>
        <v>0</v>
      </c>
      <c r="E37" s="157">
        <f>SUMIFS('caseload data'!G:G,'caseload data'!$A:$A,$B37,'caseload data'!$B:$B,"custody")</f>
        <v>0</v>
      </c>
      <c r="F37" s="157">
        <f>SUMIFS('caseload data'!H:H,'caseload data'!$A:$A,$B37,'caseload data'!$B:$B,"custody")</f>
        <v>0</v>
      </c>
      <c r="G37" s="157">
        <f>SUMIFS('caseload data'!I:I,'caseload data'!$A:$A,$B37,'caseload data'!$B:$B,"custody")</f>
        <v>0</v>
      </c>
      <c r="H37" s="157">
        <f>SUMIFS('caseload data'!J:J,'caseload data'!$A:$A,$B37,'caseload data'!$B:$B,"custody")</f>
        <v>0</v>
      </c>
      <c r="I37" s="157">
        <f>SUMIFS('caseload data'!K:K,'caseload data'!$A:$A,$B37,'caseload data'!$B:$B,"custody")</f>
        <v>0</v>
      </c>
      <c r="J37" s="157">
        <f>SUMIFS('caseload data'!L:L,'caseload data'!$A:$A,$B37,'caseload data'!$B:$B,"custody")</f>
        <v>0</v>
      </c>
      <c r="K37" s="157">
        <f>SUMIFS('caseload data'!M:M,'caseload data'!$A:$A,$B37,'caseload data'!$B:$B,"custody")</f>
        <v>0</v>
      </c>
      <c r="L37" s="157">
        <f>SUMIFS('caseload data'!N:N,'caseload data'!$A:$A,$B37,'caseload data'!$B:$B,"custody")</f>
        <v>0</v>
      </c>
      <c r="M37" s="157">
        <f>SUMIFS('caseload data'!O:O,'caseload data'!$A:$A,$B37,'caseload data'!$B:$B,"custody")</f>
        <v>0</v>
      </c>
      <c r="N37" s="157">
        <f>SUMIFS('caseload data'!P:P,'caseload data'!$A:$A,$B37,'caseload data'!$B:$B,"custody")</f>
        <v>0</v>
      </c>
      <c r="O37" s="157">
        <f>SUMIFS('caseload data'!Q:Q,'caseload data'!$A:$A,$B37,'caseload data'!$B:$B,"custody")</f>
        <v>0</v>
      </c>
      <c r="P37" s="157">
        <f>SUMIFS('caseload data'!R:R,'caseload data'!$A:$A,$B37,'caseload data'!$B:$B,"custody")</f>
        <v>0</v>
      </c>
      <c r="Q37" s="157">
        <f>SUMIFS('caseload data'!S:S,'caseload data'!$A:$A,$B37,'caseload data'!$B:$B,"custody")</f>
        <v>0</v>
      </c>
      <c r="R37" s="157">
        <f>SUMIFS('caseload data'!T:T,'caseload data'!$A:$A,$B37,'caseload data'!$B:$B,"custody")</f>
        <v>0</v>
      </c>
      <c r="S37" s="157">
        <f>SUMIFS('caseload data'!V:V,'caseload data'!$A:$A,B37,'caseload data'!$B:$B,"custody")</f>
        <v>0</v>
      </c>
      <c r="T37" s="76"/>
      <c r="U37" s="161" t="s">
        <v>1409</v>
      </c>
      <c r="V37" s="78" t="e">
        <f>C37/$S$37</f>
        <v>#DIV/0!</v>
      </c>
      <c r="W37" s="78" t="e">
        <f t="shared" ref="W37:AB37" si="191">D37/$S$37</f>
        <v>#DIV/0!</v>
      </c>
      <c r="X37" s="78" t="e">
        <f t="shared" si="191"/>
        <v>#DIV/0!</v>
      </c>
      <c r="Y37" s="78" t="e">
        <f t="shared" si="191"/>
        <v>#DIV/0!</v>
      </c>
      <c r="Z37" s="78" t="e">
        <f t="shared" si="191"/>
        <v>#DIV/0!</v>
      </c>
      <c r="AA37" s="78" t="e">
        <f t="shared" si="191"/>
        <v>#DIV/0!</v>
      </c>
      <c r="AB37" s="78" t="e">
        <f t="shared" si="191"/>
        <v>#DIV/0!</v>
      </c>
      <c r="AC37" s="78" t="e">
        <f t="shared" ref="AC37" si="192">J37/$S$37</f>
        <v>#DIV/0!</v>
      </c>
      <c r="AD37" s="78" t="e">
        <f t="shared" ref="AD37" si="193">K37/$S$37</f>
        <v>#DIV/0!</v>
      </c>
      <c r="AE37" s="78" t="e">
        <f t="shared" ref="AE37" si="194">L37/$S$37</f>
        <v>#DIV/0!</v>
      </c>
      <c r="AF37" s="78" t="e">
        <f t="shared" ref="AF37" si="195">M37/$S$37</f>
        <v>#DIV/0!</v>
      </c>
      <c r="AG37" s="78" t="e">
        <f t="shared" ref="AG37:AH37" si="196">N37/$S$37</f>
        <v>#DIV/0!</v>
      </c>
      <c r="AH37" s="78" t="e">
        <f t="shared" si="196"/>
        <v>#DIV/0!</v>
      </c>
      <c r="AI37" s="78" t="e">
        <f t="shared" ref="AI37" si="197">P37/$S$37</f>
        <v>#DIV/0!</v>
      </c>
      <c r="AJ37" s="78" t="e">
        <f t="shared" ref="AJ37" si="198">Q37/$S$37</f>
        <v>#DIV/0!</v>
      </c>
      <c r="AK37" s="78" t="e">
        <f t="shared" ref="AK37" si="199">R37/$S$37</f>
        <v>#DIV/0!</v>
      </c>
    </row>
    <row r="38" spans="2:37" x14ac:dyDescent="0.15">
      <c r="B38" s="161" t="s">
        <v>29</v>
      </c>
      <c r="C38" s="157">
        <f>SUMIFS('caseload data'!E:E,'caseload data'!$A:$A,$B38,'caseload data'!$B:$B,"custody")</f>
        <v>0</v>
      </c>
      <c r="D38" s="157">
        <f>SUMIFS('caseload data'!F:F,'caseload data'!$A:$A,$B38,'caseload data'!$B:$B,"custody")</f>
        <v>0</v>
      </c>
      <c r="E38" s="157">
        <f>SUMIFS('caseload data'!G:G,'caseload data'!$A:$A,$B38,'caseload data'!$B:$B,"custody")</f>
        <v>0</v>
      </c>
      <c r="F38" s="157">
        <f>SUMIFS('caseload data'!H:H,'caseload data'!$A:$A,$B38,'caseload data'!$B:$B,"custody")</f>
        <v>0</v>
      </c>
      <c r="G38" s="157">
        <f>SUMIFS('caseload data'!I:I,'caseload data'!$A:$A,$B38,'caseload data'!$B:$B,"custody")</f>
        <v>0</v>
      </c>
      <c r="H38" s="157">
        <f>SUMIFS('caseload data'!J:J,'caseload data'!$A:$A,$B38,'caseload data'!$B:$B,"custody")</f>
        <v>0</v>
      </c>
      <c r="I38" s="157">
        <f>SUMIFS('caseload data'!K:K,'caseload data'!$A:$A,$B38,'caseload data'!$B:$B,"custody")</f>
        <v>0</v>
      </c>
      <c r="J38" s="157">
        <f>SUMIFS('caseload data'!L:L,'caseload data'!$A:$A,$B38,'caseload data'!$B:$B,"custody")</f>
        <v>0</v>
      </c>
      <c r="K38" s="157">
        <f>SUMIFS('caseload data'!M:M,'caseload data'!$A:$A,$B38,'caseload data'!$B:$B,"custody")</f>
        <v>0</v>
      </c>
      <c r="L38" s="157">
        <f>SUMIFS('caseload data'!N:N,'caseload data'!$A:$A,$B38,'caseload data'!$B:$B,"custody")</f>
        <v>0</v>
      </c>
      <c r="M38" s="157">
        <f>SUMIFS('caseload data'!O:O,'caseload data'!$A:$A,$B38,'caseload data'!$B:$B,"custody")</f>
        <v>0</v>
      </c>
      <c r="N38" s="157">
        <f>SUMIFS('caseload data'!P:P,'caseload data'!$A:$A,$B38,'caseload data'!$B:$B,"custody")</f>
        <v>0</v>
      </c>
      <c r="O38" s="157">
        <f>SUMIFS('caseload data'!Q:Q,'caseload data'!$A:$A,$B38,'caseload data'!$B:$B,"custody")</f>
        <v>0</v>
      </c>
      <c r="P38" s="157">
        <f>SUMIFS('caseload data'!R:R,'caseload data'!$A:$A,$B38,'caseload data'!$B:$B,"custody")</f>
        <v>0</v>
      </c>
      <c r="Q38" s="157">
        <f>SUMIFS('caseload data'!S:S,'caseload data'!$A:$A,$B38,'caseload data'!$B:$B,"custody")</f>
        <v>0</v>
      </c>
      <c r="R38" s="157">
        <f>SUMIFS('caseload data'!T:T,'caseload data'!$A:$A,$B38,'caseload data'!$B:$B,"custody")</f>
        <v>0</v>
      </c>
      <c r="S38" s="157">
        <f>SUMIFS('caseload data'!V:V,'caseload data'!$A:$A,B38,'caseload data'!$B:$B,"custody")</f>
        <v>0</v>
      </c>
      <c r="T38" s="76"/>
      <c r="U38" s="161" t="s">
        <v>29</v>
      </c>
      <c r="V38" s="78" t="e">
        <f t="shared" ref="V38:V40" si="200">C38/$S38</f>
        <v>#DIV/0!</v>
      </c>
      <c r="W38" s="78" t="e">
        <f t="shared" ref="W38:W40" si="201">D38/$S38</f>
        <v>#DIV/0!</v>
      </c>
      <c r="X38" s="78" t="e">
        <f t="shared" ref="X38:X40" si="202">E38/$S38</f>
        <v>#DIV/0!</v>
      </c>
      <c r="Y38" s="78" t="e">
        <f t="shared" ref="Y38:Y40" si="203">F38/$S38</f>
        <v>#DIV/0!</v>
      </c>
      <c r="Z38" s="78" t="e">
        <f t="shared" ref="Z38:Z40" si="204">G38/$S38</f>
        <v>#DIV/0!</v>
      </c>
      <c r="AA38" s="78" t="e">
        <f t="shared" ref="AA38:AA40" si="205">H38/$S38</f>
        <v>#DIV/0!</v>
      </c>
      <c r="AB38" s="78" t="e">
        <f t="shared" ref="AB38:AB40" si="206">I38/$S38</f>
        <v>#DIV/0!</v>
      </c>
      <c r="AC38" s="78" t="e">
        <f t="shared" ref="AC38:AC40" si="207">J38/$S38</f>
        <v>#DIV/0!</v>
      </c>
      <c r="AD38" s="78" t="e">
        <f t="shared" ref="AD38:AD40" si="208">K38/$S38</f>
        <v>#DIV/0!</v>
      </c>
      <c r="AE38" s="78" t="e">
        <f t="shared" ref="AE38:AE40" si="209">L38/$S38</f>
        <v>#DIV/0!</v>
      </c>
      <c r="AF38" s="78" t="e">
        <f t="shared" ref="AF38:AF40" si="210">M38/$S38</f>
        <v>#DIV/0!</v>
      </c>
      <c r="AG38" s="78" t="e">
        <f t="shared" ref="AG38:AG40" si="211">N38/$S38</f>
        <v>#DIV/0!</v>
      </c>
      <c r="AH38" s="78" t="e">
        <f t="shared" ref="AH38:AH40" si="212">O38/$S38</f>
        <v>#DIV/0!</v>
      </c>
      <c r="AI38" s="78" t="e">
        <f t="shared" ref="AI38:AI40" si="213">P38/$S38</f>
        <v>#DIV/0!</v>
      </c>
      <c r="AJ38" s="78" t="e">
        <f t="shared" ref="AJ38:AJ40" si="214">Q38/$S38</f>
        <v>#DIV/0!</v>
      </c>
      <c r="AK38" s="78" t="e">
        <f t="shared" ref="AK38:AK40" si="215">R38/$S38</f>
        <v>#DIV/0!</v>
      </c>
    </row>
    <row r="39" spans="2:37" x14ac:dyDescent="0.15">
      <c r="B39" s="161" t="s">
        <v>30</v>
      </c>
      <c r="C39" s="157">
        <f>SUMIFS('caseload data'!E:E,'caseload data'!$A:$A,$B39,'caseload data'!$B:$B,"custody")</f>
        <v>0</v>
      </c>
      <c r="D39" s="157">
        <f>SUMIFS('caseload data'!F:F,'caseload data'!$A:$A,$B39,'caseload data'!$B:$B,"custody")</f>
        <v>0</v>
      </c>
      <c r="E39" s="157">
        <f>SUMIFS('caseload data'!G:G,'caseload data'!$A:$A,$B39,'caseload data'!$B:$B,"custody")</f>
        <v>0</v>
      </c>
      <c r="F39" s="157">
        <f>SUMIFS('caseload data'!H:H,'caseload data'!$A:$A,$B39,'caseload data'!$B:$B,"custody")</f>
        <v>0</v>
      </c>
      <c r="G39" s="157">
        <f>SUMIFS('caseload data'!I:I,'caseload data'!$A:$A,$B39,'caseload data'!$B:$B,"custody")</f>
        <v>0</v>
      </c>
      <c r="H39" s="157">
        <f>SUMIFS('caseload data'!J:J,'caseload data'!$A:$A,$B39,'caseload data'!$B:$B,"custody")</f>
        <v>0</v>
      </c>
      <c r="I39" s="157">
        <f>SUMIFS('caseload data'!K:K,'caseload data'!$A:$A,$B39,'caseload data'!$B:$B,"custody")</f>
        <v>0</v>
      </c>
      <c r="J39" s="157">
        <f>SUMIFS('caseload data'!L:L,'caseload data'!$A:$A,$B39,'caseload data'!$B:$B,"custody")</f>
        <v>0</v>
      </c>
      <c r="K39" s="157">
        <f>SUMIFS('caseload data'!M:M,'caseload data'!$A:$A,$B39,'caseload data'!$B:$B,"custody")</f>
        <v>0</v>
      </c>
      <c r="L39" s="157">
        <f>SUMIFS('caseload data'!N:N,'caseload data'!$A:$A,$B39,'caseload data'!$B:$B,"custody")</f>
        <v>0</v>
      </c>
      <c r="M39" s="157">
        <f>SUMIFS('caseload data'!O:O,'caseload data'!$A:$A,$B39,'caseload data'!$B:$B,"custody")</f>
        <v>0</v>
      </c>
      <c r="N39" s="157">
        <f>SUMIFS('caseload data'!P:P,'caseload data'!$A:$A,$B39,'caseload data'!$B:$B,"custody")</f>
        <v>0</v>
      </c>
      <c r="O39" s="157">
        <f>SUMIFS('caseload data'!Q:Q,'caseload data'!$A:$A,$B39,'caseload data'!$B:$B,"custody")</f>
        <v>0</v>
      </c>
      <c r="P39" s="157">
        <f>SUMIFS('caseload data'!R:R,'caseload data'!$A:$A,$B39,'caseload data'!$B:$B,"custody")</f>
        <v>0</v>
      </c>
      <c r="Q39" s="157">
        <f>SUMIFS('caseload data'!S:S,'caseload data'!$A:$A,$B39,'caseload data'!$B:$B,"custody")</f>
        <v>0</v>
      </c>
      <c r="R39" s="157">
        <f>SUMIFS('caseload data'!T:T,'caseload data'!$A:$A,$B39,'caseload data'!$B:$B,"custody")</f>
        <v>0</v>
      </c>
      <c r="S39" s="157">
        <f>SUMIFS('caseload data'!V:V,'caseload data'!$A:$A,B39,'caseload data'!$B:$B,"custody")</f>
        <v>0</v>
      </c>
      <c r="T39" s="76"/>
      <c r="U39" s="161" t="s">
        <v>30</v>
      </c>
      <c r="V39" s="78" t="e">
        <f t="shared" si="200"/>
        <v>#DIV/0!</v>
      </c>
      <c r="W39" s="78" t="e">
        <f t="shared" si="201"/>
        <v>#DIV/0!</v>
      </c>
      <c r="X39" s="78" t="e">
        <f t="shared" si="202"/>
        <v>#DIV/0!</v>
      </c>
      <c r="Y39" s="78" t="e">
        <f t="shared" si="203"/>
        <v>#DIV/0!</v>
      </c>
      <c r="Z39" s="78" t="e">
        <f t="shared" si="204"/>
        <v>#DIV/0!</v>
      </c>
      <c r="AA39" s="78" t="e">
        <f t="shared" si="205"/>
        <v>#DIV/0!</v>
      </c>
      <c r="AB39" s="78" t="e">
        <f t="shared" si="206"/>
        <v>#DIV/0!</v>
      </c>
      <c r="AC39" s="78" t="e">
        <f t="shared" si="207"/>
        <v>#DIV/0!</v>
      </c>
      <c r="AD39" s="78" t="e">
        <f t="shared" si="208"/>
        <v>#DIV/0!</v>
      </c>
      <c r="AE39" s="78" t="e">
        <f t="shared" si="209"/>
        <v>#DIV/0!</v>
      </c>
      <c r="AF39" s="78" t="e">
        <f t="shared" si="210"/>
        <v>#DIV/0!</v>
      </c>
      <c r="AG39" s="78" t="e">
        <f t="shared" si="211"/>
        <v>#DIV/0!</v>
      </c>
      <c r="AH39" s="78" t="e">
        <f t="shared" si="212"/>
        <v>#DIV/0!</v>
      </c>
      <c r="AI39" s="78" t="e">
        <f t="shared" si="213"/>
        <v>#DIV/0!</v>
      </c>
      <c r="AJ39" s="78" t="e">
        <f t="shared" si="214"/>
        <v>#DIV/0!</v>
      </c>
      <c r="AK39" s="78" t="e">
        <f t="shared" si="215"/>
        <v>#DIV/0!</v>
      </c>
    </row>
    <row r="40" spans="2:37" x14ac:dyDescent="0.15">
      <c r="B40" s="161" t="s">
        <v>34</v>
      </c>
      <c r="C40" s="157">
        <f>SUMIFS('caseload data'!E:E,'caseload data'!$A:$A,$B40,'caseload data'!$B:$B,"custody")</f>
        <v>0</v>
      </c>
      <c r="D40" s="157">
        <f>SUMIFS('caseload data'!F:F,'caseload data'!$A:$A,$B40,'caseload data'!$B:$B,"custody")</f>
        <v>0</v>
      </c>
      <c r="E40" s="157">
        <f>SUMIFS('caseload data'!G:G,'caseload data'!$A:$A,$B40,'caseload data'!$B:$B,"custody")</f>
        <v>0</v>
      </c>
      <c r="F40" s="157">
        <f>SUMIFS('caseload data'!H:H,'caseload data'!$A:$A,$B40,'caseload data'!$B:$B,"custody")</f>
        <v>0</v>
      </c>
      <c r="G40" s="157">
        <f>SUMIFS('caseload data'!I:I,'caseload data'!$A:$A,$B40,'caseload data'!$B:$B,"custody")</f>
        <v>0</v>
      </c>
      <c r="H40" s="157">
        <f>SUMIFS('caseload data'!J:J,'caseload data'!$A:$A,$B40,'caseload data'!$B:$B,"custody")</f>
        <v>0</v>
      </c>
      <c r="I40" s="157">
        <f>SUMIFS('caseload data'!K:K,'caseload data'!$A:$A,$B40,'caseload data'!$B:$B,"custody")</f>
        <v>0</v>
      </c>
      <c r="J40" s="157">
        <f>SUMIFS('caseload data'!L:L,'caseload data'!$A:$A,$B40,'caseload data'!$B:$B,"custody")</f>
        <v>0</v>
      </c>
      <c r="K40" s="157">
        <f>SUMIFS('caseload data'!M:M,'caseload data'!$A:$A,$B40,'caseload data'!$B:$B,"custody")</f>
        <v>0</v>
      </c>
      <c r="L40" s="157">
        <f>SUMIFS('caseload data'!N:N,'caseload data'!$A:$A,$B40,'caseload data'!$B:$B,"custody")</f>
        <v>0</v>
      </c>
      <c r="M40" s="157">
        <f>SUMIFS('caseload data'!O:O,'caseload data'!$A:$A,$B40,'caseload data'!$B:$B,"custody")</f>
        <v>0</v>
      </c>
      <c r="N40" s="157">
        <f>SUMIFS('caseload data'!P:P,'caseload data'!$A:$A,$B40,'caseload data'!$B:$B,"custody")</f>
        <v>0</v>
      </c>
      <c r="O40" s="157">
        <f>SUMIFS('caseload data'!Q:Q,'caseload data'!$A:$A,$B40,'caseload data'!$B:$B,"custody")</f>
        <v>0</v>
      </c>
      <c r="P40" s="157">
        <f>SUMIFS('caseload data'!R:R,'caseload data'!$A:$A,$B40,'caseload data'!$B:$B,"custody")</f>
        <v>0</v>
      </c>
      <c r="Q40" s="157">
        <f>SUMIFS('caseload data'!S:S,'caseload data'!$A:$A,$B40,'caseload data'!$B:$B,"custody")</f>
        <v>0</v>
      </c>
      <c r="R40" s="157">
        <f>SUMIFS('caseload data'!T:T,'caseload data'!$A:$A,$B40,'caseload data'!$B:$B,"custody")</f>
        <v>0</v>
      </c>
      <c r="S40" s="157">
        <f>SUMIFS('caseload data'!V:V,'caseload data'!$A:$A,B40,'caseload data'!$B:$B,"custody")</f>
        <v>0</v>
      </c>
      <c r="T40" s="76"/>
      <c r="U40" s="161" t="s">
        <v>34</v>
      </c>
      <c r="V40" s="78" t="e">
        <f t="shared" si="200"/>
        <v>#DIV/0!</v>
      </c>
      <c r="W40" s="78" t="e">
        <f t="shared" si="201"/>
        <v>#DIV/0!</v>
      </c>
      <c r="X40" s="78" t="e">
        <f t="shared" si="202"/>
        <v>#DIV/0!</v>
      </c>
      <c r="Y40" s="78" t="e">
        <f t="shared" si="203"/>
        <v>#DIV/0!</v>
      </c>
      <c r="Z40" s="78" t="e">
        <f t="shared" si="204"/>
        <v>#DIV/0!</v>
      </c>
      <c r="AA40" s="78" t="e">
        <f t="shared" si="205"/>
        <v>#DIV/0!</v>
      </c>
      <c r="AB40" s="78" t="e">
        <f t="shared" si="206"/>
        <v>#DIV/0!</v>
      </c>
      <c r="AC40" s="78" t="e">
        <f t="shared" si="207"/>
        <v>#DIV/0!</v>
      </c>
      <c r="AD40" s="78" t="e">
        <f t="shared" si="208"/>
        <v>#DIV/0!</v>
      </c>
      <c r="AE40" s="78" t="e">
        <f t="shared" si="209"/>
        <v>#DIV/0!</v>
      </c>
      <c r="AF40" s="78" t="e">
        <f t="shared" si="210"/>
        <v>#DIV/0!</v>
      </c>
      <c r="AG40" s="78" t="e">
        <f t="shared" si="211"/>
        <v>#DIV/0!</v>
      </c>
      <c r="AH40" s="78" t="e">
        <f t="shared" si="212"/>
        <v>#DIV/0!</v>
      </c>
      <c r="AI40" s="78" t="e">
        <f t="shared" si="213"/>
        <v>#DIV/0!</v>
      </c>
      <c r="AJ40" s="78" t="e">
        <f t="shared" si="214"/>
        <v>#DIV/0!</v>
      </c>
      <c r="AK40" s="78" t="e">
        <f t="shared" si="215"/>
        <v>#DIV/0!</v>
      </c>
    </row>
    <row r="41" spans="2:37" x14ac:dyDescent="0.15">
      <c r="B41" s="123" t="s">
        <v>1036</v>
      </c>
      <c r="C41" s="159">
        <f>SUMIF('caseload data'!$B:$B,"custody",'caseload data'!E:E)</f>
        <v>0</v>
      </c>
      <c r="D41" s="159">
        <f>SUMIF('caseload data'!$B:$B,"custody",'caseload data'!F:F)</f>
        <v>0</v>
      </c>
      <c r="E41" s="159">
        <f>SUMIF('caseload data'!$B:$B,"custody",'caseload data'!G:G)</f>
        <v>0</v>
      </c>
      <c r="F41" s="159">
        <f>SUMIF('caseload data'!$B:$B,"custody",'caseload data'!H:H)</f>
        <v>0</v>
      </c>
      <c r="G41" s="159">
        <f>SUMIF('caseload data'!$B:$B,"custody",'caseload data'!I:I)</f>
        <v>0</v>
      </c>
      <c r="H41" s="159">
        <f>SUMIF('caseload data'!$B:$B,"custody",'caseload data'!J:J)</f>
        <v>0</v>
      </c>
      <c r="I41" s="159">
        <f>SUMIF('caseload data'!$B:$B,"custody",'caseload data'!K:K)</f>
        <v>0</v>
      </c>
      <c r="J41" s="159">
        <f>SUMIF('caseload data'!$B:$B,"custody",'caseload data'!L:L)</f>
        <v>0</v>
      </c>
      <c r="K41" s="159">
        <f>SUMIF('caseload data'!$B:$B,"custody",'caseload data'!M:M)</f>
        <v>0</v>
      </c>
      <c r="L41" s="159">
        <f>SUMIF('caseload data'!$B:$B,"custody",'caseload data'!N:N)</f>
        <v>0</v>
      </c>
      <c r="M41" s="159">
        <f>SUMIF('caseload data'!$B:$B,"custody",'caseload data'!O:O)</f>
        <v>0</v>
      </c>
      <c r="N41" s="159">
        <f>SUMIF('caseload data'!$B:$B,"custody",'caseload data'!P:P)</f>
        <v>0</v>
      </c>
      <c r="O41" s="159">
        <f>SUMIF('caseload data'!$B:$B,"custody",'caseload data'!Q:Q)</f>
        <v>0</v>
      </c>
      <c r="P41" s="159">
        <f>SUMIF('caseload data'!$B:$B,"custody",'caseload data'!R:R)</f>
        <v>0</v>
      </c>
      <c r="Q41" s="159">
        <f>SUMIF('caseload data'!$B:$B,"custody",'caseload data'!S:S)</f>
        <v>0</v>
      </c>
      <c r="R41" s="159">
        <f>SUMIF('caseload data'!$B:$B,"custody",'caseload data'!T:T)</f>
        <v>0</v>
      </c>
      <c r="S41" s="159">
        <f>SUMIF('caseload data'!$B:$B,"custody",'caseload data'!V:V)</f>
        <v>0</v>
      </c>
      <c r="T41" s="76"/>
      <c r="U41" s="123" t="s">
        <v>1036</v>
      </c>
      <c r="V41" s="128" t="e">
        <f>C41/$S$41</f>
        <v>#DIV/0!</v>
      </c>
      <c r="W41" s="128" t="e">
        <f t="shared" ref="W41:AB41" si="216">D41/$S$41</f>
        <v>#DIV/0!</v>
      </c>
      <c r="X41" s="128" t="e">
        <f t="shared" si="216"/>
        <v>#DIV/0!</v>
      </c>
      <c r="Y41" s="128" t="e">
        <f t="shared" si="216"/>
        <v>#DIV/0!</v>
      </c>
      <c r="Z41" s="128" t="e">
        <f t="shared" si="216"/>
        <v>#DIV/0!</v>
      </c>
      <c r="AA41" s="128" t="e">
        <f t="shared" si="216"/>
        <v>#DIV/0!</v>
      </c>
      <c r="AB41" s="128" t="e">
        <f t="shared" si="216"/>
        <v>#DIV/0!</v>
      </c>
      <c r="AC41" s="128" t="e">
        <f t="shared" ref="AC41" si="217">J41/$S$41</f>
        <v>#DIV/0!</v>
      </c>
      <c r="AD41" s="128" t="e">
        <f t="shared" ref="AD41" si="218">K41/$S$41</f>
        <v>#DIV/0!</v>
      </c>
      <c r="AE41" s="128" t="e">
        <f t="shared" ref="AE41" si="219">L41/$S$41</f>
        <v>#DIV/0!</v>
      </c>
      <c r="AF41" s="128" t="e">
        <f t="shared" ref="AF41" si="220">M41/$S$41</f>
        <v>#DIV/0!</v>
      </c>
      <c r="AG41" s="128" t="e">
        <f t="shared" ref="AG41:AH41" si="221">N41/$S$41</f>
        <v>#DIV/0!</v>
      </c>
      <c r="AH41" s="128" t="e">
        <f t="shared" si="221"/>
        <v>#DIV/0!</v>
      </c>
      <c r="AI41" s="128" t="e">
        <f t="shared" ref="AI41" si="222">P41/$S$41</f>
        <v>#DIV/0!</v>
      </c>
      <c r="AJ41" s="128" t="e">
        <f t="shared" ref="AJ41" si="223">Q41/$S$41</f>
        <v>#DIV/0!</v>
      </c>
      <c r="AK41" s="128" t="e">
        <f t="shared" ref="AK41" si="224">R41/$S$41</f>
        <v>#DIV/0!</v>
      </c>
    </row>
    <row r="44" spans="2:37" ht="16" x14ac:dyDescent="0.2">
      <c r="C44" s="286" t="s">
        <v>1251</v>
      </c>
      <c r="D44" s="287"/>
      <c r="E44" s="287"/>
      <c r="F44" s="287"/>
      <c r="G44" s="287"/>
      <c r="H44" s="287"/>
      <c r="I44" s="287"/>
      <c r="J44" s="287"/>
      <c r="K44" s="287"/>
      <c r="L44" s="287"/>
      <c r="M44" s="287"/>
      <c r="N44" s="287"/>
      <c r="O44" s="287"/>
      <c r="P44" s="287"/>
      <c r="Q44" s="287"/>
      <c r="R44" s="287"/>
      <c r="S44" s="331"/>
      <c r="T44" s="158"/>
      <c r="U44" s="158"/>
      <c r="V44" s="332" t="s">
        <v>1252</v>
      </c>
      <c r="W44" s="332"/>
      <c r="X44" s="332"/>
      <c r="Y44" s="332"/>
      <c r="Z44" s="332"/>
      <c r="AA44" s="332"/>
      <c r="AB44" s="332"/>
    </row>
    <row r="45" spans="2:37" x14ac:dyDescent="0.15">
      <c r="B45" s="156"/>
      <c r="C45" s="42" t="s">
        <v>1019</v>
      </c>
      <c r="D45" s="42" t="s">
        <v>1020</v>
      </c>
      <c r="E45" s="42" t="s">
        <v>1021</v>
      </c>
      <c r="F45" s="42" t="s">
        <v>1022</v>
      </c>
      <c r="G45" s="42" t="s">
        <v>1023</v>
      </c>
      <c r="H45" s="42" t="s">
        <v>1024</v>
      </c>
      <c r="I45" s="42" t="s">
        <v>1025</v>
      </c>
      <c r="J45" s="42" t="s">
        <v>1026</v>
      </c>
      <c r="K45" s="42" t="s">
        <v>1027</v>
      </c>
      <c r="L45" s="42" t="s">
        <v>1028</v>
      </c>
      <c r="M45" s="42" t="s">
        <v>1029</v>
      </c>
      <c r="N45" s="42" t="s">
        <v>1030</v>
      </c>
      <c r="O45" s="42" t="s">
        <v>1031</v>
      </c>
      <c r="P45" s="42" t="s">
        <v>1032</v>
      </c>
      <c r="Q45" s="42" t="s">
        <v>1033</v>
      </c>
      <c r="R45" s="42" t="s">
        <v>1034</v>
      </c>
      <c r="S45" s="43" t="s">
        <v>1036</v>
      </c>
      <c r="T45" s="76"/>
      <c r="U45" s="156"/>
      <c r="V45" s="42" t="s">
        <v>1019</v>
      </c>
      <c r="W45" s="42" t="s">
        <v>1020</v>
      </c>
      <c r="X45" s="42" t="s">
        <v>1021</v>
      </c>
      <c r="Y45" s="42" t="s">
        <v>1022</v>
      </c>
      <c r="Z45" s="42" t="s">
        <v>1023</v>
      </c>
      <c r="AA45" s="42" t="s">
        <v>1024</v>
      </c>
      <c r="AB45" s="42" t="s">
        <v>1025</v>
      </c>
      <c r="AC45" s="42" t="s">
        <v>1026</v>
      </c>
      <c r="AD45" s="42" t="s">
        <v>1027</v>
      </c>
      <c r="AE45" s="42" t="s">
        <v>1028</v>
      </c>
      <c r="AF45" s="42" t="s">
        <v>1029</v>
      </c>
      <c r="AG45" s="42" t="s">
        <v>1030</v>
      </c>
      <c r="AH45" s="42" t="s">
        <v>1031</v>
      </c>
      <c r="AI45" s="42" t="s">
        <v>1032</v>
      </c>
      <c r="AJ45" s="42" t="s">
        <v>1033</v>
      </c>
      <c r="AK45" s="42" t="s">
        <v>1034</v>
      </c>
    </row>
    <row r="46" spans="2:37" x14ac:dyDescent="0.15">
      <c r="B46" s="161" t="s">
        <v>1355</v>
      </c>
      <c r="C46" s="157">
        <f>SUMIFS('caseload data'!E:E,'caseload data'!$A:$A,$B46,'caseload data'!$B:$B,"licence")</f>
        <v>0</v>
      </c>
      <c r="D46" s="157">
        <f>SUMIFS('caseload data'!F:F,'caseload data'!$A:$A,$B46,'caseload data'!$B:$B,"licence")</f>
        <v>0</v>
      </c>
      <c r="E46" s="157">
        <f>SUMIFS('caseload data'!G:G,'caseload data'!$A:$A,$B46,'caseload data'!$B:$B,"licence")</f>
        <v>0</v>
      </c>
      <c r="F46" s="157">
        <f>SUMIFS('caseload data'!H:H,'caseload data'!$A:$A,$B46,'caseload data'!$B:$B,"licence")</f>
        <v>0</v>
      </c>
      <c r="G46" s="157">
        <f>SUMIFS('caseload data'!I:I,'caseload data'!$A:$A,$B46,'caseload data'!$B:$B,"licence")</f>
        <v>0</v>
      </c>
      <c r="H46" s="157">
        <f>SUMIFS('caseload data'!J:J,'caseload data'!$A:$A,$B46,'caseload data'!$B:$B,"licence")</f>
        <v>0</v>
      </c>
      <c r="I46" s="157">
        <f>SUMIFS('caseload data'!K:K,'caseload data'!$A:$A,$B46,'caseload data'!$B:$B,"licence")</f>
        <v>0</v>
      </c>
      <c r="J46" s="157">
        <f>SUMIFS('caseload data'!L:L,'caseload data'!$A:$A,$B46,'caseload data'!$B:$B,"licence")</f>
        <v>0</v>
      </c>
      <c r="K46" s="157">
        <f>SUMIFS('caseload data'!M:M,'caseload data'!$A:$A,$B46,'caseload data'!$B:$B,"licence")</f>
        <v>0</v>
      </c>
      <c r="L46" s="157">
        <f>SUMIFS('caseload data'!N:N,'caseload data'!$A:$A,$B46,'caseload data'!$B:$B,"licence")</f>
        <v>0</v>
      </c>
      <c r="M46" s="157">
        <f>SUMIFS('caseload data'!O:O,'caseload data'!$A:$A,$B46,'caseload data'!$B:$B,"licence")</f>
        <v>0</v>
      </c>
      <c r="N46" s="157">
        <f>SUMIFS('caseload data'!P:P,'caseload data'!$A:$A,$B46,'caseload data'!$B:$B,"licence")</f>
        <v>0</v>
      </c>
      <c r="O46" s="157">
        <f>SUMIFS('caseload data'!Q:Q,'caseload data'!$A:$A,$B46,'caseload data'!$B:$B,"licence")</f>
        <v>0</v>
      </c>
      <c r="P46" s="157">
        <f>SUMIFS('caseload data'!R:R,'caseload data'!$A:$A,$B46,'caseload data'!$B:$B,"licence")</f>
        <v>0</v>
      </c>
      <c r="Q46" s="157">
        <f>SUMIFS('caseload data'!S:S,'caseload data'!$A:$A,$B46,'caseload data'!$B:$B,"licence")</f>
        <v>0</v>
      </c>
      <c r="R46" s="157">
        <f>SUMIFS('caseload data'!T:T,'caseload data'!$A:$A,$B46,'caseload data'!$B:$B,"licence")</f>
        <v>0</v>
      </c>
      <c r="S46" s="157">
        <f>SUMIFS('caseload data'!V:V,'caseload data'!$A:$A,B46,'caseload data'!$B:$B,"licence")</f>
        <v>0</v>
      </c>
      <c r="T46" s="76"/>
      <c r="U46" s="161" t="s">
        <v>1355</v>
      </c>
      <c r="V46" s="78" t="e">
        <f>C46/$S$46</f>
        <v>#DIV/0!</v>
      </c>
      <c r="W46" s="78" t="e">
        <f t="shared" ref="W46:AK46" si="225">D46/$S$46</f>
        <v>#DIV/0!</v>
      </c>
      <c r="X46" s="78" t="e">
        <f t="shared" si="225"/>
        <v>#DIV/0!</v>
      </c>
      <c r="Y46" s="78" t="e">
        <f t="shared" si="225"/>
        <v>#DIV/0!</v>
      </c>
      <c r="Z46" s="78" t="e">
        <f t="shared" si="225"/>
        <v>#DIV/0!</v>
      </c>
      <c r="AA46" s="78" t="e">
        <f t="shared" si="225"/>
        <v>#DIV/0!</v>
      </c>
      <c r="AB46" s="78" t="e">
        <f t="shared" si="225"/>
        <v>#DIV/0!</v>
      </c>
      <c r="AC46" s="78" t="e">
        <f t="shared" si="225"/>
        <v>#DIV/0!</v>
      </c>
      <c r="AD46" s="78" t="e">
        <f t="shared" si="225"/>
        <v>#DIV/0!</v>
      </c>
      <c r="AE46" s="78" t="e">
        <f t="shared" si="225"/>
        <v>#DIV/0!</v>
      </c>
      <c r="AF46" s="78" t="e">
        <f t="shared" si="225"/>
        <v>#DIV/0!</v>
      </c>
      <c r="AG46" s="78" t="e">
        <f t="shared" si="225"/>
        <v>#DIV/0!</v>
      </c>
      <c r="AH46" s="78" t="e">
        <f t="shared" si="225"/>
        <v>#DIV/0!</v>
      </c>
      <c r="AI46" s="78" t="e">
        <f t="shared" si="225"/>
        <v>#DIV/0!</v>
      </c>
      <c r="AJ46" s="78" t="e">
        <f t="shared" si="225"/>
        <v>#DIV/0!</v>
      </c>
      <c r="AK46" s="78" t="e">
        <f t="shared" si="225"/>
        <v>#DIV/0!</v>
      </c>
    </row>
    <row r="47" spans="2:37" x14ac:dyDescent="0.15">
      <c r="B47" s="161" t="s">
        <v>20</v>
      </c>
      <c r="C47" s="157">
        <f>SUMIFS('caseload data'!E:E,'caseload data'!$A:$A,$B47,'caseload data'!$B:$B,"licence")</f>
        <v>0</v>
      </c>
      <c r="D47" s="157">
        <f>SUMIFS('caseload data'!F:F,'caseload data'!$A:$A,$B47,'caseload data'!$B:$B,"licence")</f>
        <v>0</v>
      </c>
      <c r="E47" s="157">
        <f>SUMIFS('caseload data'!G:G,'caseload data'!$A:$A,$B47,'caseload data'!$B:$B,"licence")</f>
        <v>0</v>
      </c>
      <c r="F47" s="157">
        <f>SUMIFS('caseload data'!H:H,'caseload data'!$A:$A,$B47,'caseload data'!$B:$B,"licence")</f>
        <v>0</v>
      </c>
      <c r="G47" s="157">
        <f>SUMIFS('caseload data'!I:I,'caseload data'!$A:$A,$B47,'caseload data'!$B:$B,"licence")</f>
        <v>0</v>
      </c>
      <c r="H47" s="157">
        <f>SUMIFS('caseload data'!J:J,'caseload data'!$A:$A,$B47,'caseload data'!$B:$B,"licence")</f>
        <v>0</v>
      </c>
      <c r="I47" s="157">
        <f>SUMIFS('caseload data'!K:K,'caseload data'!$A:$A,$B47,'caseload data'!$B:$B,"licence")</f>
        <v>0</v>
      </c>
      <c r="J47" s="157">
        <f>SUMIFS('caseload data'!L:L,'caseload data'!$A:$A,$B47,'caseload data'!$B:$B,"licence")</f>
        <v>0</v>
      </c>
      <c r="K47" s="157">
        <f>SUMIFS('caseload data'!M:M,'caseload data'!$A:$A,$B47,'caseload data'!$B:$B,"licence")</f>
        <v>0</v>
      </c>
      <c r="L47" s="157">
        <f>SUMIFS('caseload data'!N:N,'caseload data'!$A:$A,$B47,'caseload data'!$B:$B,"licence")</f>
        <v>0</v>
      </c>
      <c r="M47" s="157">
        <f>SUMIFS('caseload data'!O:O,'caseload data'!$A:$A,$B47,'caseload data'!$B:$B,"licence")</f>
        <v>0</v>
      </c>
      <c r="N47" s="157">
        <f>SUMIFS('caseload data'!P:P,'caseload data'!$A:$A,$B47,'caseload data'!$B:$B,"licence")</f>
        <v>0</v>
      </c>
      <c r="O47" s="157">
        <f>SUMIFS('caseload data'!Q:Q,'caseload data'!$A:$A,$B47,'caseload data'!$B:$B,"licence")</f>
        <v>0</v>
      </c>
      <c r="P47" s="157">
        <f>SUMIFS('caseload data'!R:R,'caseload data'!$A:$A,$B47,'caseload data'!$B:$B,"licence")</f>
        <v>0</v>
      </c>
      <c r="Q47" s="157">
        <f>SUMIFS('caseload data'!S:S,'caseload data'!$A:$A,$B47,'caseload data'!$B:$B,"licence")</f>
        <v>0</v>
      </c>
      <c r="R47" s="157">
        <f>SUMIFS('caseload data'!T:T,'caseload data'!$A:$A,$B47,'caseload data'!$B:$B,"licence")</f>
        <v>0</v>
      </c>
      <c r="S47" s="157">
        <f>SUMIFS('caseload data'!V:V,'caseload data'!$A:$A,B47,'caseload data'!$B:$B,"licence")</f>
        <v>0</v>
      </c>
      <c r="T47" s="76"/>
      <c r="U47" s="161" t="s">
        <v>20</v>
      </c>
      <c r="V47" s="78" t="e">
        <f>C47/$S$47</f>
        <v>#DIV/0!</v>
      </c>
      <c r="W47" s="78" t="e">
        <f t="shared" ref="W47:AK47" si="226">D47/$S$47</f>
        <v>#DIV/0!</v>
      </c>
      <c r="X47" s="78" t="e">
        <f t="shared" si="226"/>
        <v>#DIV/0!</v>
      </c>
      <c r="Y47" s="78" t="e">
        <f t="shared" si="226"/>
        <v>#DIV/0!</v>
      </c>
      <c r="Z47" s="78" t="e">
        <f t="shared" si="226"/>
        <v>#DIV/0!</v>
      </c>
      <c r="AA47" s="78" t="e">
        <f t="shared" si="226"/>
        <v>#DIV/0!</v>
      </c>
      <c r="AB47" s="78" t="e">
        <f t="shared" si="226"/>
        <v>#DIV/0!</v>
      </c>
      <c r="AC47" s="78" t="e">
        <f t="shared" si="226"/>
        <v>#DIV/0!</v>
      </c>
      <c r="AD47" s="78" t="e">
        <f t="shared" si="226"/>
        <v>#DIV/0!</v>
      </c>
      <c r="AE47" s="78" t="e">
        <f t="shared" si="226"/>
        <v>#DIV/0!</v>
      </c>
      <c r="AF47" s="78" t="e">
        <f t="shared" si="226"/>
        <v>#DIV/0!</v>
      </c>
      <c r="AG47" s="78" t="e">
        <f t="shared" si="226"/>
        <v>#DIV/0!</v>
      </c>
      <c r="AH47" s="78" t="e">
        <f t="shared" si="226"/>
        <v>#DIV/0!</v>
      </c>
      <c r="AI47" s="78" t="e">
        <f t="shared" si="226"/>
        <v>#DIV/0!</v>
      </c>
      <c r="AJ47" s="78" t="e">
        <f t="shared" si="226"/>
        <v>#DIV/0!</v>
      </c>
      <c r="AK47" s="78" t="e">
        <f t="shared" si="226"/>
        <v>#DIV/0!</v>
      </c>
    </row>
    <row r="48" spans="2:37" x14ac:dyDescent="0.15">
      <c r="B48" s="161" t="s">
        <v>21</v>
      </c>
      <c r="C48" s="157">
        <f>SUMIFS('caseload data'!E:E,'caseload data'!$A:$A,$B48,'caseload data'!$B:$B,"licence")</f>
        <v>0</v>
      </c>
      <c r="D48" s="157">
        <f>SUMIFS('caseload data'!F:F,'caseload data'!$A:$A,$B48,'caseload data'!$B:$B,"licence")</f>
        <v>0</v>
      </c>
      <c r="E48" s="157">
        <f>SUMIFS('caseload data'!G:G,'caseload data'!$A:$A,$B48,'caseload data'!$B:$B,"licence")</f>
        <v>0</v>
      </c>
      <c r="F48" s="157">
        <f>SUMIFS('caseload data'!H:H,'caseload data'!$A:$A,$B48,'caseload data'!$B:$B,"licence")</f>
        <v>0</v>
      </c>
      <c r="G48" s="157">
        <f>SUMIFS('caseload data'!I:I,'caseload data'!$A:$A,$B48,'caseload data'!$B:$B,"licence")</f>
        <v>0</v>
      </c>
      <c r="H48" s="157">
        <f>SUMIFS('caseload data'!J:J,'caseload data'!$A:$A,$B48,'caseload data'!$B:$B,"licence")</f>
        <v>0</v>
      </c>
      <c r="I48" s="157">
        <f>SUMIFS('caseload data'!K:K,'caseload data'!$A:$A,$B48,'caseload data'!$B:$B,"licence")</f>
        <v>0</v>
      </c>
      <c r="J48" s="157">
        <f>SUMIFS('caseload data'!L:L,'caseload data'!$A:$A,$B48,'caseload data'!$B:$B,"licence")</f>
        <v>0</v>
      </c>
      <c r="K48" s="157">
        <f>SUMIFS('caseload data'!M:M,'caseload data'!$A:$A,$B48,'caseload data'!$B:$B,"licence")</f>
        <v>0</v>
      </c>
      <c r="L48" s="157">
        <f>SUMIFS('caseload data'!N:N,'caseload data'!$A:$A,$B48,'caseload data'!$B:$B,"licence")</f>
        <v>0</v>
      </c>
      <c r="M48" s="157">
        <f>SUMIFS('caseload data'!O:O,'caseload data'!$A:$A,$B48,'caseload data'!$B:$B,"licence")</f>
        <v>0</v>
      </c>
      <c r="N48" s="157">
        <f>SUMIFS('caseload data'!P:P,'caseload data'!$A:$A,$B48,'caseload data'!$B:$B,"licence")</f>
        <v>0</v>
      </c>
      <c r="O48" s="157">
        <f>SUMIFS('caseload data'!Q:Q,'caseload data'!$A:$A,$B48,'caseload data'!$B:$B,"licence")</f>
        <v>0</v>
      </c>
      <c r="P48" s="157">
        <f>SUMIFS('caseload data'!R:R,'caseload data'!$A:$A,$B48,'caseload data'!$B:$B,"licence")</f>
        <v>0</v>
      </c>
      <c r="Q48" s="157">
        <f>SUMIFS('caseload data'!S:S,'caseload data'!$A:$A,$B48,'caseload data'!$B:$B,"licence")</f>
        <v>0</v>
      </c>
      <c r="R48" s="157">
        <f>SUMIFS('caseload data'!T:T,'caseload data'!$A:$A,$B48,'caseload data'!$B:$B,"licence")</f>
        <v>0</v>
      </c>
      <c r="S48" s="157">
        <f>SUMIFS('caseload data'!V:V,'caseload data'!$A:$A,B48,'caseload data'!$B:$B,"licence")</f>
        <v>0</v>
      </c>
      <c r="T48" s="76"/>
      <c r="U48" s="161" t="s">
        <v>21</v>
      </c>
      <c r="V48" s="78" t="e">
        <f>C48/$S$48</f>
        <v>#DIV/0!</v>
      </c>
      <c r="W48" s="78" t="e">
        <f t="shared" ref="W48:AK48" si="227">D48/$S$48</f>
        <v>#DIV/0!</v>
      </c>
      <c r="X48" s="78" t="e">
        <f t="shared" si="227"/>
        <v>#DIV/0!</v>
      </c>
      <c r="Y48" s="78" t="e">
        <f t="shared" si="227"/>
        <v>#DIV/0!</v>
      </c>
      <c r="Z48" s="78" t="e">
        <f t="shared" si="227"/>
        <v>#DIV/0!</v>
      </c>
      <c r="AA48" s="78" t="e">
        <f t="shared" si="227"/>
        <v>#DIV/0!</v>
      </c>
      <c r="AB48" s="78" t="e">
        <f t="shared" si="227"/>
        <v>#DIV/0!</v>
      </c>
      <c r="AC48" s="78" t="e">
        <f t="shared" si="227"/>
        <v>#DIV/0!</v>
      </c>
      <c r="AD48" s="78" t="e">
        <f t="shared" si="227"/>
        <v>#DIV/0!</v>
      </c>
      <c r="AE48" s="78" t="e">
        <f t="shared" si="227"/>
        <v>#DIV/0!</v>
      </c>
      <c r="AF48" s="78" t="e">
        <f t="shared" si="227"/>
        <v>#DIV/0!</v>
      </c>
      <c r="AG48" s="78" t="e">
        <f t="shared" si="227"/>
        <v>#DIV/0!</v>
      </c>
      <c r="AH48" s="78" t="e">
        <f t="shared" si="227"/>
        <v>#DIV/0!</v>
      </c>
      <c r="AI48" s="78" t="e">
        <f t="shared" si="227"/>
        <v>#DIV/0!</v>
      </c>
      <c r="AJ48" s="78" t="e">
        <f t="shared" si="227"/>
        <v>#DIV/0!</v>
      </c>
      <c r="AK48" s="78" t="e">
        <f t="shared" si="227"/>
        <v>#DIV/0!</v>
      </c>
    </row>
    <row r="49" spans="2:37" x14ac:dyDescent="0.15">
      <c r="B49" s="161" t="s">
        <v>1357</v>
      </c>
      <c r="C49" s="157">
        <f>SUMIFS('caseload data'!E:E,'caseload data'!$A:$A,$B49,'caseload data'!$B:$B,"licence")</f>
        <v>0</v>
      </c>
      <c r="D49" s="157">
        <f>SUMIFS('caseload data'!F:F,'caseload data'!$A:$A,$B49,'caseload data'!$B:$B,"licence")</f>
        <v>0</v>
      </c>
      <c r="E49" s="157">
        <f>SUMIFS('caseload data'!G:G,'caseload data'!$A:$A,$B49,'caseload data'!$B:$B,"licence")</f>
        <v>0</v>
      </c>
      <c r="F49" s="157">
        <f>SUMIFS('caseload data'!H:H,'caseload data'!$A:$A,$B49,'caseload data'!$B:$B,"licence")</f>
        <v>0</v>
      </c>
      <c r="G49" s="157">
        <f>SUMIFS('caseload data'!I:I,'caseload data'!$A:$A,$B49,'caseload data'!$B:$B,"licence")</f>
        <v>0</v>
      </c>
      <c r="H49" s="157">
        <f>SUMIFS('caseload data'!J:J,'caseload data'!$A:$A,$B49,'caseload data'!$B:$B,"licence")</f>
        <v>0</v>
      </c>
      <c r="I49" s="157">
        <f>SUMIFS('caseload data'!K:K,'caseload data'!$A:$A,$B49,'caseload data'!$B:$B,"licence")</f>
        <v>0</v>
      </c>
      <c r="J49" s="157">
        <f>SUMIFS('caseload data'!L:L,'caseload data'!$A:$A,$B49,'caseload data'!$B:$B,"licence")</f>
        <v>0</v>
      </c>
      <c r="K49" s="157">
        <f>SUMIFS('caseload data'!M:M,'caseload data'!$A:$A,$B49,'caseload data'!$B:$B,"licence")</f>
        <v>0</v>
      </c>
      <c r="L49" s="157">
        <f>SUMIFS('caseload data'!N:N,'caseload data'!$A:$A,$B49,'caseload data'!$B:$B,"licence")</f>
        <v>0</v>
      </c>
      <c r="M49" s="157">
        <f>SUMIFS('caseload data'!O:O,'caseload data'!$A:$A,$B49,'caseload data'!$B:$B,"licence")</f>
        <v>0</v>
      </c>
      <c r="N49" s="157">
        <f>SUMIFS('caseload data'!P:P,'caseload data'!$A:$A,$B49,'caseload data'!$B:$B,"licence")</f>
        <v>0</v>
      </c>
      <c r="O49" s="157">
        <f>SUMIFS('caseload data'!Q:Q,'caseload data'!$A:$A,$B49,'caseload data'!$B:$B,"licence")</f>
        <v>0</v>
      </c>
      <c r="P49" s="157">
        <f>SUMIFS('caseload data'!R:R,'caseload data'!$A:$A,$B49,'caseload data'!$B:$B,"licence")</f>
        <v>0</v>
      </c>
      <c r="Q49" s="157">
        <f>SUMIFS('caseload data'!S:S,'caseload data'!$A:$A,$B49,'caseload data'!$B:$B,"licence")</f>
        <v>0</v>
      </c>
      <c r="R49" s="157">
        <f>SUMIFS('caseload data'!T:T,'caseload data'!$A:$A,$B49,'caseload data'!$B:$B,"licence")</f>
        <v>0</v>
      </c>
      <c r="S49" s="157">
        <f>SUMIFS('caseload data'!V:V,'caseload data'!$A:$A,B49,'caseload data'!$B:$B,"licence")</f>
        <v>0</v>
      </c>
      <c r="T49" s="76"/>
      <c r="U49" s="161" t="s">
        <v>1357</v>
      </c>
      <c r="V49" s="78" t="e">
        <f>C49/$S$49</f>
        <v>#DIV/0!</v>
      </c>
      <c r="W49" s="78" t="e">
        <f t="shared" ref="W49:AK49" si="228">D49/$S$49</f>
        <v>#DIV/0!</v>
      </c>
      <c r="X49" s="78" t="e">
        <f t="shared" si="228"/>
        <v>#DIV/0!</v>
      </c>
      <c r="Y49" s="78" t="e">
        <f t="shared" si="228"/>
        <v>#DIV/0!</v>
      </c>
      <c r="Z49" s="78" t="e">
        <f t="shared" si="228"/>
        <v>#DIV/0!</v>
      </c>
      <c r="AA49" s="78" t="e">
        <f t="shared" si="228"/>
        <v>#DIV/0!</v>
      </c>
      <c r="AB49" s="78" t="e">
        <f t="shared" si="228"/>
        <v>#DIV/0!</v>
      </c>
      <c r="AC49" s="78" t="e">
        <f t="shared" si="228"/>
        <v>#DIV/0!</v>
      </c>
      <c r="AD49" s="78" t="e">
        <f t="shared" si="228"/>
        <v>#DIV/0!</v>
      </c>
      <c r="AE49" s="78" t="e">
        <f t="shared" si="228"/>
        <v>#DIV/0!</v>
      </c>
      <c r="AF49" s="78" t="e">
        <f t="shared" si="228"/>
        <v>#DIV/0!</v>
      </c>
      <c r="AG49" s="78" t="e">
        <f t="shared" si="228"/>
        <v>#DIV/0!</v>
      </c>
      <c r="AH49" s="78" t="e">
        <f t="shared" si="228"/>
        <v>#DIV/0!</v>
      </c>
      <c r="AI49" s="78" t="e">
        <f t="shared" si="228"/>
        <v>#DIV/0!</v>
      </c>
      <c r="AJ49" s="78" t="e">
        <f t="shared" si="228"/>
        <v>#DIV/0!</v>
      </c>
      <c r="AK49" s="78" t="e">
        <f t="shared" si="228"/>
        <v>#DIV/0!</v>
      </c>
    </row>
    <row r="50" spans="2:37" x14ac:dyDescent="0.15">
      <c r="B50" s="161" t="s">
        <v>22</v>
      </c>
      <c r="C50" s="157">
        <f>SUMIFS('caseload data'!E:E,'caseload data'!$A:$A,$B50,'caseload data'!$B:$B,"licence")</f>
        <v>0</v>
      </c>
      <c r="D50" s="157">
        <f>SUMIFS('caseload data'!F:F,'caseload data'!$A:$A,$B50,'caseload data'!$B:$B,"licence")</f>
        <v>0</v>
      </c>
      <c r="E50" s="157">
        <f>SUMIFS('caseload data'!G:G,'caseload data'!$A:$A,$B50,'caseload data'!$B:$B,"licence")</f>
        <v>0</v>
      </c>
      <c r="F50" s="157">
        <f>SUMIFS('caseload data'!H:H,'caseload data'!$A:$A,$B50,'caseload data'!$B:$B,"licence")</f>
        <v>0</v>
      </c>
      <c r="G50" s="157">
        <f>SUMIFS('caseload data'!I:I,'caseload data'!$A:$A,$B50,'caseload data'!$B:$B,"licence")</f>
        <v>0</v>
      </c>
      <c r="H50" s="157">
        <f>SUMIFS('caseload data'!J:J,'caseload data'!$A:$A,$B50,'caseload data'!$B:$B,"licence")</f>
        <v>0</v>
      </c>
      <c r="I50" s="157">
        <f>SUMIFS('caseload data'!K:K,'caseload data'!$A:$A,$B50,'caseload data'!$B:$B,"licence")</f>
        <v>0</v>
      </c>
      <c r="J50" s="157">
        <f>SUMIFS('caseload data'!L:L,'caseload data'!$A:$A,$B50,'caseload data'!$B:$B,"licence")</f>
        <v>0</v>
      </c>
      <c r="K50" s="157">
        <f>SUMIFS('caseload data'!M:M,'caseload data'!$A:$A,$B50,'caseload data'!$B:$B,"licence")</f>
        <v>0</v>
      </c>
      <c r="L50" s="157">
        <f>SUMIFS('caseload data'!N:N,'caseload data'!$A:$A,$B50,'caseload data'!$B:$B,"licence")</f>
        <v>0</v>
      </c>
      <c r="M50" s="157">
        <f>SUMIFS('caseload data'!O:O,'caseload data'!$A:$A,$B50,'caseload data'!$B:$B,"licence")</f>
        <v>0</v>
      </c>
      <c r="N50" s="157">
        <f>SUMIFS('caseload data'!P:P,'caseload data'!$A:$A,$B50,'caseload data'!$B:$B,"licence")</f>
        <v>0</v>
      </c>
      <c r="O50" s="157">
        <f>SUMIFS('caseload data'!Q:Q,'caseload data'!$A:$A,$B50,'caseload data'!$B:$B,"licence")</f>
        <v>0</v>
      </c>
      <c r="P50" s="157">
        <f>SUMIFS('caseload data'!R:R,'caseload data'!$A:$A,$B50,'caseload data'!$B:$B,"licence")</f>
        <v>0</v>
      </c>
      <c r="Q50" s="157">
        <f>SUMIFS('caseload data'!S:S,'caseload data'!$A:$A,$B50,'caseload data'!$B:$B,"licence")</f>
        <v>0</v>
      </c>
      <c r="R50" s="157">
        <f>SUMIFS('caseload data'!T:T,'caseload data'!$A:$A,$B50,'caseload data'!$B:$B,"licence")</f>
        <v>0</v>
      </c>
      <c r="S50" s="157">
        <f>SUMIFS('caseload data'!V:V,'caseload data'!$A:$A,B50,'caseload data'!$B:$B,"licence")</f>
        <v>0</v>
      </c>
      <c r="T50" s="76"/>
      <c r="U50" s="161" t="s">
        <v>22</v>
      </c>
      <c r="V50" s="78" t="e">
        <f>C50/$S$50</f>
        <v>#DIV/0!</v>
      </c>
      <c r="W50" s="78" t="e">
        <f t="shared" ref="W50:AK50" si="229">D50/$S$50</f>
        <v>#DIV/0!</v>
      </c>
      <c r="X50" s="78" t="e">
        <f t="shared" si="229"/>
        <v>#DIV/0!</v>
      </c>
      <c r="Y50" s="78" t="e">
        <f t="shared" si="229"/>
        <v>#DIV/0!</v>
      </c>
      <c r="Z50" s="78" t="e">
        <f t="shared" si="229"/>
        <v>#DIV/0!</v>
      </c>
      <c r="AA50" s="78" t="e">
        <f t="shared" si="229"/>
        <v>#DIV/0!</v>
      </c>
      <c r="AB50" s="78" t="e">
        <f t="shared" si="229"/>
        <v>#DIV/0!</v>
      </c>
      <c r="AC50" s="78" t="e">
        <f t="shared" si="229"/>
        <v>#DIV/0!</v>
      </c>
      <c r="AD50" s="78" t="e">
        <f t="shared" si="229"/>
        <v>#DIV/0!</v>
      </c>
      <c r="AE50" s="78" t="e">
        <f t="shared" si="229"/>
        <v>#DIV/0!</v>
      </c>
      <c r="AF50" s="78" t="e">
        <f t="shared" si="229"/>
        <v>#DIV/0!</v>
      </c>
      <c r="AG50" s="78" t="e">
        <f t="shared" si="229"/>
        <v>#DIV/0!</v>
      </c>
      <c r="AH50" s="78" t="e">
        <f t="shared" si="229"/>
        <v>#DIV/0!</v>
      </c>
      <c r="AI50" s="78" t="e">
        <f t="shared" si="229"/>
        <v>#DIV/0!</v>
      </c>
      <c r="AJ50" s="78" t="e">
        <f t="shared" si="229"/>
        <v>#DIV/0!</v>
      </c>
      <c r="AK50" s="78" t="e">
        <f t="shared" si="229"/>
        <v>#DIV/0!</v>
      </c>
    </row>
    <row r="51" spans="2:37" x14ac:dyDescent="0.15">
      <c r="B51" s="161" t="s">
        <v>23</v>
      </c>
      <c r="C51" s="157">
        <f>SUMIFS('caseload data'!E:E,'caseload data'!$A:$A,$B51,'caseload data'!$B:$B,"licence")</f>
        <v>0</v>
      </c>
      <c r="D51" s="157">
        <f>SUMIFS('caseload data'!F:F,'caseload data'!$A:$A,$B51,'caseload data'!$B:$B,"licence")</f>
        <v>0</v>
      </c>
      <c r="E51" s="157">
        <f>SUMIFS('caseload data'!G:G,'caseload data'!$A:$A,$B51,'caseload data'!$B:$B,"licence")</f>
        <v>0</v>
      </c>
      <c r="F51" s="157">
        <f>SUMIFS('caseload data'!H:H,'caseload data'!$A:$A,$B51,'caseload data'!$B:$B,"licence")</f>
        <v>0</v>
      </c>
      <c r="G51" s="157">
        <f>SUMIFS('caseload data'!I:I,'caseload data'!$A:$A,$B51,'caseload data'!$B:$B,"licence")</f>
        <v>0</v>
      </c>
      <c r="H51" s="157">
        <f>SUMIFS('caseload data'!J:J,'caseload data'!$A:$A,$B51,'caseload data'!$B:$B,"licence")</f>
        <v>0</v>
      </c>
      <c r="I51" s="157">
        <f>SUMIFS('caseload data'!K:K,'caseload data'!$A:$A,$B51,'caseload data'!$B:$B,"licence")</f>
        <v>0</v>
      </c>
      <c r="J51" s="157">
        <f>SUMIFS('caseload data'!L:L,'caseload data'!$A:$A,$B51,'caseload data'!$B:$B,"licence")</f>
        <v>0</v>
      </c>
      <c r="K51" s="157">
        <f>SUMIFS('caseload data'!M:M,'caseload data'!$A:$A,$B51,'caseload data'!$B:$B,"licence")</f>
        <v>0</v>
      </c>
      <c r="L51" s="157">
        <f>SUMIFS('caseload data'!N:N,'caseload data'!$A:$A,$B51,'caseload data'!$B:$B,"licence")</f>
        <v>0</v>
      </c>
      <c r="M51" s="157">
        <f>SUMIFS('caseload data'!O:O,'caseload data'!$A:$A,$B51,'caseload data'!$B:$B,"licence")</f>
        <v>0</v>
      </c>
      <c r="N51" s="157">
        <f>SUMIFS('caseload data'!P:P,'caseload data'!$A:$A,$B51,'caseload data'!$B:$B,"licence")</f>
        <v>0</v>
      </c>
      <c r="O51" s="157">
        <f>SUMIFS('caseload data'!Q:Q,'caseload data'!$A:$A,$B51,'caseload data'!$B:$B,"licence")</f>
        <v>0</v>
      </c>
      <c r="P51" s="157">
        <f>SUMIFS('caseload data'!R:R,'caseload data'!$A:$A,$B51,'caseload data'!$B:$B,"licence")</f>
        <v>0</v>
      </c>
      <c r="Q51" s="157">
        <f>SUMIFS('caseload data'!S:S,'caseload data'!$A:$A,$B51,'caseload data'!$B:$B,"licence")</f>
        <v>0</v>
      </c>
      <c r="R51" s="157">
        <f>SUMIFS('caseload data'!T:T,'caseload data'!$A:$A,$B51,'caseload data'!$B:$B,"licence")</f>
        <v>0</v>
      </c>
      <c r="S51" s="157">
        <f>SUMIFS('caseload data'!V:V,'caseload data'!$A:$A,B51,'caseload data'!$B:$B,"licence")</f>
        <v>0</v>
      </c>
      <c r="T51" s="76"/>
      <c r="U51" s="161" t="s">
        <v>23</v>
      </c>
      <c r="V51" s="78" t="e">
        <f>C51/$S$51</f>
        <v>#DIV/0!</v>
      </c>
      <c r="W51" s="78" t="e">
        <f t="shared" ref="W51:AK51" si="230">D51/$S$51</f>
        <v>#DIV/0!</v>
      </c>
      <c r="X51" s="78" t="e">
        <f t="shared" si="230"/>
        <v>#DIV/0!</v>
      </c>
      <c r="Y51" s="78" t="e">
        <f t="shared" si="230"/>
        <v>#DIV/0!</v>
      </c>
      <c r="Z51" s="78" t="e">
        <f t="shared" si="230"/>
        <v>#DIV/0!</v>
      </c>
      <c r="AA51" s="78" t="e">
        <f t="shared" si="230"/>
        <v>#DIV/0!</v>
      </c>
      <c r="AB51" s="78" t="e">
        <f t="shared" si="230"/>
        <v>#DIV/0!</v>
      </c>
      <c r="AC51" s="78" t="e">
        <f t="shared" si="230"/>
        <v>#DIV/0!</v>
      </c>
      <c r="AD51" s="78" t="e">
        <f t="shared" si="230"/>
        <v>#DIV/0!</v>
      </c>
      <c r="AE51" s="78" t="e">
        <f t="shared" si="230"/>
        <v>#DIV/0!</v>
      </c>
      <c r="AF51" s="78" t="e">
        <f t="shared" si="230"/>
        <v>#DIV/0!</v>
      </c>
      <c r="AG51" s="78" t="e">
        <f t="shared" si="230"/>
        <v>#DIV/0!</v>
      </c>
      <c r="AH51" s="78" t="e">
        <f t="shared" si="230"/>
        <v>#DIV/0!</v>
      </c>
      <c r="AI51" s="78" t="e">
        <f t="shared" si="230"/>
        <v>#DIV/0!</v>
      </c>
      <c r="AJ51" s="78" t="e">
        <f t="shared" si="230"/>
        <v>#DIV/0!</v>
      </c>
      <c r="AK51" s="78" t="e">
        <f t="shared" si="230"/>
        <v>#DIV/0!</v>
      </c>
    </row>
    <row r="52" spans="2:37" x14ac:dyDescent="0.15">
      <c r="B52" s="161" t="s">
        <v>24</v>
      </c>
      <c r="C52" s="157">
        <f>SUMIFS('caseload data'!E:E,'caseload data'!$A:$A,$B52,'caseload data'!$B:$B,"licence")</f>
        <v>0</v>
      </c>
      <c r="D52" s="157">
        <f>SUMIFS('caseload data'!F:F,'caseload data'!$A:$A,$B52,'caseload data'!$B:$B,"licence")</f>
        <v>0</v>
      </c>
      <c r="E52" s="157">
        <f>SUMIFS('caseload data'!G:G,'caseload data'!$A:$A,$B52,'caseload data'!$B:$B,"licence")</f>
        <v>0</v>
      </c>
      <c r="F52" s="157">
        <f>SUMIFS('caseload data'!H:H,'caseload data'!$A:$A,$B52,'caseload data'!$B:$B,"licence")</f>
        <v>0</v>
      </c>
      <c r="G52" s="157">
        <f>SUMIFS('caseload data'!I:I,'caseload data'!$A:$A,$B52,'caseload data'!$B:$B,"licence")</f>
        <v>0</v>
      </c>
      <c r="H52" s="157">
        <f>SUMIFS('caseload data'!J:J,'caseload data'!$A:$A,$B52,'caseload data'!$B:$B,"licence")</f>
        <v>0</v>
      </c>
      <c r="I52" s="157">
        <f>SUMIFS('caseload data'!K:K,'caseload data'!$A:$A,$B52,'caseload data'!$B:$B,"licence")</f>
        <v>0</v>
      </c>
      <c r="J52" s="157">
        <f>SUMIFS('caseload data'!L:L,'caseload data'!$A:$A,$B52,'caseload data'!$B:$B,"licence")</f>
        <v>0</v>
      </c>
      <c r="K52" s="157">
        <f>SUMIFS('caseload data'!M:M,'caseload data'!$A:$A,$B52,'caseload data'!$B:$B,"licence")</f>
        <v>0</v>
      </c>
      <c r="L52" s="157">
        <f>SUMIFS('caseload data'!N:N,'caseload data'!$A:$A,$B52,'caseload data'!$B:$B,"licence")</f>
        <v>0</v>
      </c>
      <c r="M52" s="157">
        <f>SUMIFS('caseload data'!O:O,'caseload data'!$A:$A,$B52,'caseload data'!$B:$B,"licence")</f>
        <v>0</v>
      </c>
      <c r="N52" s="157">
        <f>SUMIFS('caseload data'!P:P,'caseload data'!$A:$A,$B52,'caseload data'!$B:$B,"licence")</f>
        <v>0</v>
      </c>
      <c r="O52" s="157">
        <f>SUMIFS('caseload data'!Q:Q,'caseload data'!$A:$A,$B52,'caseload data'!$B:$B,"licence")</f>
        <v>0</v>
      </c>
      <c r="P52" s="157">
        <f>SUMIFS('caseload data'!R:R,'caseload data'!$A:$A,$B52,'caseload data'!$B:$B,"licence")</f>
        <v>0</v>
      </c>
      <c r="Q52" s="157">
        <f>SUMIFS('caseload data'!S:S,'caseload data'!$A:$A,$B52,'caseload data'!$B:$B,"licence")</f>
        <v>0</v>
      </c>
      <c r="R52" s="157">
        <f>SUMIFS('caseload data'!T:T,'caseload data'!$A:$A,$B52,'caseload data'!$B:$B,"licence")</f>
        <v>0</v>
      </c>
      <c r="S52" s="157">
        <f>SUMIFS('caseload data'!V:V,'caseload data'!$A:$A,B52,'caseload data'!$B:$B,"licence")</f>
        <v>0</v>
      </c>
      <c r="T52" s="76"/>
      <c r="U52" s="161" t="s">
        <v>24</v>
      </c>
      <c r="V52" s="78" t="e">
        <f>C52/$S$52</f>
        <v>#DIV/0!</v>
      </c>
      <c r="W52" s="78" t="e">
        <f t="shared" ref="W52:AK52" si="231">D52/$S$52</f>
        <v>#DIV/0!</v>
      </c>
      <c r="X52" s="78" t="e">
        <f t="shared" si="231"/>
        <v>#DIV/0!</v>
      </c>
      <c r="Y52" s="78" t="e">
        <f t="shared" si="231"/>
        <v>#DIV/0!</v>
      </c>
      <c r="Z52" s="78" t="e">
        <f t="shared" si="231"/>
        <v>#DIV/0!</v>
      </c>
      <c r="AA52" s="78" t="e">
        <f t="shared" si="231"/>
        <v>#DIV/0!</v>
      </c>
      <c r="AB52" s="78" t="e">
        <f t="shared" si="231"/>
        <v>#DIV/0!</v>
      </c>
      <c r="AC52" s="78" t="e">
        <f t="shared" si="231"/>
        <v>#DIV/0!</v>
      </c>
      <c r="AD52" s="78" t="e">
        <f t="shared" si="231"/>
        <v>#DIV/0!</v>
      </c>
      <c r="AE52" s="78" t="e">
        <f t="shared" si="231"/>
        <v>#DIV/0!</v>
      </c>
      <c r="AF52" s="78" t="e">
        <f t="shared" si="231"/>
        <v>#DIV/0!</v>
      </c>
      <c r="AG52" s="78" t="e">
        <f t="shared" si="231"/>
        <v>#DIV/0!</v>
      </c>
      <c r="AH52" s="78" t="e">
        <f t="shared" si="231"/>
        <v>#DIV/0!</v>
      </c>
      <c r="AI52" s="78" t="e">
        <f t="shared" si="231"/>
        <v>#DIV/0!</v>
      </c>
      <c r="AJ52" s="78" t="e">
        <f t="shared" si="231"/>
        <v>#DIV/0!</v>
      </c>
      <c r="AK52" s="78" t="e">
        <f t="shared" si="231"/>
        <v>#DIV/0!</v>
      </c>
    </row>
    <row r="53" spans="2:37" x14ac:dyDescent="0.15">
      <c r="B53" s="161" t="s">
        <v>25</v>
      </c>
      <c r="C53" s="157">
        <f>SUMIFS('caseload data'!E:E,'caseload data'!$A:$A,$B53,'caseload data'!$B:$B,"licence")</f>
        <v>0</v>
      </c>
      <c r="D53" s="157">
        <f>SUMIFS('caseload data'!F:F,'caseload data'!$A:$A,$B53,'caseload data'!$B:$B,"licence")</f>
        <v>0</v>
      </c>
      <c r="E53" s="157">
        <f>SUMIFS('caseload data'!G:G,'caseload data'!$A:$A,$B53,'caseload data'!$B:$B,"licence")</f>
        <v>0</v>
      </c>
      <c r="F53" s="157">
        <f>SUMIFS('caseload data'!H:H,'caseload data'!$A:$A,$B53,'caseload data'!$B:$B,"licence")</f>
        <v>0</v>
      </c>
      <c r="G53" s="157">
        <f>SUMIFS('caseload data'!I:I,'caseload data'!$A:$A,$B53,'caseload data'!$B:$B,"licence")</f>
        <v>0</v>
      </c>
      <c r="H53" s="157">
        <f>SUMIFS('caseload data'!J:J,'caseload data'!$A:$A,$B53,'caseload data'!$B:$B,"licence")</f>
        <v>0</v>
      </c>
      <c r="I53" s="157">
        <f>SUMIFS('caseload data'!K:K,'caseload data'!$A:$A,$B53,'caseload data'!$B:$B,"licence")</f>
        <v>0</v>
      </c>
      <c r="J53" s="157">
        <f>SUMIFS('caseload data'!L:L,'caseload data'!$A:$A,$B53,'caseload data'!$B:$B,"licence")</f>
        <v>0</v>
      </c>
      <c r="K53" s="157">
        <f>SUMIFS('caseload data'!M:M,'caseload data'!$A:$A,$B53,'caseload data'!$B:$B,"licence")</f>
        <v>0</v>
      </c>
      <c r="L53" s="157">
        <f>SUMIFS('caseload data'!N:N,'caseload data'!$A:$A,$B53,'caseload data'!$B:$B,"licence")</f>
        <v>0</v>
      </c>
      <c r="M53" s="157">
        <f>SUMIFS('caseload data'!O:O,'caseload data'!$A:$A,$B53,'caseload data'!$B:$B,"licence")</f>
        <v>0</v>
      </c>
      <c r="N53" s="157">
        <f>SUMIFS('caseload data'!P:P,'caseload data'!$A:$A,$B53,'caseload data'!$B:$B,"licence")</f>
        <v>0</v>
      </c>
      <c r="O53" s="157">
        <f>SUMIFS('caseload data'!Q:Q,'caseload data'!$A:$A,$B53,'caseload data'!$B:$B,"licence")</f>
        <v>0</v>
      </c>
      <c r="P53" s="157">
        <f>SUMIFS('caseload data'!R:R,'caseload data'!$A:$A,$B53,'caseload data'!$B:$B,"licence")</f>
        <v>0</v>
      </c>
      <c r="Q53" s="157">
        <f>SUMIFS('caseload data'!S:S,'caseload data'!$A:$A,$B53,'caseload data'!$B:$B,"licence")</f>
        <v>0</v>
      </c>
      <c r="R53" s="157">
        <f>SUMIFS('caseload data'!T:T,'caseload data'!$A:$A,$B53,'caseload data'!$B:$B,"licence")</f>
        <v>0</v>
      </c>
      <c r="S53" s="157">
        <f>SUMIFS('caseload data'!V:V,'caseload data'!$A:$A,B53,'caseload data'!$B:$B,"licence")</f>
        <v>0</v>
      </c>
      <c r="T53" s="76"/>
      <c r="U53" s="161" t="s">
        <v>25</v>
      </c>
      <c r="V53" s="78" t="e">
        <f t="shared" ref="V53:AK53" si="232">C53/$S$53</f>
        <v>#DIV/0!</v>
      </c>
      <c r="W53" s="78" t="e">
        <f t="shared" si="232"/>
        <v>#DIV/0!</v>
      </c>
      <c r="X53" s="78" t="e">
        <f t="shared" si="232"/>
        <v>#DIV/0!</v>
      </c>
      <c r="Y53" s="78" t="e">
        <f t="shared" si="232"/>
        <v>#DIV/0!</v>
      </c>
      <c r="Z53" s="78" t="e">
        <f t="shared" si="232"/>
        <v>#DIV/0!</v>
      </c>
      <c r="AA53" s="78" t="e">
        <f t="shared" si="232"/>
        <v>#DIV/0!</v>
      </c>
      <c r="AB53" s="78" t="e">
        <f t="shared" si="232"/>
        <v>#DIV/0!</v>
      </c>
      <c r="AC53" s="78" t="e">
        <f t="shared" si="232"/>
        <v>#DIV/0!</v>
      </c>
      <c r="AD53" s="78" t="e">
        <f t="shared" si="232"/>
        <v>#DIV/0!</v>
      </c>
      <c r="AE53" s="78" t="e">
        <f t="shared" si="232"/>
        <v>#DIV/0!</v>
      </c>
      <c r="AF53" s="78" t="e">
        <f t="shared" si="232"/>
        <v>#DIV/0!</v>
      </c>
      <c r="AG53" s="78" t="e">
        <f t="shared" si="232"/>
        <v>#DIV/0!</v>
      </c>
      <c r="AH53" s="78" t="e">
        <f t="shared" si="232"/>
        <v>#DIV/0!</v>
      </c>
      <c r="AI53" s="78" t="e">
        <f t="shared" si="232"/>
        <v>#DIV/0!</v>
      </c>
      <c r="AJ53" s="78" t="e">
        <f t="shared" si="232"/>
        <v>#DIV/0!</v>
      </c>
      <c r="AK53" s="78" t="e">
        <f t="shared" si="232"/>
        <v>#DIV/0!</v>
      </c>
    </row>
    <row r="54" spans="2:37" x14ac:dyDescent="0.15">
      <c r="B54" s="161" t="s">
        <v>26</v>
      </c>
      <c r="C54" s="157">
        <f>SUMIFS('caseload data'!E:E,'caseload data'!$A:$A,$B54,'caseload data'!$B:$B,"licence")</f>
        <v>0</v>
      </c>
      <c r="D54" s="157">
        <f>SUMIFS('caseload data'!F:F,'caseload data'!$A:$A,$B54,'caseload data'!$B:$B,"licence")</f>
        <v>0</v>
      </c>
      <c r="E54" s="157">
        <f>SUMIFS('caseload data'!G:G,'caseload data'!$A:$A,$B54,'caseload data'!$B:$B,"licence")</f>
        <v>0</v>
      </c>
      <c r="F54" s="157">
        <f>SUMIFS('caseload data'!H:H,'caseload data'!$A:$A,$B54,'caseload data'!$B:$B,"licence")</f>
        <v>0</v>
      </c>
      <c r="G54" s="157">
        <f>SUMIFS('caseload data'!I:I,'caseload data'!$A:$A,$B54,'caseload data'!$B:$B,"licence")</f>
        <v>0</v>
      </c>
      <c r="H54" s="157">
        <f>SUMIFS('caseload data'!J:J,'caseload data'!$A:$A,$B54,'caseload data'!$B:$B,"licence")</f>
        <v>0</v>
      </c>
      <c r="I54" s="157">
        <f>SUMIFS('caseload data'!K:K,'caseload data'!$A:$A,$B54,'caseload data'!$B:$B,"licence")</f>
        <v>0</v>
      </c>
      <c r="J54" s="157">
        <f>SUMIFS('caseload data'!L:L,'caseload data'!$A:$A,$B54,'caseload data'!$B:$B,"licence")</f>
        <v>0</v>
      </c>
      <c r="K54" s="157">
        <f>SUMIFS('caseload data'!M:M,'caseload data'!$A:$A,$B54,'caseload data'!$B:$B,"licence")</f>
        <v>0</v>
      </c>
      <c r="L54" s="157">
        <f>SUMIFS('caseload data'!N:N,'caseload data'!$A:$A,$B54,'caseload data'!$B:$B,"licence")</f>
        <v>0</v>
      </c>
      <c r="M54" s="157">
        <f>SUMIFS('caseload data'!O:O,'caseload data'!$A:$A,$B54,'caseload data'!$B:$B,"licence")</f>
        <v>0</v>
      </c>
      <c r="N54" s="157">
        <f>SUMIFS('caseload data'!P:P,'caseload data'!$A:$A,$B54,'caseload data'!$B:$B,"licence")</f>
        <v>0</v>
      </c>
      <c r="O54" s="157">
        <f>SUMIFS('caseload data'!Q:Q,'caseload data'!$A:$A,$B54,'caseload data'!$B:$B,"licence")</f>
        <v>0</v>
      </c>
      <c r="P54" s="157">
        <f>SUMIFS('caseload data'!R:R,'caseload data'!$A:$A,$B54,'caseload data'!$B:$B,"licence")</f>
        <v>0</v>
      </c>
      <c r="Q54" s="157">
        <f>SUMIFS('caseload data'!S:S,'caseload data'!$A:$A,$B54,'caseload data'!$B:$B,"licence")</f>
        <v>0</v>
      </c>
      <c r="R54" s="157">
        <f>SUMIFS('caseload data'!T:T,'caseload data'!$A:$A,$B54,'caseload data'!$B:$B,"licence")</f>
        <v>0</v>
      </c>
      <c r="S54" s="157">
        <f>SUMIFS('caseload data'!V:V,'caseload data'!$A:$A,B54,'caseload data'!$B:$B,"licence")</f>
        <v>0</v>
      </c>
      <c r="T54" s="76"/>
      <c r="U54" s="161" t="s">
        <v>1253</v>
      </c>
      <c r="V54" s="78" t="e">
        <f t="shared" ref="V54:AK54" si="233">C54/$S$54</f>
        <v>#DIV/0!</v>
      </c>
      <c r="W54" s="78" t="e">
        <f t="shared" si="233"/>
        <v>#DIV/0!</v>
      </c>
      <c r="X54" s="78" t="e">
        <f t="shared" si="233"/>
        <v>#DIV/0!</v>
      </c>
      <c r="Y54" s="78" t="e">
        <f t="shared" si="233"/>
        <v>#DIV/0!</v>
      </c>
      <c r="Z54" s="78" t="e">
        <f t="shared" si="233"/>
        <v>#DIV/0!</v>
      </c>
      <c r="AA54" s="78" t="e">
        <f t="shared" si="233"/>
        <v>#DIV/0!</v>
      </c>
      <c r="AB54" s="78" t="e">
        <f t="shared" si="233"/>
        <v>#DIV/0!</v>
      </c>
      <c r="AC54" s="78" t="e">
        <f t="shared" si="233"/>
        <v>#DIV/0!</v>
      </c>
      <c r="AD54" s="78" t="e">
        <f t="shared" si="233"/>
        <v>#DIV/0!</v>
      </c>
      <c r="AE54" s="78" t="e">
        <f t="shared" si="233"/>
        <v>#DIV/0!</v>
      </c>
      <c r="AF54" s="78" t="e">
        <f t="shared" si="233"/>
        <v>#DIV/0!</v>
      </c>
      <c r="AG54" s="78" t="e">
        <f t="shared" si="233"/>
        <v>#DIV/0!</v>
      </c>
      <c r="AH54" s="78" t="e">
        <f t="shared" si="233"/>
        <v>#DIV/0!</v>
      </c>
      <c r="AI54" s="78" t="e">
        <f t="shared" si="233"/>
        <v>#DIV/0!</v>
      </c>
      <c r="AJ54" s="78" t="e">
        <f t="shared" si="233"/>
        <v>#DIV/0!</v>
      </c>
      <c r="AK54" s="78" t="e">
        <f t="shared" si="233"/>
        <v>#DIV/0!</v>
      </c>
    </row>
    <row r="55" spans="2:37" x14ac:dyDescent="0.15">
      <c r="B55" s="161" t="s">
        <v>27</v>
      </c>
      <c r="C55" s="157">
        <f>SUMIFS('caseload data'!E:E,'caseload data'!$A:$A,$B55,'caseload data'!$B:$B,"licence")</f>
        <v>0</v>
      </c>
      <c r="D55" s="157">
        <f>SUMIFS('caseload data'!F:F,'caseload data'!$A:$A,$B55,'caseload data'!$B:$B,"licence")</f>
        <v>0</v>
      </c>
      <c r="E55" s="157">
        <f>SUMIFS('caseload data'!G:G,'caseload data'!$A:$A,$B55,'caseload data'!$B:$B,"licence")</f>
        <v>0</v>
      </c>
      <c r="F55" s="157">
        <f>SUMIFS('caseload data'!H:H,'caseload data'!$A:$A,$B55,'caseload data'!$B:$B,"licence")</f>
        <v>0</v>
      </c>
      <c r="G55" s="157">
        <f>SUMIFS('caseload data'!I:I,'caseload data'!$A:$A,$B55,'caseload data'!$B:$B,"licence")</f>
        <v>0</v>
      </c>
      <c r="H55" s="157">
        <f>SUMIFS('caseload data'!J:J,'caseload data'!$A:$A,$B55,'caseload data'!$B:$B,"licence")</f>
        <v>0</v>
      </c>
      <c r="I55" s="157">
        <f>SUMIFS('caseload data'!K:K,'caseload data'!$A:$A,$B55,'caseload data'!$B:$B,"licence")</f>
        <v>0</v>
      </c>
      <c r="J55" s="157">
        <f>SUMIFS('caseload data'!L:L,'caseload data'!$A:$A,$B55,'caseload data'!$B:$B,"licence")</f>
        <v>0</v>
      </c>
      <c r="K55" s="157">
        <f>SUMIFS('caseload data'!M:M,'caseload data'!$A:$A,$B55,'caseload data'!$B:$B,"licence")</f>
        <v>0</v>
      </c>
      <c r="L55" s="157">
        <f>SUMIFS('caseload data'!N:N,'caseload data'!$A:$A,$B55,'caseload data'!$B:$B,"licence")</f>
        <v>0</v>
      </c>
      <c r="M55" s="157">
        <f>SUMIFS('caseload data'!O:O,'caseload data'!$A:$A,$B55,'caseload data'!$B:$B,"licence")</f>
        <v>0</v>
      </c>
      <c r="N55" s="157">
        <f>SUMIFS('caseload data'!P:P,'caseload data'!$A:$A,$B55,'caseload data'!$B:$B,"licence")</f>
        <v>0</v>
      </c>
      <c r="O55" s="157">
        <f>SUMIFS('caseload data'!Q:Q,'caseload data'!$A:$A,$B55,'caseload data'!$B:$B,"licence")</f>
        <v>0</v>
      </c>
      <c r="P55" s="157">
        <f>SUMIFS('caseload data'!R:R,'caseload data'!$A:$A,$B55,'caseload data'!$B:$B,"licence")</f>
        <v>0</v>
      </c>
      <c r="Q55" s="157">
        <f>SUMIFS('caseload data'!S:S,'caseload data'!$A:$A,$B55,'caseload data'!$B:$B,"licence")</f>
        <v>0</v>
      </c>
      <c r="R55" s="157">
        <f>SUMIFS('caseload data'!T:T,'caseload data'!$A:$A,$B55,'caseload data'!$B:$B,"licence")</f>
        <v>0</v>
      </c>
      <c r="S55" s="157">
        <f>SUMIFS('caseload data'!V:V,'caseload data'!$A:$A,B55,'caseload data'!$B:$B,"licence")</f>
        <v>0</v>
      </c>
      <c r="T55" s="76"/>
      <c r="U55" s="161" t="s">
        <v>27</v>
      </c>
      <c r="V55" s="78" t="e">
        <f>C55/$S$55</f>
        <v>#DIV/0!</v>
      </c>
      <c r="W55" s="78" t="e">
        <f t="shared" ref="W55:AK55" si="234">D55/$S$55</f>
        <v>#DIV/0!</v>
      </c>
      <c r="X55" s="78" t="e">
        <f t="shared" si="234"/>
        <v>#DIV/0!</v>
      </c>
      <c r="Y55" s="78" t="e">
        <f t="shared" si="234"/>
        <v>#DIV/0!</v>
      </c>
      <c r="Z55" s="78" t="e">
        <f t="shared" si="234"/>
        <v>#DIV/0!</v>
      </c>
      <c r="AA55" s="78" t="e">
        <f t="shared" si="234"/>
        <v>#DIV/0!</v>
      </c>
      <c r="AB55" s="78" t="e">
        <f t="shared" si="234"/>
        <v>#DIV/0!</v>
      </c>
      <c r="AC55" s="78" t="e">
        <f t="shared" si="234"/>
        <v>#DIV/0!</v>
      </c>
      <c r="AD55" s="78" t="e">
        <f t="shared" si="234"/>
        <v>#DIV/0!</v>
      </c>
      <c r="AE55" s="78" t="e">
        <f t="shared" si="234"/>
        <v>#DIV/0!</v>
      </c>
      <c r="AF55" s="78" t="e">
        <f t="shared" si="234"/>
        <v>#DIV/0!</v>
      </c>
      <c r="AG55" s="78" t="e">
        <f t="shared" si="234"/>
        <v>#DIV/0!</v>
      </c>
      <c r="AH55" s="78" t="e">
        <f t="shared" si="234"/>
        <v>#DIV/0!</v>
      </c>
      <c r="AI55" s="78" t="e">
        <f t="shared" si="234"/>
        <v>#DIV/0!</v>
      </c>
      <c r="AJ55" s="78" t="e">
        <f t="shared" si="234"/>
        <v>#DIV/0!</v>
      </c>
      <c r="AK55" s="78" t="e">
        <f t="shared" si="234"/>
        <v>#DIV/0!</v>
      </c>
    </row>
    <row r="56" spans="2:37" x14ac:dyDescent="0.15">
      <c r="B56" s="161" t="s">
        <v>28</v>
      </c>
      <c r="C56" s="157">
        <f>SUMIFS('caseload data'!E:E,'caseload data'!$A:$A,$B56,'caseload data'!$B:$B,"licence")</f>
        <v>0</v>
      </c>
      <c r="D56" s="157">
        <f>SUMIFS('caseload data'!F:F,'caseload data'!$A:$A,$B56,'caseload data'!$B:$B,"licence")</f>
        <v>0</v>
      </c>
      <c r="E56" s="157">
        <f>SUMIFS('caseload data'!G:G,'caseload data'!$A:$A,$B56,'caseload data'!$B:$B,"licence")</f>
        <v>0</v>
      </c>
      <c r="F56" s="157">
        <f>SUMIFS('caseload data'!H:H,'caseload data'!$A:$A,$B56,'caseload data'!$B:$B,"licence")</f>
        <v>0</v>
      </c>
      <c r="G56" s="157">
        <f>SUMIFS('caseload data'!I:I,'caseload data'!$A:$A,$B56,'caseload data'!$B:$B,"licence")</f>
        <v>0</v>
      </c>
      <c r="H56" s="157">
        <f>SUMIFS('caseload data'!J:J,'caseload data'!$A:$A,$B56,'caseload data'!$B:$B,"licence")</f>
        <v>0</v>
      </c>
      <c r="I56" s="157">
        <f>SUMIFS('caseload data'!K:K,'caseload data'!$A:$A,$B56,'caseload data'!$B:$B,"licence")</f>
        <v>0</v>
      </c>
      <c r="J56" s="157">
        <f>SUMIFS('caseload data'!L:L,'caseload data'!$A:$A,$B56,'caseload data'!$B:$B,"licence")</f>
        <v>0</v>
      </c>
      <c r="K56" s="157">
        <f>SUMIFS('caseload data'!M:M,'caseload data'!$A:$A,$B56,'caseload data'!$B:$B,"licence")</f>
        <v>0</v>
      </c>
      <c r="L56" s="157">
        <f>SUMIFS('caseload data'!N:N,'caseload data'!$A:$A,$B56,'caseload data'!$B:$B,"licence")</f>
        <v>0</v>
      </c>
      <c r="M56" s="157">
        <f>SUMIFS('caseload data'!O:O,'caseload data'!$A:$A,$B56,'caseload data'!$B:$B,"licence")</f>
        <v>0</v>
      </c>
      <c r="N56" s="157">
        <f>SUMIFS('caseload data'!P:P,'caseload data'!$A:$A,$B56,'caseload data'!$B:$B,"licence")</f>
        <v>0</v>
      </c>
      <c r="O56" s="157">
        <f>SUMIFS('caseload data'!Q:Q,'caseload data'!$A:$A,$B56,'caseload data'!$B:$B,"licence")</f>
        <v>0</v>
      </c>
      <c r="P56" s="157">
        <f>SUMIFS('caseload data'!R:R,'caseload data'!$A:$A,$B56,'caseload data'!$B:$B,"licence")</f>
        <v>0</v>
      </c>
      <c r="Q56" s="157">
        <f>SUMIFS('caseload data'!S:S,'caseload data'!$A:$A,$B56,'caseload data'!$B:$B,"licence")</f>
        <v>0</v>
      </c>
      <c r="R56" s="157">
        <f>SUMIFS('caseload data'!T:T,'caseload data'!$A:$A,$B56,'caseload data'!$B:$B,"licence")</f>
        <v>0</v>
      </c>
      <c r="S56" s="157">
        <f>SUMIFS('caseload data'!V:V,'caseload data'!$A:$A,B56,'caseload data'!$B:$B,"licence")</f>
        <v>0</v>
      </c>
      <c r="T56" s="76"/>
      <c r="U56" s="161" t="s">
        <v>28</v>
      </c>
      <c r="V56" s="78" t="e">
        <f>C56/$S$56</f>
        <v>#DIV/0!</v>
      </c>
      <c r="W56" s="78" t="e">
        <f t="shared" ref="W56:AK56" si="235">D56/$S$56</f>
        <v>#DIV/0!</v>
      </c>
      <c r="X56" s="78" t="e">
        <f t="shared" si="235"/>
        <v>#DIV/0!</v>
      </c>
      <c r="Y56" s="78" t="e">
        <f t="shared" si="235"/>
        <v>#DIV/0!</v>
      </c>
      <c r="Z56" s="78" t="e">
        <f t="shared" si="235"/>
        <v>#DIV/0!</v>
      </c>
      <c r="AA56" s="78" t="e">
        <f t="shared" si="235"/>
        <v>#DIV/0!</v>
      </c>
      <c r="AB56" s="78" t="e">
        <f t="shared" si="235"/>
        <v>#DIV/0!</v>
      </c>
      <c r="AC56" s="78" t="e">
        <f t="shared" si="235"/>
        <v>#DIV/0!</v>
      </c>
      <c r="AD56" s="78" t="e">
        <f t="shared" si="235"/>
        <v>#DIV/0!</v>
      </c>
      <c r="AE56" s="78" t="e">
        <f t="shared" si="235"/>
        <v>#DIV/0!</v>
      </c>
      <c r="AF56" s="78" t="e">
        <f t="shared" si="235"/>
        <v>#DIV/0!</v>
      </c>
      <c r="AG56" s="78" t="e">
        <f t="shared" si="235"/>
        <v>#DIV/0!</v>
      </c>
      <c r="AH56" s="78" t="e">
        <f t="shared" si="235"/>
        <v>#DIV/0!</v>
      </c>
      <c r="AI56" s="78" t="e">
        <f t="shared" si="235"/>
        <v>#DIV/0!</v>
      </c>
      <c r="AJ56" s="78" t="e">
        <f t="shared" si="235"/>
        <v>#DIV/0!</v>
      </c>
      <c r="AK56" s="78" t="e">
        <f t="shared" si="235"/>
        <v>#DIV/0!</v>
      </c>
    </row>
    <row r="57" spans="2:37" x14ac:dyDescent="0.15">
      <c r="B57" s="161" t="s">
        <v>1409</v>
      </c>
      <c r="C57" s="157">
        <f>SUMIFS('caseload data'!E:E,'caseload data'!$A:$A,$B57,'caseload data'!$B:$B,"licence")</f>
        <v>0</v>
      </c>
      <c r="D57" s="157">
        <f>SUMIFS('caseload data'!F:F,'caseload data'!$A:$A,$B57,'caseload data'!$B:$B,"licence")</f>
        <v>0</v>
      </c>
      <c r="E57" s="157">
        <f>SUMIFS('caseload data'!G:G,'caseload data'!$A:$A,$B57,'caseload data'!$B:$B,"licence")</f>
        <v>0</v>
      </c>
      <c r="F57" s="157">
        <f>SUMIFS('caseload data'!H:H,'caseload data'!$A:$A,$B57,'caseload data'!$B:$B,"licence")</f>
        <v>0</v>
      </c>
      <c r="G57" s="157">
        <f>SUMIFS('caseload data'!I:I,'caseload data'!$A:$A,$B57,'caseload data'!$B:$B,"licence")</f>
        <v>0</v>
      </c>
      <c r="H57" s="157">
        <f>SUMIFS('caseload data'!J:J,'caseload data'!$A:$A,$B57,'caseload data'!$B:$B,"licence")</f>
        <v>0</v>
      </c>
      <c r="I57" s="157">
        <f>SUMIFS('caseload data'!K:K,'caseload data'!$A:$A,$B57,'caseload data'!$B:$B,"licence")</f>
        <v>0</v>
      </c>
      <c r="J57" s="157">
        <f>SUMIFS('caseload data'!L:L,'caseload data'!$A:$A,$B57,'caseload data'!$B:$B,"licence")</f>
        <v>0</v>
      </c>
      <c r="K57" s="157">
        <f>SUMIFS('caseload data'!M:M,'caseload data'!$A:$A,$B57,'caseload data'!$B:$B,"licence")</f>
        <v>0</v>
      </c>
      <c r="L57" s="157">
        <f>SUMIFS('caseload data'!N:N,'caseload data'!$A:$A,$B57,'caseload data'!$B:$B,"licence")</f>
        <v>0</v>
      </c>
      <c r="M57" s="157">
        <f>SUMIFS('caseload data'!O:O,'caseload data'!$A:$A,$B57,'caseload data'!$B:$B,"licence")</f>
        <v>0</v>
      </c>
      <c r="N57" s="157">
        <f>SUMIFS('caseload data'!P:P,'caseload data'!$A:$A,$B57,'caseload data'!$B:$B,"licence")</f>
        <v>0</v>
      </c>
      <c r="O57" s="157">
        <f>SUMIFS('caseload data'!Q:Q,'caseload data'!$A:$A,$B57,'caseload data'!$B:$B,"licence")</f>
        <v>0</v>
      </c>
      <c r="P57" s="157">
        <f>SUMIFS('caseload data'!R:R,'caseload data'!$A:$A,$B57,'caseload data'!$B:$B,"licence")</f>
        <v>0</v>
      </c>
      <c r="Q57" s="157">
        <f>SUMIFS('caseload data'!S:S,'caseload data'!$A:$A,$B57,'caseload data'!$B:$B,"licence")</f>
        <v>0</v>
      </c>
      <c r="R57" s="157">
        <f>SUMIFS('caseload data'!T:T,'caseload data'!$A:$A,$B57,'caseload data'!$B:$B,"licence")</f>
        <v>0</v>
      </c>
      <c r="S57" s="157">
        <f>SUMIFS('caseload data'!V:V,'caseload data'!$A:$A,B57,'caseload data'!$B:$B,"licence")</f>
        <v>0</v>
      </c>
      <c r="T57" s="76"/>
      <c r="U57" s="161" t="s">
        <v>1409</v>
      </c>
      <c r="V57" s="78" t="e">
        <f>C57/$S$57</f>
        <v>#DIV/0!</v>
      </c>
      <c r="W57" s="78" t="e">
        <f t="shared" ref="W57:AK57" si="236">D57/$S$57</f>
        <v>#DIV/0!</v>
      </c>
      <c r="X57" s="78" t="e">
        <f t="shared" si="236"/>
        <v>#DIV/0!</v>
      </c>
      <c r="Y57" s="78" t="e">
        <f t="shared" si="236"/>
        <v>#DIV/0!</v>
      </c>
      <c r="Z57" s="78" t="e">
        <f t="shared" si="236"/>
        <v>#DIV/0!</v>
      </c>
      <c r="AA57" s="78" t="e">
        <f t="shared" si="236"/>
        <v>#DIV/0!</v>
      </c>
      <c r="AB57" s="78" t="e">
        <f t="shared" si="236"/>
        <v>#DIV/0!</v>
      </c>
      <c r="AC57" s="78" t="e">
        <f t="shared" si="236"/>
        <v>#DIV/0!</v>
      </c>
      <c r="AD57" s="78" t="e">
        <f t="shared" si="236"/>
        <v>#DIV/0!</v>
      </c>
      <c r="AE57" s="78" t="e">
        <f t="shared" si="236"/>
        <v>#DIV/0!</v>
      </c>
      <c r="AF57" s="78" t="e">
        <f t="shared" si="236"/>
        <v>#DIV/0!</v>
      </c>
      <c r="AG57" s="78" t="e">
        <f t="shared" si="236"/>
        <v>#DIV/0!</v>
      </c>
      <c r="AH57" s="78" t="e">
        <f t="shared" si="236"/>
        <v>#DIV/0!</v>
      </c>
      <c r="AI57" s="78" t="e">
        <f t="shared" si="236"/>
        <v>#DIV/0!</v>
      </c>
      <c r="AJ57" s="78" t="e">
        <f t="shared" si="236"/>
        <v>#DIV/0!</v>
      </c>
      <c r="AK57" s="78" t="e">
        <f t="shared" si="236"/>
        <v>#DIV/0!</v>
      </c>
    </row>
    <row r="58" spans="2:37" x14ac:dyDescent="0.15">
      <c r="B58" s="161" t="s">
        <v>29</v>
      </c>
      <c r="C58" s="157">
        <f>SUMIFS('caseload data'!E:E,'caseload data'!$A:$A,$B58,'caseload data'!$B:$B,"licence")</f>
        <v>0</v>
      </c>
      <c r="D58" s="157">
        <f>SUMIFS('caseload data'!F:F,'caseload data'!$A:$A,$B58,'caseload data'!$B:$B,"licence")</f>
        <v>0</v>
      </c>
      <c r="E58" s="157">
        <f>SUMIFS('caseload data'!G:G,'caseload data'!$A:$A,$B58,'caseload data'!$B:$B,"licence")</f>
        <v>0</v>
      </c>
      <c r="F58" s="157">
        <f>SUMIFS('caseload data'!H:H,'caseload data'!$A:$A,$B58,'caseload data'!$B:$B,"licence")</f>
        <v>0</v>
      </c>
      <c r="G58" s="157">
        <f>SUMIFS('caseload data'!I:I,'caseload data'!$A:$A,$B58,'caseload data'!$B:$B,"licence")</f>
        <v>0</v>
      </c>
      <c r="H58" s="157">
        <f>SUMIFS('caseload data'!J:J,'caseload data'!$A:$A,$B58,'caseload data'!$B:$B,"licence")</f>
        <v>0</v>
      </c>
      <c r="I58" s="157">
        <f>SUMIFS('caseload data'!K:K,'caseload data'!$A:$A,$B58,'caseload data'!$B:$B,"licence")</f>
        <v>0</v>
      </c>
      <c r="J58" s="157">
        <f>SUMIFS('caseload data'!L:L,'caseload data'!$A:$A,$B58,'caseload data'!$B:$B,"licence")</f>
        <v>0</v>
      </c>
      <c r="K58" s="157">
        <f>SUMIFS('caseload data'!M:M,'caseload data'!$A:$A,$B58,'caseload data'!$B:$B,"licence")</f>
        <v>0</v>
      </c>
      <c r="L58" s="157">
        <f>SUMIFS('caseload data'!N:N,'caseload data'!$A:$A,$B58,'caseload data'!$B:$B,"licence")</f>
        <v>0</v>
      </c>
      <c r="M58" s="157">
        <f>SUMIFS('caseload data'!O:O,'caseload data'!$A:$A,$B58,'caseload data'!$B:$B,"licence")</f>
        <v>0</v>
      </c>
      <c r="N58" s="157">
        <f>SUMIFS('caseload data'!P:P,'caseload data'!$A:$A,$B58,'caseload data'!$B:$B,"licence")</f>
        <v>0</v>
      </c>
      <c r="O58" s="157">
        <f>SUMIFS('caseload data'!Q:Q,'caseload data'!$A:$A,$B58,'caseload data'!$B:$B,"licence")</f>
        <v>0</v>
      </c>
      <c r="P58" s="157">
        <f>SUMIFS('caseload data'!R:R,'caseload data'!$A:$A,$B58,'caseload data'!$B:$B,"licence")</f>
        <v>0</v>
      </c>
      <c r="Q58" s="157">
        <f>SUMIFS('caseload data'!S:S,'caseload data'!$A:$A,$B58,'caseload data'!$B:$B,"licence")</f>
        <v>0</v>
      </c>
      <c r="R58" s="157">
        <f>SUMIFS('caseload data'!T:T,'caseload data'!$A:$A,$B58,'caseload data'!$B:$B,"licence")</f>
        <v>0</v>
      </c>
      <c r="S58" s="157">
        <f>SUMIFS('caseload data'!V:V,'caseload data'!$A:$A,B58,'caseload data'!$B:$B,"licence")</f>
        <v>0</v>
      </c>
      <c r="T58" s="76"/>
      <c r="U58" s="161" t="s">
        <v>29</v>
      </c>
      <c r="V58" s="78" t="e">
        <f t="shared" ref="V58:V60" si="237">C58/$S58</f>
        <v>#DIV/0!</v>
      </c>
      <c r="W58" s="78" t="e">
        <f t="shared" ref="W58:W60" si="238">D58/$S58</f>
        <v>#DIV/0!</v>
      </c>
      <c r="X58" s="78" t="e">
        <f t="shared" ref="X58:X60" si="239">E58/$S58</f>
        <v>#DIV/0!</v>
      </c>
      <c r="Y58" s="78" t="e">
        <f t="shared" ref="Y58:Y60" si="240">F58/$S58</f>
        <v>#DIV/0!</v>
      </c>
      <c r="Z58" s="78" t="e">
        <f t="shared" ref="Z58:Z60" si="241">G58/$S58</f>
        <v>#DIV/0!</v>
      </c>
      <c r="AA58" s="78" t="e">
        <f t="shared" ref="AA58:AA60" si="242">H58/$S58</f>
        <v>#DIV/0!</v>
      </c>
      <c r="AB58" s="78" t="e">
        <f t="shared" ref="AB58:AB60" si="243">I58/$S58</f>
        <v>#DIV/0!</v>
      </c>
      <c r="AC58" s="78" t="e">
        <f t="shared" ref="AC58:AC60" si="244">J58/$S58</f>
        <v>#DIV/0!</v>
      </c>
      <c r="AD58" s="78" t="e">
        <f t="shared" ref="AD58:AD60" si="245">K58/$S58</f>
        <v>#DIV/0!</v>
      </c>
      <c r="AE58" s="78" t="e">
        <f t="shared" ref="AE58:AE60" si="246">L58/$S58</f>
        <v>#DIV/0!</v>
      </c>
      <c r="AF58" s="78" t="e">
        <f t="shared" ref="AF58:AF60" si="247">M58/$S58</f>
        <v>#DIV/0!</v>
      </c>
      <c r="AG58" s="78" t="e">
        <f t="shared" ref="AG58:AG60" si="248">N58/$S58</f>
        <v>#DIV/0!</v>
      </c>
      <c r="AH58" s="78" t="e">
        <f t="shared" ref="AH58:AH60" si="249">O58/$S58</f>
        <v>#DIV/0!</v>
      </c>
      <c r="AI58" s="78" t="e">
        <f t="shared" ref="AI58:AI60" si="250">P58/$S58</f>
        <v>#DIV/0!</v>
      </c>
      <c r="AJ58" s="78" t="e">
        <f t="shared" ref="AJ58:AJ60" si="251">Q58/$S58</f>
        <v>#DIV/0!</v>
      </c>
      <c r="AK58" s="78" t="e">
        <f t="shared" ref="AK58:AK60" si="252">R58/$S58</f>
        <v>#DIV/0!</v>
      </c>
    </row>
    <row r="59" spans="2:37" x14ac:dyDescent="0.15">
      <c r="B59" s="161" t="s">
        <v>30</v>
      </c>
      <c r="C59" s="157">
        <f>SUMIFS('caseload data'!E:E,'caseload data'!$A:$A,$B59,'caseload data'!$B:$B,"licence")</f>
        <v>0</v>
      </c>
      <c r="D59" s="157">
        <f>SUMIFS('caseload data'!F:F,'caseload data'!$A:$A,$B59,'caseload data'!$B:$B,"licence")</f>
        <v>0</v>
      </c>
      <c r="E59" s="157">
        <f>SUMIFS('caseload data'!G:G,'caseload data'!$A:$A,$B59,'caseload data'!$B:$B,"licence")</f>
        <v>0</v>
      </c>
      <c r="F59" s="157">
        <f>SUMIFS('caseload data'!H:H,'caseload data'!$A:$A,$B59,'caseload data'!$B:$B,"licence")</f>
        <v>0</v>
      </c>
      <c r="G59" s="157">
        <f>SUMIFS('caseload data'!I:I,'caseload data'!$A:$A,$B59,'caseload data'!$B:$B,"licence")</f>
        <v>0</v>
      </c>
      <c r="H59" s="157">
        <f>SUMIFS('caseload data'!J:J,'caseload data'!$A:$A,$B59,'caseload data'!$B:$B,"licence")</f>
        <v>0</v>
      </c>
      <c r="I59" s="157">
        <f>SUMIFS('caseload data'!K:K,'caseload data'!$A:$A,$B59,'caseload data'!$B:$B,"licence")</f>
        <v>0</v>
      </c>
      <c r="J59" s="157">
        <f>SUMIFS('caseload data'!L:L,'caseload data'!$A:$A,$B59,'caseload data'!$B:$B,"licence")</f>
        <v>0</v>
      </c>
      <c r="K59" s="157">
        <f>SUMIFS('caseload data'!M:M,'caseload data'!$A:$A,$B59,'caseload data'!$B:$B,"licence")</f>
        <v>0</v>
      </c>
      <c r="L59" s="157">
        <f>SUMIFS('caseload data'!N:N,'caseload data'!$A:$A,$B59,'caseload data'!$B:$B,"licence")</f>
        <v>0</v>
      </c>
      <c r="M59" s="157">
        <f>SUMIFS('caseload data'!O:O,'caseload data'!$A:$A,$B59,'caseload data'!$B:$B,"licence")</f>
        <v>0</v>
      </c>
      <c r="N59" s="157">
        <f>SUMIFS('caseload data'!P:P,'caseload data'!$A:$A,$B59,'caseload data'!$B:$B,"licence")</f>
        <v>0</v>
      </c>
      <c r="O59" s="157">
        <f>SUMIFS('caseload data'!Q:Q,'caseload data'!$A:$A,$B59,'caseload data'!$B:$B,"licence")</f>
        <v>0</v>
      </c>
      <c r="P59" s="157">
        <f>SUMIFS('caseload data'!R:R,'caseload data'!$A:$A,$B59,'caseload data'!$B:$B,"licence")</f>
        <v>0</v>
      </c>
      <c r="Q59" s="157">
        <f>SUMIFS('caseload data'!S:S,'caseload data'!$A:$A,$B59,'caseload data'!$B:$B,"licence")</f>
        <v>0</v>
      </c>
      <c r="R59" s="157">
        <f>SUMIFS('caseload data'!T:T,'caseload data'!$A:$A,$B59,'caseload data'!$B:$B,"licence")</f>
        <v>0</v>
      </c>
      <c r="S59" s="157">
        <f>SUMIFS('caseload data'!V:V,'caseload data'!$A:$A,B59,'caseload data'!$B:$B,"licence")</f>
        <v>0</v>
      </c>
      <c r="T59" s="76"/>
      <c r="U59" s="161" t="s">
        <v>30</v>
      </c>
      <c r="V59" s="78" t="e">
        <f t="shared" si="237"/>
        <v>#DIV/0!</v>
      </c>
      <c r="W59" s="78" t="e">
        <f t="shared" si="238"/>
        <v>#DIV/0!</v>
      </c>
      <c r="X59" s="78" t="e">
        <f t="shared" si="239"/>
        <v>#DIV/0!</v>
      </c>
      <c r="Y59" s="78" t="e">
        <f t="shared" si="240"/>
        <v>#DIV/0!</v>
      </c>
      <c r="Z59" s="78" t="e">
        <f t="shared" si="241"/>
        <v>#DIV/0!</v>
      </c>
      <c r="AA59" s="78" t="e">
        <f t="shared" si="242"/>
        <v>#DIV/0!</v>
      </c>
      <c r="AB59" s="78" t="e">
        <f t="shared" si="243"/>
        <v>#DIV/0!</v>
      </c>
      <c r="AC59" s="78" t="e">
        <f t="shared" si="244"/>
        <v>#DIV/0!</v>
      </c>
      <c r="AD59" s="78" t="e">
        <f t="shared" si="245"/>
        <v>#DIV/0!</v>
      </c>
      <c r="AE59" s="78" t="e">
        <f t="shared" si="246"/>
        <v>#DIV/0!</v>
      </c>
      <c r="AF59" s="78" t="e">
        <f t="shared" si="247"/>
        <v>#DIV/0!</v>
      </c>
      <c r="AG59" s="78" t="e">
        <f t="shared" si="248"/>
        <v>#DIV/0!</v>
      </c>
      <c r="AH59" s="78" t="e">
        <f t="shared" si="249"/>
        <v>#DIV/0!</v>
      </c>
      <c r="AI59" s="78" t="e">
        <f t="shared" si="250"/>
        <v>#DIV/0!</v>
      </c>
      <c r="AJ59" s="78" t="e">
        <f t="shared" si="251"/>
        <v>#DIV/0!</v>
      </c>
      <c r="AK59" s="78" t="e">
        <f t="shared" si="252"/>
        <v>#DIV/0!</v>
      </c>
    </row>
    <row r="60" spans="2:37" x14ac:dyDescent="0.15">
      <c r="B60" s="161" t="s">
        <v>34</v>
      </c>
      <c r="C60" s="157">
        <f>SUMIFS('caseload data'!E:E,'caseload data'!$A:$A,$B60,'caseload data'!$B:$B,"licence")</f>
        <v>0</v>
      </c>
      <c r="D60" s="157">
        <f>SUMIFS('caseload data'!F:F,'caseload data'!$A:$A,$B60,'caseload data'!$B:$B,"licence")</f>
        <v>0</v>
      </c>
      <c r="E60" s="157">
        <f>SUMIFS('caseload data'!G:G,'caseload data'!$A:$A,$B60,'caseload data'!$B:$B,"licence")</f>
        <v>0</v>
      </c>
      <c r="F60" s="157">
        <f>SUMIFS('caseload data'!H:H,'caseload data'!$A:$A,$B60,'caseload data'!$B:$B,"licence")</f>
        <v>0</v>
      </c>
      <c r="G60" s="157">
        <f>SUMIFS('caseload data'!I:I,'caseload data'!$A:$A,$B60,'caseload data'!$B:$B,"licence")</f>
        <v>0</v>
      </c>
      <c r="H60" s="157">
        <f>SUMIFS('caseload data'!J:J,'caseload data'!$A:$A,$B60,'caseload data'!$B:$B,"licence")</f>
        <v>0</v>
      </c>
      <c r="I60" s="157">
        <f>SUMIFS('caseload data'!K:K,'caseload data'!$A:$A,$B60,'caseload data'!$B:$B,"licence")</f>
        <v>0</v>
      </c>
      <c r="J60" s="157">
        <f>SUMIFS('caseload data'!L:L,'caseload data'!$A:$A,$B60,'caseload data'!$B:$B,"licence")</f>
        <v>0</v>
      </c>
      <c r="K60" s="157">
        <f>SUMIFS('caseload data'!M:M,'caseload data'!$A:$A,$B60,'caseload data'!$B:$B,"licence")</f>
        <v>0</v>
      </c>
      <c r="L60" s="157">
        <f>SUMIFS('caseload data'!N:N,'caseload data'!$A:$A,$B60,'caseload data'!$B:$B,"licence")</f>
        <v>0</v>
      </c>
      <c r="M60" s="157">
        <f>SUMIFS('caseload data'!O:O,'caseload data'!$A:$A,$B60,'caseload data'!$B:$B,"licence")</f>
        <v>0</v>
      </c>
      <c r="N60" s="157">
        <f>SUMIFS('caseload data'!P:P,'caseload data'!$A:$A,$B60,'caseload data'!$B:$B,"licence")</f>
        <v>0</v>
      </c>
      <c r="O60" s="157">
        <f>SUMIFS('caseload data'!Q:Q,'caseload data'!$A:$A,$B60,'caseload data'!$B:$B,"licence")</f>
        <v>0</v>
      </c>
      <c r="P60" s="157">
        <f>SUMIFS('caseload data'!R:R,'caseload data'!$A:$A,$B60,'caseload data'!$B:$B,"licence")</f>
        <v>0</v>
      </c>
      <c r="Q60" s="157">
        <f>SUMIFS('caseload data'!S:S,'caseload data'!$A:$A,$B60,'caseload data'!$B:$B,"licence")</f>
        <v>0</v>
      </c>
      <c r="R60" s="157">
        <f>SUMIFS('caseload data'!T:T,'caseload data'!$A:$A,$B60,'caseload data'!$B:$B,"licence")</f>
        <v>0</v>
      </c>
      <c r="S60" s="157">
        <f>SUMIFS('caseload data'!V:V,'caseload data'!$A:$A,B60,'caseload data'!$B:$B,"licence")</f>
        <v>0</v>
      </c>
      <c r="T60" s="76"/>
      <c r="U60" s="161" t="s">
        <v>34</v>
      </c>
      <c r="V60" s="78" t="e">
        <f t="shared" si="237"/>
        <v>#DIV/0!</v>
      </c>
      <c r="W60" s="78" t="e">
        <f t="shared" si="238"/>
        <v>#DIV/0!</v>
      </c>
      <c r="X60" s="78" t="e">
        <f t="shared" si="239"/>
        <v>#DIV/0!</v>
      </c>
      <c r="Y60" s="78" t="e">
        <f t="shared" si="240"/>
        <v>#DIV/0!</v>
      </c>
      <c r="Z60" s="78" t="e">
        <f t="shared" si="241"/>
        <v>#DIV/0!</v>
      </c>
      <c r="AA60" s="78" t="e">
        <f t="shared" si="242"/>
        <v>#DIV/0!</v>
      </c>
      <c r="AB60" s="78" t="e">
        <f t="shared" si="243"/>
        <v>#DIV/0!</v>
      </c>
      <c r="AC60" s="78" t="e">
        <f t="shared" si="244"/>
        <v>#DIV/0!</v>
      </c>
      <c r="AD60" s="78" t="e">
        <f t="shared" si="245"/>
        <v>#DIV/0!</v>
      </c>
      <c r="AE60" s="78" t="e">
        <f t="shared" si="246"/>
        <v>#DIV/0!</v>
      </c>
      <c r="AF60" s="78" t="e">
        <f t="shared" si="247"/>
        <v>#DIV/0!</v>
      </c>
      <c r="AG60" s="78" t="e">
        <f t="shared" si="248"/>
        <v>#DIV/0!</v>
      </c>
      <c r="AH60" s="78" t="e">
        <f t="shared" si="249"/>
        <v>#DIV/0!</v>
      </c>
      <c r="AI60" s="78" t="e">
        <f t="shared" si="250"/>
        <v>#DIV/0!</v>
      </c>
      <c r="AJ60" s="78" t="e">
        <f t="shared" si="251"/>
        <v>#DIV/0!</v>
      </c>
      <c r="AK60" s="78" t="e">
        <f t="shared" si="252"/>
        <v>#DIV/0!</v>
      </c>
    </row>
    <row r="61" spans="2:37" x14ac:dyDescent="0.15">
      <c r="B61" s="123" t="s">
        <v>1036</v>
      </c>
      <c r="C61" s="159">
        <f>SUMIF('caseload data'!$B:$B,"licence",'caseload data'!E:E)</f>
        <v>0</v>
      </c>
      <c r="D61" s="159">
        <f>SUMIF('caseload data'!$B:$B,"licence",'caseload data'!F:F)</f>
        <v>0</v>
      </c>
      <c r="E61" s="159">
        <f>SUMIF('caseload data'!$B:$B,"licence",'caseload data'!G:G)</f>
        <v>0</v>
      </c>
      <c r="F61" s="159">
        <f>SUMIF('caseload data'!$B:$B,"licence",'caseload data'!H:H)</f>
        <v>0</v>
      </c>
      <c r="G61" s="159">
        <f>SUMIF('caseload data'!$B:$B,"licence",'caseload data'!I:I)</f>
        <v>0</v>
      </c>
      <c r="H61" s="159">
        <f>SUMIF('caseload data'!$B:$B,"licence",'caseload data'!J:J)</f>
        <v>0</v>
      </c>
      <c r="I61" s="159">
        <f>SUMIF('caseload data'!$B:$B,"licence",'caseload data'!K:K)</f>
        <v>0</v>
      </c>
      <c r="J61" s="159">
        <f>SUMIF('caseload data'!$B:$B,"licence",'caseload data'!L:L)</f>
        <v>0</v>
      </c>
      <c r="K61" s="159">
        <f>SUMIF('caseload data'!$B:$B,"licence",'caseload data'!M:M)</f>
        <v>0</v>
      </c>
      <c r="L61" s="159">
        <f>SUMIF('caseload data'!$B:$B,"licence",'caseload data'!N:N)</f>
        <v>0</v>
      </c>
      <c r="M61" s="159">
        <f>SUMIF('caseload data'!$B:$B,"licence",'caseload data'!O:O)</f>
        <v>0</v>
      </c>
      <c r="N61" s="159">
        <f>SUMIF('caseload data'!$B:$B,"licence",'caseload data'!P:P)</f>
        <v>0</v>
      </c>
      <c r="O61" s="159">
        <f>SUMIF('caseload data'!$B:$B,"licence",'caseload data'!Q:Q)</f>
        <v>0</v>
      </c>
      <c r="P61" s="159">
        <f>SUMIF('caseload data'!$B:$B,"licence",'caseload data'!R:R)</f>
        <v>0</v>
      </c>
      <c r="Q61" s="159">
        <f>SUMIF('caseload data'!$B:$B,"licence",'caseload data'!S:S)</f>
        <v>0</v>
      </c>
      <c r="R61" s="159">
        <f>SUMIF('caseload data'!$B:$B,"licence",'caseload data'!T:T)</f>
        <v>0</v>
      </c>
      <c r="S61" s="159">
        <f>SUMIF('caseload data'!$B:$B,"licence",'caseload data'!V:V)</f>
        <v>0</v>
      </c>
      <c r="T61" s="76"/>
      <c r="U61" s="123" t="s">
        <v>1036</v>
      </c>
      <c r="V61" s="128" t="e">
        <f>C61/$S$61</f>
        <v>#DIV/0!</v>
      </c>
      <c r="W61" s="128" t="e">
        <f t="shared" ref="W61:AK61" si="253">D61/$S$61</f>
        <v>#DIV/0!</v>
      </c>
      <c r="X61" s="128" t="e">
        <f t="shared" si="253"/>
        <v>#DIV/0!</v>
      </c>
      <c r="Y61" s="128" t="e">
        <f t="shared" si="253"/>
        <v>#DIV/0!</v>
      </c>
      <c r="Z61" s="128" t="e">
        <f t="shared" si="253"/>
        <v>#DIV/0!</v>
      </c>
      <c r="AA61" s="128" t="e">
        <f t="shared" si="253"/>
        <v>#DIV/0!</v>
      </c>
      <c r="AB61" s="128" t="e">
        <f t="shared" si="253"/>
        <v>#DIV/0!</v>
      </c>
      <c r="AC61" s="128" t="e">
        <f t="shared" si="253"/>
        <v>#DIV/0!</v>
      </c>
      <c r="AD61" s="128" t="e">
        <f t="shared" si="253"/>
        <v>#DIV/0!</v>
      </c>
      <c r="AE61" s="128" t="e">
        <f t="shared" si="253"/>
        <v>#DIV/0!</v>
      </c>
      <c r="AF61" s="128" t="e">
        <f t="shared" si="253"/>
        <v>#DIV/0!</v>
      </c>
      <c r="AG61" s="128" t="e">
        <f t="shared" si="253"/>
        <v>#DIV/0!</v>
      </c>
      <c r="AH61" s="128" t="e">
        <f t="shared" si="253"/>
        <v>#DIV/0!</v>
      </c>
      <c r="AI61" s="128" t="e">
        <f t="shared" si="253"/>
        <v>#DIV/0!</v>
      </c>
      <c r="AJ61" s="128" t="e">
        <f t="shared" si="253"/>
        <v>#DIV/0!</v>
      </c>
      <c r="AK61" s="128" t="e">
        <f t="shared" si="253"/>
        <v>#DIV/0!</v>
      </c>
    </row>
    <row r="63" spans="2:37" ht="16" x14ac:dyDescent="0.2">
      <c r="C63" s="286" t="s">
        <v>1254</v>
      </c>
      <c r="D63" s="287"/>
      <c r="E63" s="287"/>
      <c r="F63" s="287"/>
      <c r="G63" s="287"/>
      <c r="H63" s="287"/>
      <c r="I63" s="287"/>
      <c r="J63" s="287"/>
      <c r="K63" s="287"/>
      <c r="L63" s="287"/>
      <c r="M63" s="287"/>
      <c r="N63" s="287"/>
      <c r="O63" s="287"/>
      <c r="P63" s="287"/>
      <c r="Q63" s="287"/>
      <c r="R63" s="287"/>
      <c r="S63" s="331"/>
      <c r="V63" s="332" t="s">
        <v>1255</v>
      </c>
      <c r="W63" s="332"/>
      <c r="X63" s="332"/>
      <c r="Y63" s="332"/>
      <c r="Z63" s="332"/>
      <c r="AA63" s="332"/>
      <c r="AB63" s="332"/>
    </row>
    <row r="64" spans="2:37" x14ac:dyDescent="0.15">
      <c r="B64" s="156"/>
      <c r="C64" s="42" t="s">
        <v>1019</v>
      </c>
      <c r="D64" s="42" t="s">
        <v>1020</v>
      </c>
      <c r="E64" s="42" t="s">
        <v>1021</v>
      </c>
      <c r="F64" s="42" t="s">
        <v>1022</v>
      </c>
      <c r="G64" s="42" t="s">
        <v>1023</v>
      </c>
      <c r="H64" s="42" t="s">
        <v>1024</v>
      </c>
      <c r="I64" s="42" t="s">
        <v>1025</v>
      </c>
      <c r="J64" s="42" t="s">
        <v>1026</v>
      </c>
      <c r="K64" s="42" t="s">
        <v>1027</v>
      </c>
      <c r="L64" s="42" t="s">
        <v>1028</v>
      </c>
      <c r="M64" s="42" t="s">
        <v>1029</v>
      </c>
      <c r="N64" s="42" t="s">
        <v>1030</v>
      </c>
      <c r="O64" s="42" t="s">
        <v>1031</v>
      </c>
      <c r="P64" s="42" t="s">
        <v>1032</v>
      </c>
      <c r="Q64" s="42" t="s">
        <v>1033</v>
      </c>
      <c r="R64" s="42" t="s">
        <v>1034</v>
      </c>
      <c r="S64" s="43" t="s">
        <v>1036</v>
      </c>
      <c r="T64" s="76"/>
      <c r="U64" s="156"/>
      <c r="V64" s="42" t="s">
        <v>1019</v>
      </c>
      <c r="W64" s="42" t="s">
        <v>1020</v>
      </c>
      <c r="X64" s="42" t="s">
        <v>1021</v>
      </c>
      <c r="Y64" s="42" t="s">
        <v>1022</v>
      </c>
      <c r="Z64" s="42" t="s">
        <v>1023</v>
      </c>
      <c r="AA64" s="42" t="s">
        <v>1024</v>
      </c>
      <c r="AB64" s="42" t="s">
        <v>1025</v>
      </c>
      <c r="AC64" s="42" t="s">
        <v>1026</v>
      </c>
      <c r="AD64" s="42" t="s">
        <v>1027</v>
      </c>
      <c r="AE64" s="42" t="s">
        <v>1028</v>
      </c>
      <c r="AF64" s="42" t="s">
        <v>1029</v>
      </c>
      <c r="AG64" s="42" t="s">
        <v>1030</v>
      </c>
      <c r="AH64" s="42" t="s">
        <v>1031</v>
      </c>
      <c r="AI64" s="42" t="s">
        <v>1032</v>
      </c>
      <c r="AJ64" s="42" t="s">
        <v>1033</v>
      </c>
      <c r="AK64" s="42" t="s">
        <v>1034</v>
      </c>
    </row>
    <row r="65" spans="2:37" x14ac:dyDescent="0.15">
      <c r="B65" s="161" t="s">
        <v>1355</v>
      </c>
      <c r="C65" s="157">
        <f>SUMIFS('caseload data'!E:E,'caseload data'!$A:$A,$B65,'caseload data'!$B:$B,"community")</f>
        <v>0</v>
      </c>
      <c r="D65" s="157">
        <f>SUMIFS('caseload data'!F:F,'caseload data'!$A:$A,$B65,'caseload data'!$B:$B,"community")</f>
        <v>0</v>
      </c>
      <c r="E65" s="157">
        <f>SUMIFS('caseload data'!G:G,'caseload data'!$A:$A,$B65,'caseload data'!$B:$B,"community")</f>
        <v>0</v>
      </c>
      <c r="F65" s="157">
        <f>SUMIFS('caseload data'!H:H,'caseload data'!$A:$A,$B65,'caseload data'!$B:$B,"community")</f>
        <v>0</v>
      </c>
      <c r="G65" s="157">
        <f>SUMIFS('caseload data'!I:I,'caseload data'!$A:$A,$B65,'caseload data'!$B:$B,"community")</f>
        <v>0</v>
      </c>
      <c r="H65" s="157">
        <f>SUMIFS('caseload data'!J:J,'caseload data'!$A:$A,$B65,'caseload data'!$B:$B,"community")</f>
        <v>0</v>
      </c>
      <c r="I65" s="157">
        <f>SUMIFS('caseload data'!K:K,'caseload data'!$A:$A,$B65,'caseload data'!$B:$B,"community")</f>
        <v>0</v>
      </c>
      <c r="J65" s="157">
        <f>SUMIFS('caseload data'!L:L,'caseload data'!$A:$A,$B65,'caseload data'!$B:$B,"community")</f>
        <v>0</v>
      </c>
      <c r="K65" s="157">
        <f>SUMIFS('caseload data'!M:M,'caseload data'!$A:$A,$B65,'caseload data'!$B:$B,"community")</f>
        <v>0</v>
      </c>
      <c r="L65" s="157">
        <f>SUMIFS('caseload data'!N:N,'caseload data'!$A:$A,$B65,'caseload data'!$B:$B,"community")</f>
        <v>0</v>
      </c>
      <c r="M65" s="157">
        <f>SUMIFS('caseload data'!O:O,'caseload data'!$A:$A,$B65,'caseload data'!$B:$B,"community")</f>
        <v>0</v>
      </c>
      <c r="N65" s="157">
        <f>SUMIFS('caseload data'!P:P,'caseload data'!$A:$A,$B65,'caseload data'!$B:$B,"community")</f>
        <v>0</v>
      </c>
      <c r="O65" s="157">
        <f>SUMIFS('caseload data'!Q:Q,'caseload data'!$A:$A,$B65,'caseload data'!$B:$B,"community")</f>
        <v>0</v>
      </c>
      <c r="P65" s="157">
        <f>SUMIFS('caseload data'!R:R,'caseload data'!$A:$A,$B65,'caseload data'!$B:$B,"community")</f>
        <v>0</v>
      </c>
      <c r="Q65" s="157">
        <f>SUMIFS('caseload data'!S:S,'caseload data'!$A:$A,$B65,'caseload data'!$B:$B,"community")</f>
        <v>0</v>
      </c>
      <c r="R65" s="157">
        <f>SUMIFS('caseload data'!T:T,'caseload data'!$A:$A,$B65,'caseload data'!$B:$B,"community")</f>
        <v>0</v>
      </c>
      <c r="S65" s="157">
        <f>SUMIFS('caseload data'!V:V,'caseload data'!$A:$A,B65,'caseload data'!$B:$B,"community")</f>
        <v>0</v>
      </c>
      <c r="T65" s="76"/>
      <c r="U65" s="161" t="s">
        <v>1355</v>
      </c>
      <c r="V65" s="78" t="e">
        <f>C65/$S$65</f>
        <v>#DIV/0!</v>
      </c>
      <c r="W65" s="78" t="e">
        <f t="shared" ref="W65:AK65" si="254">D65/$S$65</f>
        <v>#DIV/0!</v>
      </c>
      <c r="X65" s="78" t="e">
        <f t="shared" si="254"/>
        <v>#DIV/0!</v>
      </c>
      <c r="Y65" s="78" t="e">
        <f t="shared" si="254"/>
        <v>#DIV/0!</v>
      </c>
      <c r="Z65" s="78" t="e">
        <f t="shared" si="254"/>
        <v>#DIV/0!</v>
      </c>
      <c r="AA65" s="78" t="e">
        <f t="shared" si="254"/>
        <v>#DIV/0!</v>
      </c>
      <c r="AB65" s="78" t="e">
        <f t="shared" si="254"/>
        <v>#DIV/0!</v>
      </c>
      <c r="AC65" s="78" t="e">
        <f t="shared" si="254"/>
        <v>#DIV/0!</v>
      </c>
      <c r="AD65" s="78" t="e">
        <f t="shared" si="254"/>
        <v>#DIV/0!</v>
      </c>
      <c r="AE65" s="78" t="e">
        <f t="shared" si="254"/>
        <v>#DIV/0!</v>
      </c>
      <c r="AF65" s="78" t="e">
        <f t="shared" si="254"/>
        <v>#DIV/0!</v>
      </c>
      <c r="AG65" s="78" t="e">
        <f t="shared" si="254"/>
        <v>#DIV/0!</v>
      </c>
      <c r="AH65" s="78" t="e">
        <f t="shared" si="254"/>
        <v>#DIV/0!</v>
      </c>
      <c r="AI65" s="78" t="e">
        <f t="shared" si="254"/>
        <v>#DIV/0!</v>
      </c>
      <c r="AJ65" s="78" t="e">
        <f t="shared" si="254"/>
        <v>#DIV/0!</v>
      </c>
      <c r="AK65" s="78" t="e">
        <f t="shared" si="254"/>
        <v>#DIV/0!</v>
      </c>
    </row>
    <row r="66" spans="2:37" x14ac:dyDescent="0.15">
      <c r="B66" s="161" t="s">
        <v>20</v>
      </c>
      <c r="C66" s="157">
        <f>SUMIFS('caseload data'!E:E,'caseload data'!$A:$A,$B66,'caseload data'!$B:$B,"community")</f>
        <v>0</v>
      </c>
      <c r="D66" s="157">
        <f>SUMIFS('caseload data'!F:F,'caseload data'!$A:$A,$B66,'caseload data'!$B:$B,"community")</f>
        <v>0</v>
      </c>
      <c r="E66" s="157">
        <f>SUMIFS('caseload data'!G:G,'caseload data'!$A:$A,$B66,'caseload data'!$B:$B,"community")</f>
        <v>0</v>
      </c>
      <c r="F66" s="157">
        <f>SUMIFS('caseload data'!H:H,'caseload data'!$A:$A,$B66,'caseload data'!$B:$B,"community")</f>
        <v>0</v>
      </c>
      <c r="G66" s="157">
        <f>SUMIFS('caseload data'!I:I,'caseload data'!$A:$A,$B66,'caseload data'!$B:$B,"community")</f>
        <v>0</v>
      </c>
      <c r="H66" s="157">
        <f>SUMIFS('caseload data'!J:J,'caseload data'!$A:$A,$B66,'caseload data'!$B:$B,"community")</f>
        <v>0</v>
      </c>
      <c r="I66" s="157">
        <f>SUMIFS('caseload data'!K:K,'caseload data'!$A:$A,$B66,'caseload data'!$B:$B,"community")</f>
        <v>0</v>
      </c>
      <c r="J66" s="157">
        <f>SUMIFS('caseload data'!L:L,'caseload data'!$A:$A,$B66,'caseload data'!$B:$B,"community")</f>
        <v>0</v>
      </c>
      <c r="K66" s="157">
        <f>SUMIFS('caseload data'!M:M,'caseload data'!$A:$A,$B66,'caseload data'!$B:$B,"community")</f>
        <v>0</v>
      </c>
      <c r="L66" s="157">
        <f>SUMIFS('caseload data'!N:N,'caseload data'!$A:$A,$B66,'caseload data'!$B:$B,"community")</f>
        <v>0</v>
      </c>
      <c r="M66" s="157">
        <f>SUMIFS('caseload data'!O:O,'caseload data'!$A:$A,$B66,'caseload data'!$B:$B,"community")</f>
        <v>0</v>
      </c>
      <c r="N66" s="157">
        <f>SUMIFS('caseload data'!P:P,'caseload data'!$A:$A,$B66,'caseload data'!$B:$B,"community")</f>
        <v>0</v>
      </c>
      <c r="O66" s="157">
        <f>SUMIFS('caseload data'!Q:Q,'caseload data'!$A:$A,$B66,'caseload data'!$B:$B,"community")</f>
        <v>0</v>
      </c>
      <c r="P66" s="157">
        <f>SUMIFS('caseload data'!R:R,'caseload data'!$A:$A,$B66,'caseload data'!$B:$B,"community")</f>
        <v>0</v>
      </c>
      <c r="Q66" s="157">
        <f>SUMIFS('caseload data'!S:S,'caseload data'!$A:$A,$B66,'caseload data'!$B:$B,"community")</f>
        <v>0</v>
      </c>
      <c r="R66" s="157">
        <f>SUMIFS('caseload data'!T:T,'caseload data'!$A:$A,$B66,'caseload data'!$B:$B,"community")</f>
        <v>0</v>
      </c>
      <c r="S66" s="157">
        <f>SUMIFS('caseload data'!V:V,'caseload data'!$A:$A,B66,'caseload data'!$B:$B,"community")</f>
        <v>0</v>
      </c>
      <c r="T66" s="76"/>
      <c r="U66" s="161" t="s">
        <v>20</v>
      </c>
      <c r="V66" s="78" t="e">
        <f>C66/$S$66</f>
        <v>#DIV/0!</v>
      </c>
      <c r="W66" s="78" t="e">
        <f t="shared" ref="W66:AK66" si="255">D66/$S$66</f>
        <v>#DIV/0!</v>
      </c>
      <c r="X66" s="78" t="e">
        <f t="shared" si="255"/>
        <v>#DIV/0!</v>
      </c>
      <c r="Y66" s="78" t="e">
        <f t="shared" si="255"/>
        <v>#DIV/0!</v>
      </c>
      <c r="Z66" s="78" t="e">
        <f t="shared" si="255"/>
        <v>#DIV/0!</v>
      </c>
      <c r="AA66" s="78" t="e">
        <f t="shared" si="255"/>
        <v>#DIV/0!</v>
      </c>
      <c r="AB66" s="78" t="e">
        <f t="shared" si="255"/>
        <v>#DIV/0!</v>
      </c>
      <c r="AC66" s="78" t="e">
        <f t="shared" si="255"/>
        <v>#DIV/0!</v>
      </c>
      <c r="AD66" s="78" t="e">
        <f t="shared" si="255"/>
        <v>#DIV/0!</v>
      </c>
      <c r="AE66" s="78" t="e">
        <f t="shared" si="255"/>
        <v>#DIV/0!</v>
      </c>
      <c r="AF66" s="78" t="e">
        <f t="shared" si="255"/>
        <v>#DIV/0!</v>
      </c>
      <c r="AG66" s="78" t="e">
        <f t="shared" si="255"/>
        <v>#DIV/0!</v>
      </c>
      <c r="AH66" s="78" t="e">
        <f t="shared" si="255"/>
        <v>#DIV/0!</v>
      </c>
      <c r="AI66" s="78" t="e">
        <f t="shared" si="255"/>
        <v>#DIV/0!</v>
      </c>
      <c r="AJ66" s="78" t="e">
        <f t="shared" si="255"/>
        <v>#DIV/0!</v>
      </c>
      <c r="AK66" s="78" t="e">
        <f t="shared" si="255"/>
        <v>#DIV/0!</v>
      </c>
    </row>
    <row r="67" spans="2:37" x14ac:dyDescent="0.15">
      <c r="B67" s="161" t="s">
        <v>21</v>
      </c>
      <c r="C67" s="157">
        <f>SUMIFS('caseload data'!E:E,'caseload data'!$A:$A,$B67,'caseload data'!$B:$B,"community")</f>
        <v>0</v>
      </c>
      <c r="D67" s="157">
        <f>SUMIFS('caseload data'!F:F,'caseload data'!$A:$A,$B67,'caseload data'!$B:$B,"community")</f>
        <v>0</v>
      </c>
      <c r="E67" s="157">
        <f>SUMIFS('caseload data'!G:G,'caseload data'!$A:$A,$B67,'caseload data'!$B:$B,"community")</f>
        <v>0</v>
      </c>
      <c r="F67" s="157">
        <f>SUMIFS('caseload data'!H:H,'caseload data'!$A:$A,$B67,'caseload data'!$B:$B,"community")</f>
        <v>0</v>
      </c>
      <c r="G67" s="157">
        <f>SUMIFS('caseload data'!I:I,'caseload data'!$A:$A,$B67,'caseload data'!$B:$B,"community")</f>
        <v>0</v>
      </c>
      <c r="H67" s="157">
        <f>SUMIFS('caseload data'!J:J,'caseload data'!$A:$A,$B67,'caseload data'!$B:$B,"community")</f>
        <v>0</v>
      </c>
      <c r="I67" s="157">
        <f>SUMIFS('caseload data'!K:K,'caseload data'!$A:$A,$B67,'caseload data'!$B:$B,"community")</f>
        <v>0</v>
      </c>
      <c r="J67" s="157">
        <f>SUMIFS('caseload data'!L:L,'caseload data'!$A:$A,$B67,'caseload data'!$B:$B,"community")</f>
        <v>0</v>
      </c>
      <c r="K67" s="157">
        <f>SUMIFS('caseload data'!M:M,'caseload data'!$A:$A,$B67,'caseload data'!$B:$B,"community")</f>
        <v>0</v>
      </c>
      <c r="L67" s="157">
        <f>SUMIFS('caseload data'!N:N,'caseload data'!$A:$A,$B67,'caseload data'!$B:$B,"community")</f>
        <v>0</v>
      </c>
      <c r="M67" s="157">
        <f>SUMIFS('caseload data'!O:O,'caseload data'!$A:$A,$B67,'caseload data'!$B:$B,"community")</f>
        <v>0</v>
      </c>
      <c r="N67" s="157">
        <f>SUMIFS('caseload data'!P:P,'caseload data'!$A:$A,$B67,'caseload data'!$B:$B,"community")</f>
        <v>0</v>
      </c>
      <c r="O67" s="157">
        <f>SUMIFS('caseload data'!Q:Q,'caseload data'!$A:$A,$B67,'caseload data'!$B:$B,"community")</f>
        <v>0</v>
      </c>
      <c r="P67" s="157">
        <f>SUMIFS('caseload data'!R:R,'caseload data'!$A:$A,$B67,'caseload data'!$B:$B,"community")</f>
        <v>0</v>
      </c>
      <c r="Q67" s="157">
        <f>SUMIFS('caseload data'!S:S,'caseload data'!$A:$A,$B67,'caseload data'!$B:$B,"community")</f>
        <v>0</v>
      </c>
      <c r="R67" s="157">
        <f>SUMIFS('caseload data'!T:T,'caseload data'!$A:$A,$B67,'caseload data'!$B:$B,"community")</f>
        <v>0</v>
      </c>
      <c r="S67" s="157">
        <f>SUMIFS('caseload data'!V:V,'caseload data'!$A:$A,B67,'caseload data'!$B:$B,"community")</f>
        <v>0</v>
      </c>
      <c r="T67" s="76"/>
      <c r="U67" s="161" t="s">
        <v>21</v>
      </c>
      <c r="V67" s="78" t="e">
        <f>C67/$S$67</f>
        <v>#DIV/0!</v>
      </c>
      <c r="W67" s="78" t="e">
        <f t="shared" ref="W67:AK67" si="256">D67/$S$67</f>
        <v>#DIV/0!</v>
      </c>
      <c r="X67" s="78" t="e">
        <f t="shared" si="256"/>
        <v>#DIV/0!</v>
      </c>
      <c r="Y67" s="78" t="e">
        <f t="shared" si="256"/>
        <v>#DIV/0!</v>
      </c>
      <c r="Z67" s="78" t="e">
        <f t="shared" si="256"/>
        <v>#DIV/0!</v>
      </c>
      <c r="AA67" s="78" t="e">
        <f t="shared" si="256"/>
        <v>#DIV/0!</v>
      </c>
      <c r="AB67" s="78" t="e">
        <f t="shared" si="256"/>
        <v>#DIV/0!</v>
      </c>
      <c r="AC67" s="78" t="e">
        <f t="shared" si="256"/>
        <v>#DIV/0!</v>
      </c>
      <c r="AD67" s="78" t="e">
        <f t="shared" si="256"/>
        <v>#DIV/0!</v>
      </c>
      <c r="AE67" s="78" t="e">
        <f t="shared" si="256"/>
        <v>#DIV/0!</v>
      </c>
      <c r="AF67" s="78" t="e">
        <f t="shared" si="256"/>
        <v>#DIV/0!</v>
      </c>
      <c r="AG67" s="78" t="e">
        <f t="shared" si="256"/>
        <v>#DIV/0!</v>
      </c>
      <c r="AH67" s="78" t="e">
        <f t="shared" si="256"/>
        <v>#DIV/0!</v>
      </c>
      <c r="AI67" s="78" t="e">
        <f t="shared" si="256"/>
        <v>#DIV/0!</v>
      </c>
      <c r="AJ67" s="78" t="e">
        <f t="shared" si="256"/>
        <v>#DIV/0!</v>
      </c>
      <c r="AK67" s="78" t="e">
        <f t="shared" si="256"/>
        <v>#DIV/0!</v>
      </c>
    </row>
    <row r="68" spans="2:37" x14ac:dyDescent="0.15">
      <c r="B68" s="161" t="s">
        <v>1357</v>
      </c>
      <c r="C68" s="157">
        <f>SUMIFS('caseload data'!E:E,'caseload data'!$A:$A,$B68,'caseload data'!$B:$B,"community")</f>
        <v>0</v>
      </c>
      <c r="D68" s="157">
        <f>SUMIFS('caseload data'!F:F,'caseload data'!$A:$A,$B68,'caseload data'!$B:$B,"community")</f>
        <v>0</v>
      </c>
      <c r="E68" s="157">
        <f>SUMIFS('caseload data'!G:G,'caseload data'!$A:$A,$B68,'caseload data'!$B:$B,"community")</f>
        <v>0</v>
      </c>
      <c r="F68" s="157">
        <f>SUMIFS('caseload data'!H:H,'caseload data'!$A:$A,$B68,'caseload data'!$B:$B,"community")</f>
        <v>0</v>
      </c>
      <c r="G68" s="157">
        <f>SUMIFS('caseload data'!I:I,'caseload data'!$A:$A,$B68,'caseload data'!$B:$B,"community")</f>
        <v>0</v>
      </c>
      <c r="H68" s="157">
        <f>SUMIFS('caseload data'!J:J,'caseload data'!$A:$A,$B68,'caseload data'!$B:$B,"community")</f>
        <v>0</v>
      </c>
      <c r="I68" s="157">
        <f>SUMIFS('caseload data'!K:K,'caseload data'!$A:$A,$B68,'caseload data'!$B:$B,"community")</f>
        <v>0</v>
      </c>
      <c r="J68" s="157">
        <f>SUMIFS('caseload data'!L:L,'caseload data'!$A:$A,$B68,'caseload data'!$B:$B,"community")</f>
        <v>0</v>
      </c>
      <c r="K68" s="157">
        <f>SUMIFS('caseload data'!M:M,'caseload data'!$A:$A,$B68,'caseload data'!$B:$B,"community")</f>
        <v>0</v>
      </c>
      <c r="L68" s="157">
        <f>SUMIFS('caseload data'!N:N,'caseload data'!$A:$A,$B68,'caseload data'!$B:$B,"community")</f>
        <v>0</v>
      </c>
      <c r="M68" s="157">
        <f>SUMIFS('caseload data'!O:O,'caseload data'!$A:$A,$B68,'caseload data'!$B:$B,"community")</f>
        <v>0</v>
      </c>
      <c r="N68" s="157">
        <f>SUMIFS('caseload data'!P:P,'caseload data'!$A:$A,$B68,'caseload data'!$B:$B,"community")</f>
        <v>0</v>
      </c>
      <c r="O68" s="157">
        <f>SUMIFS('caseload data'!Q:Q,'caseload data'!$A:$A,$B68,'caseload data'!$B:$B,"community")</f>
        <v>0</v>
      </c>
      <c r="P68" s="157">
        <f>SUMIFS('caseload data'!R:R,'caseload data'!$A:$A,$B68,'caseload data'!$B:$B,"community")</f>
        <v>0</v>
      </c>
      <c r="Q68" s="157">
        <f>SUMIFS('caseload data'!S:S,'caseload data'!$A:$A,$B68,'caseload data'!$B:$B,"community")</f>
        <v>0</v>
      </c>
      <c r="R68" s="157">
        <f>SUMIFS('caseload data'!T:T,'caseload data'!$A:$A,$B68,'caseload data'!$B:$B,"community")</f>
        <v>0</v>
      </c>
      <c r="S68" s="157">
        <f>SUMIFS('caseload data'!V:V,'caseload data'!$A:$A,B68,'caseload data'!$B:$B,"community")</f>
        <v>0</v>
      </c>
      <c r="T68" s="76"/>
      <c r="U68" s="161" t="s">
        <v>1357</v>
      </c>
      <c r="V68" s="78" t="e">
        <f>C68/$S$68</f>
        <v>#DIV/0!</v>
      </c>
      <c r="W68" s="78" t="e">
        <f t="shared" ref="W68:AK68" si="257">D68/$S$68</f>
        <v>#DIV/0!</v>
      </c>
      <c r="X68" s="78" t="e">
        <f t="shared" si="257"/>
        <v>#DIV/0!</v>
      </c>
      <c r="Y68" s="78" t="e">
        <f t="shared" si="257"/>
        <v>#DIV/0!</v>
      </c>
      <c r="Z68" s="78" t="e">
        <f t="shared" si="257"/>
        <v>#DIV/0!</v>
      </c>
      <c r="AA68" s="78" t="e">
        <f t="shared" si="257"/>
        <v>#DIV/0!</v>
      </c>
      <c r="AB68" s="78" t="e">
        <f t="shared" si="257"/>
        <v>#DIV/0!</v>
      </c>
      <c r="AC68" s="78" t="e">
        <f t="shared" si="257"/>
        <v>#DIV/0!</v>
      </c>
      <c r="AD68" s="78" t="e">
        <f t="shared" si="257"/>
        <v>#DIV/0!</v>
      </c>
      <c r="AE68" s="78" t="e">
        <f t="shared" si="257"/>
        <v>#DIV/0!</v>
      </c>
      <c r="AF68" s="78" t="e">
        <f t="shared" si="257"/>
        <v>#DIV/0!</v>
      </c>
      <c r="AG68" s="78" t="e">
        <f t="shared" si="257"/>
        <v>#DIV/0!</v>
      </c>
      <c r="AH68" s="78" t="e">
        <f t="shared" si="257"/>
        <v>#DIV/0!</v>
      </c>
      <c r="AI68" s="78" t="e">
        <f t="shared" si="257"/>
        <v>#DIV/0!</v>
      </c>
      <c r="AJ68" s="78" t="e">
        <f t="shared" si="257"/>
        <v>#DIV/0!</v>
      </c>
      <c r="AK68" s="78" t="e">
        <f t="shared" si="257"/>
        <v>#DIV/0!</v>
      </c>
    </row>
    <row r="69" spans="2:37" x14ac:dyDescent="0.15">
      <c r="B69" s="161" t="s">
        <v>22</v>
      </c>
      <c r="C69" s="157">
        <f>SUMIFS('caseload data'!E:E,'caseload data'!$A:$A,$B69,'caseload data'!$B:$B,"community")</f>
        <v>0</v>
      </c>
      <c r="D69" s="157">
        <f>SUMIFS('caseload data'!F:F,'caseload data'!$A:$A,$B69,'caseload data'!$B:$B,"community")</f>
        <v>0</v>
      </c>
      <c r="E69" s="157">
        <f>SUMIFS('caseload data'!G:G,'caseload data'!$A:$A,$B69,'caseload data'!$B:$B,"community")</f>
        <v>0</v>
      </c>
      <c r="F69" s="157">
        <f>SUMIFS('caseload data'!H:H,'caseload data'!$A:$A,$B69,'caseload data'!$B:$B,"community")</f>
        <v>0</v>
      </c>
      <c r="G69" s="157">
        <f>SUMIFS('caseload data'!I:I,'caseload data'!$A:$A,$B69,'caseload data'!$B:$B,"community")</f>
        <v>0</v>
      </c>
      <c r="H69" s="157">
        <f>SUMIFS('caseload data'!J:J,'caseload data'!$A:$A,$B69,'caseload data'!$B:$B,"community")</f>
        <v>0</v>
      </c>
      <c r="I69" s="157">
        <f>SUMIFS('caseload data'!K:K,'caseload data'!$A:$A,$B69,'caseload data'!$B:$B,"community")</f>
        <v>0</v>
      </c>
      <c r="J69" s="157">
        <f>SUMIFS('caseload data'!L:L,'caseload data'!$A:$A,$B69,'caseload data'!$B:$B,"community")</f>
        <v>0</v>
      </c>
      <c r="K69" s="157">
        <f>SUMIFS('caseload data'!M:M,'caseload data'!$A:$A,$B69,'caseload data'!$B:$B,"community")</f>
        <v>0</v>
      </c>
      <c r="L69" s="157">
        <f>SUMIFS('caseload data'!N:N,'caseload data'!$A:$A,$B69,'caseload data'!$B:$B,"community")</f>
        <v>0</v>
      </c>
      <c r="M69" s="157">
        <f>SUMIFS('caseload data'!O:O,'caseload data'!$A:$A,$B69,'caseload data'!$B:$B,"community")</f>
        <v>0</v>
      </c>
      <c r="N69" s="157">
        <f>SUMIFS('caseload data'!P:P,'caseload data'!$A:$A,$B69,'caseload data'!$B:$B,"community")</f>
        <v>0</v>
      </c>
      <c r="O69" s="157">
        <f>SUMIFS('caseload data'!Q:Q,'caseload data'!$A:$A,$B69,'caseload data'!$B:$B,"community")</f>
        <v>0</v>
      </c>
      <c r="P69" s="157">
        <f>SUMIFS('caseload data'!R:R,'caseload data'!$A:$A,$B69,'caseload data'!$B:$B,"community")</f>
        <v>0</v>
      </c>
      <c r="Q69" s="157">
        <f>SUMIFS('caseload data'!S:S,'caseload data'!$A:$A,$B69,'caseload data'!$B:$B,"community")</f>
        <v>0</v>
      </c>
      <c r="R69" s="157">
        <f>SUMIFS('caseload data'!T:T,'caseload data'!$A:$A,$B69,'caseload data'!$B:$B,"community")</f>
        <v>0</v>
      </c>
      <c r="S69" s="157">
        <f>SUMIFS('caseload data'!V:V,'caseload data'!$A:$A,B69,'caseload data'!$B:$B,"community")</f>
        <v>0</v>
      </c>
      <c r="T69" s="76"/>
      <c r="U69" s="161" t="s">
        <v>22</v>
      </c>
      <c r="V69" s="78" t="e">
        <f>C69/$S$69</f>
        <v>#DIV/0!</v>
      </c>
      <c r="W69" s="78" t="e">
        <f t="shared" ref="W69:AK69" si="258">D69/$S$69</f>
        <v>#DIV/0!</v>
      </c>
      <c r="X69" s="78" t="e">
        <f t="shared" si="258"/>
        <v>#DIV/0!</v>
      </c>
      <c r="Y69" s="78" t="e">
        <f t="shared" si="258"/>
        <v>#DIV/0!</v>
      </c>
      <c r="Z69" s="78" t="e">
        <f t="shared" si="258"/>
        <v>#DIV/0!</v>
      </c>
      <c r="AA69" s="78" t="e">
        <f t="shared" si="258"/>
        <v>#DIV/0!</v>
      </c>
      <c r="AB69" s="78" t="e">
        <f t="shared" si="258"/>
        <v>#DIV/0!</v>
      </c>
      <c r="AC69" s="78" t="e">
        <f t="shared" si="258"/>
        <v>#DIV/0!</v>
      </c>
      <c r="AD69" s="78" t="e">
        <f t="shared" si="258"/>
        <v>#DIV/0!</v>
      </c>
      <c r="AE69" s="78" t="e">
        <f t="shared" si="258"/>
        <v>#DIV/0!</v>
      </c>
      <c r="AF69" s="78" t="e">
        <f t="shared" si="258"/>
        <v>#DIV/0!</v>
      </c>
      <c r="AG69" s="78" t="e">
        <f t="shared" si="258"/>
        <v>#DIV/0!</v>
      </c>
      <c r="AH69" s="78" t="e">
        <f t="shared" si="258"/>
        <v>#DIV/0!</v>
      </c>
      <c r="AI69" s="78" t="e">
        <f t="shared" si="258"/>
        <v>#DIV/0!</v>
      </c>
      <c r="AJ69" s="78" t="e">
        <f t="shared" si="258"/>
        <v>#DIV/0!</v>
      </c>
      <c r="AK69" s="78" t="e">
        <f t="shared" si="258"/>
        <v>#DIV/0!</v>
      </c>
    </row>
    <row r="70" spans="2:37" x14ac:dyDescent="0.15">
      <c r="B70" s="161" t="s">
        <v>23</v>
      </c>
      <c r="C70" s="157">
        <f>SUMIFS('caseload data'!E:E,'caseload data'!$A:$A,$B70,'caseload data'!$B:$B,"community")</f>
        <v>0</v>
      </c>
      <c r="D70" s="157">
        <f>SUMIFS('caseload data'!F:F,'caseload data'!$A:$A,$B70,'caseload data'!$B:$B,"community")</f>
        <v>0</v>
      </c>
      <c r="E70" s="157">
        <f>SUMIFS('caseload data'!G:G,'caseload data'!$A:$A,$B70,'caseload data'!$B:$B,"community")</f>
        <v>0</v>
      </c>
      <c r="F70" s="157">
        <f>SUMIFS('caseload data'!H:H,'caseload data'!$A:$A,$B70,'caseload data'!$B:$B,"community")</f>
        <v>0</v>
      </c>
      <c r="G70" s="157">
        <f>SUMIFS('caseload data'!I:I,'caseload data'!$A:$A,$B70,'caseload data'!$B:$B,"community")</f>
        <v>0</v>
      </c>
      <c r="H70" s="157">
        <f>SUMIFS('caseload data'!J:J,'caseload data'!$A:$A,$B70,'caseload data'!$B:$B,"community")</f>
        <v>0</v>
      </c>
      <c r="I70" s="157">
        <f>SUMIFS('caseload data'!K:K,'caseload data'!$A:$A,$B70,'caseload data'!$B:$B,"community")</f>
        <v>0</v>
      </c>
      <c r="J70" s="157">
        <f>SUMIFS('caseload data'!L:L,'caseload data'!$A:$A,$B70,'caseload data'!$B:$B,"community")</f>
        <v>0</v>
      </c>
      <c r="K70" s="157">
        <f>SUMIFS('caseload data'!M:M,'caseload data'!$A:$A,$B70,'caseload data'!$B:$B,"community")</f>
        <v>0</v>
      </c>
      <c r="L70" s="157">
        <f>SUMIFS('caseload data'!N:N,'caseload data'!$A:$A,$B70,'caseload data'!$B:$B,"community")</f>
        <v>0</v>
      </c>
      <c r="M70" s="157">
        <f>SUMIFS('caseload data'!O:O,'caseload data'!$A:$A,$B70,'caseload data'!$B:$B,"community")</f>
        <v>0</v>
      </c>
      <c r="N70" s="157">
        <f>SUMIFS('caseload data'!P:P,'caseload data'!$A:$A,$B70,'caseload data'!$B:$B,"community")</f>
        <v>0</v>
      </c>
      <c r="O70" s="157">
        <f>SUMIFS('caseload data'!Q:Q,'caseload data'!$A:$A,$B70,'caseload data'!$B:$B,"community")</f>
        <v>0</v>
      </c>
      <c r="P70" s="157">
        <f>SUMIFS('caseload data'!R:R,'caseload data'!$A:$A,$B70,'caseload data'!$B:$B,"community")</f>
        <v>0</v>
      </c>
      <c r="Q70" s="157">
        <f>SUMIFS('caseload data'!S:S,'caseload data'!$A:$A,$B70,'caseload data'!$B:$B,"community")</f>
        <v>0</v>
      </c>
      <c r="R70" s="157">
        <f>SUMIFS('caseload data'!T:T,'caseload data'!$A:$A,$B70,'caseload data'!$B:$B,"community")</f>
        <v>0</v>
      </c>
      <c r="S70" s="157">
        <f>SUMIFS('caseload data'!V:V,'caseload data'!$A:$A,B70,'caseload data'!$B:$B,"community")</f>
        <v>0</v>
      </c>
      <c r="T70" s="76"/>
      <c r="U70" s="161" t="s">
        <v>23</v>
      </c>
      <c r="V70" s="78" t="e">
        <f>C70/$S$70</f>
        <v>#DIV/0!</v>
      </c>
      <c r="W70" s="78" t="e">
        <f t="shared" ref="W70:AK70" si="259">D70/$S$70</f>
        <v>#DIV/0!</v>
      </c>
      <c r="X70" s="78" t="e">
        <f t="shared" si="259"/>
        <v>#DIV/0!</v>
      </c>
      <c r="Y70" s="78" t="e">
        <f t="shared" si="259"/>
        <v>#DIV/0!</v>
      </c>
      <c r="Z70" s="78" t="e">
        <f t="shared" si="259"/>
        <v>#DIV/0!</v>
      </c>
      <c r="AA70" s="78" t="e">
        <f t="shared" si="259"/>
        <v>#DIV/0!</v>
      </c>
      <c r="AB70" s="78" t="e">
        <f t="shared" si="259"/>
        <v>#DIV/0!</v>
      </c>
      <c r="AC70" s="78" t="e">
        <f t="shared" si="259"/>
        <v>#DIV/0!</v>
      </c>
      <c r="AD70" s="78" t="e">
        <f t="shared" si="259"/>
        <v>#DIV/0!</v>
      </c>
      <c r="AE70" s="78" t="e">
        <f t="shared" si="259"/>
        <v>#DIV/0!</v>
      </c>
      <c r="AF70" s="78" t="e">
        <f t="shared" si="259"/>
        <v>#DIV/0!</v>
      </c>
      <c r="AG70" s="78" t="e">
        <f t="shared" si="259"/>
        <v>#DIV/0!</v>
      </c>
      <c r="AH70" s="78" t="e">
        <f t="shared" si="259"/>
        <v>#DIV/0!</v>
      </c>
      <c r="AI70" s="78" t="e">
        <f t="shared" si="259"/>
        <v>#DIV/0!</v>
      </c>
      <c r="AJ70" s="78" t="e">
        <f t="shared" si="259"/>
        <v>#DIV/0!</v>
      </c>
      <c r="AK70" s="78" t="e">
        <f t="shared" si="259"/>
        <v>#DIV/0!</v>
      </c>
    </row>
    <row r="71" spans="2:37" x14ac:dyDescent="0.15">
      <c r="B71" s="161" t="s">
        <v>24</v>
      </c>
      <c r="C71" s="157">
        <f>SUMIFS('caseload data'!E:E,'caseload data'!$A:$A,$B71,'caseload data'!$B:$B,"community")</f>
        <v>0</v>
      </c>
      <c r="D71" s="157">
        <f>SUMIFS('caseload data'!F:F,'caseload data'!$A:$A,$B71,'caseload data'!$B:$B,"community")</f>
        <v>0</v>
      </c>
      <c r="E71" s="157">
        <f>SUMIFS('caseload data'!G:G,'caseload data'!$A:$A,$B71,'caseload data'!$B:$B,"community")</f>
        <v>0</v>
      </c>
      <c r="F71" s="157">
        <f>SUMIFS('caseload data'!H:H,'caseload data'!$A:$A,$B71,'caseload data'!$B:$B,"community")</f>
        <v>0</v>
      </c>
      <c r="G71" s="157">
        <f>SUMIFS('caseload data'!I:I,'caseload data'!$A:$A,$B71,'caseload data'!$B:$B,"community")</f>
        <v>0</v>
      </c>
      <c r="H71" s="157">
        <f>SUMIFS('caseload data'!J:J,'caseload data'!$A:$A,$B71,'caseload data'!$B:$B,"community")</f>
        <v>0</v>
      </c>
      <c r="I71" s="157">
        <f>SUMIFS('caseload data'!K:K,'caseload data'!$A:$A,$B71,'caseload data'!$B:$B,"community")</f>
        <v>0</v>
      </c>
      <c r="J71" s="157">
        <f>SUMIFS('caseload data'!L:L,'caseload data'!$A:$A,$B71,'caseload data'!$B:$B,"community")</f>
        <v>0</v>
      </c>
      <c r="K71" s="157">
        <f>SUMIFS('caseload data'!M:M,'caseload data'!$A:$A,$B71,'caseload data'!$B:$B,"community")</f>
        <v>0</v>
      </c>
      <c r="L71" s="157">
        <f>SUMIFS('caseload data'!N:N,'caseload data'!$A:$A,$B71,'caseload data'!$B:$B,"community")</f>
        <v>0</v>
      </c>
      <c r="M71" s="157">
        <f>SUMIFS('caseload data'!O:O,'caseload data'!$A:$A,$B71,'caseload data'!$B:$B,"community")</f>
        <v>0</v>
      </c>
      <c r="N71" s="157">
        <f>SUMIFS('caseload data'!P:P,'caseload data'!$A:$A,$B71,'caseload data'!$B:$B,"community")</f>
        <v>0</v>
      </c>
      <c r="O71" s="157">
        <f>SUMIFS('caseload data'!Q:Q,'caseload data'!$A:$A,$B71,'caseload data'!$B:$B,"community")</f>
        <v>0</v>
      </c>
      <c r="P71" s="157">
        <f>SUMIFS('caseload data'!R:R,'caseload data'!$A:$A,$B71,'caseload data'!$B:$B,"community")</f>
        <v>0</v>
      </c>
      <c r="Q71" s="157">
        <f>SUMIFS('caseload data'!S:S,'caseload data'!$A:$A,$B71,'caseload data'!$B:$B,"community")</f>
        <v>0</v>
      </c>
      <c r="R71" s="157">
        <f>SUMIFS('caseload data'!T:T,'caseload data'!$A:$A,$B71,'caseload data'!$B:$B,"community")</f>
        <v>0</v>
      </c>
      <c r="S71" s="157">
        <f>SUMIFS('caseload data'!V:V,'caseload data'!$A:$A,B71,'caseload data'!$B:$B,"community")</f>
        <v>0</v>
      </c>
      <c r="T71" s="76"/>
      <c r="U71" s="161" t="s">
        <v>24</v>
      </c>
      <c r="V71" s="78" t="e">
        <f>C71/$S$71</f>
        <v>#DIV/0!</v>
      </c>
      <c r="W71" s="78" t="e">
        <f t="shared" ref="W71:AK71" si="260">D71/$S$71</f>
        <v>#DIV/0!</v>
      </c>
      <c r="X71" s="78" t="e">
        <f t="shared" si="260"/>
        <v>#DIV/0!</v>
      </c>
      <c r="Y71" s="78" t="e">
        <f t="shared" si="260"/>
        <v>#DIV/0!</v>
      </c>
      <c r="Z71" s="78" t="e">
        <f t="shared" si="260"/>
        <v>#DIV/0!</v>
      </c>
      <c r="AA71" s="78" t="e">
        <f t="shared" si="260"/>
        <v>#DIV/0!</v>
      </c>
      <c r="AB71" s="78" t="e">
        <f t="shared" si="260"/>
        <v>#DIV/0!</v>
      </c>
      <c r="AC71" s="78" t="e">
        <f t="shared" si="260"/>
        <v>#DIV/0!</v>
      </c>
      <c r="AD71" s="78" t="e">
        <f t="shared" si="260"/>
        <v>#DIV/0!</v>
      </c>
      <c r="AE71" s="78" t="e">
        <f t="shared" si="260"/>
        <v>#DIV/0!</v>
      </c>
      <c r="AF71" s="78" t="e">
        <f t="shared" si="260"/>
        <v>#DIV/0!</v>
      </c>
      <c r="AG71" s="78" t="e">
        <f t="shared" si="260"/>
        <v>#DIV/0!</v>
      </c>
      <c r="AH71" s="78" t="e">
        <f t="shared" si="260"/>
        <v>#DIV/0!</v>
      </c>
      <c r="AI71" s="78" t="e">
        <f t="shared" si="260"/>
        <v>#DIV/0!</v>
      </c>
      <c r="AJ71" s="78" t="e">
        <f t="shared" si="260"/>
        <v>#DIV/0!</v>
      </c>
      <c r="AK71" s="78" t="e">
        <f t="shared" si="260"/>
        <v>#DIV/0!</v>
      </c>
    </row>
    <row r="72" spans="2:37" x14ac:dyDescent="0.15">
      <c r="B72" s="161" t="s">
        <v>25</v>
      </c>
      <c r="C72" s="157">
        <f>SUMIFS('caseload data'!E:E,'caseload data'!$A:$A,$B72,'caseload data'!$B:$B,"community")</f>
        <v>0</v>
      </c>
      <c r="D72" s="157">
        <f>SUMIFS('caseload data'!F:F,'caseload data'!$A:$A,$B72,'caseload data'!$B:$B,"community")</f>
        <v>0</v>
      </c>
      <c r="E72" s="157">
        <f>SUMIFS('caseload data'!G:G,'caseload data'!$A:$A,$B72,'caseload data'!$B:$B,"community")</f>
        <v>0</v>
      </c>
      <c r="F72" s="157">
        <f>SUMIFS('caseload data'!H:H,'caseload data'!$A:$A,$B72,'caseload data'!$B:$B,"community")</f>
        <v>0</v>
      </c>
      <c r="G72" s="157">
        <f>SUMIFS('caseload data'!I:I,'caseload data'!$A:$A,$B72,'caseload data'!$B:$B,"community")</f>
        <v>0</v>
      </c>
      <c r="H72" s="157">
        <f>SUMIFS('caseload data'!J:J,'caseload data'!$A:$A,$B72,'caseload data'!$B:$B,"community")</f>
        <v>0</v>
      </c>
      <c r="I72" s="157">
        <f>SUMIFS('caseload data'!K:K,'caseload data'!$A:$A,$B72,'caseload data'!$B:$B,"community")</f>
        <v>0</v>
      </c>
      <c r="J72" s="157">
        <f>SUMIFS('caseload data'!L:L,'caseload data'!$A:$A,$B72,'caseload data'!$B:$B,"community")</f>
        <v>0</v>
      </c>
      <c r="K72" s="157">
        <f>SUMIFS('caseload data'!M:M,'caseload data'!$A:$A,$B72,'caseload data'!$B:$B,"community")</f>
        <v>0</v>
      </c>
      <c r="L72" s="157">
        <f>SUMIFS('caseload data'!N:N,'caseload data'!$A:$A,$B72,'caseload data'!$B:$B,"community")</f>
        <v>0</v>
      </c>
      <c r="M72" s="157">
        <f>SUMIFS('caseload data'!O:O,'caseload data'!$A:$A,$B72,'caseload data'!$B:$B,"community")</f>
        <v>0</v>
      </c>
      <c r="N72" s="157">
        <f>SUMIFS('caseload data'!P:P,'caseload data'!$A:$A,$B72,'caseload data'!$B:$B,"community")</f>
        <v>0</v>
      </c>
      <c r="O72" s="157">
        <f>SUMIFS('caseload data'!Q:Q,'caseload data'!$A:$A,$B72,'caseload data'!$B:$B,"community")</f>
        <v>0</v>
      </c>
      <c r="P72" s="157">
        <f>SUMIFS('caseload data'!R:R,'caseload data'!$A:$A,$B72,'caseload data'!$B:$B,"community")</f>
        <v>0</v>
      </c>
      <c r="Q72" s="157">
        <f>SUMIFS('caseload data'!S:S,'caseload data'!$A:$A,$B72,'caseload data'!$B:$B,"community")</f>
        <v>0</v>
      </c>
      <c r="R72" s="157">
        <f>SUMIFS('caseload data'!T:T,'caseload data'!$A:$A,$B72,'caseload data'!$B:$B,"community")</f>
        <v>0</v>
      </c>
      <c r="S72" s="157">
        <f>SUMIFS('caseload data'!V:V,'caseload data'!$A:$A,B72,'caseload data'!$B:$B,"community")</f>
        <v>0</v>
      </c>
      <c r="T72" s="76"/>
      <c r="U72" s="161" t="s">
        <v>25</v>
      </c>
      <c r="V72" s="78" t="e">
        <f t="shared" ref="V72:AK72" si="261">C72/$S$72</f>
        <v>#DIV/0!</v>
      </c>
      <c r="W72" s="78" t="e">
        <f t="shared" si="261"/>
        <v>#DIV/0!</v>
      </c>
      <c r="X72" s="78" t="e">
        <f t="shared" si="261"/>
        <v>#DIV/0!</v>
      </c>
      <c r="Y72" s="78" t="e">
        <f t="shared" si="261"/>
        <v>#DIV/0!</v>
      </c>
      <c r="Z72" s="78" t="e">
        <f t="shared" si="261"/>
        <v>#DIV/0!</v>
      </c>
      <c r="AA72" s="78" t="e">
        <f t="shared" si="261"/>
        <v>#DIV/0!</v>
      </c>
      <c r="AB72" s="78" t="e">
        <f t="shared" si="261"/>
        <v>#DIV/0!</v>
      </c>
      <c r="AC72" s="78" t="e">
        <f t="shared" si="261"/>
        <v>#DIV/0!</v>
      </c>
      <c r="AD72" s="78" t="e">
        <f t="shared" si="261"/>
        <v>#DIV/0!</v>
      </c>
      <c r="AE72" s="78" t="e">
        <f t="shared" si="261"/>
        <v>#DIV/0!</v>
      </c>
      <c r="AF72" s="78" t="e">
        <f t="shared" si="261"/>
        <v>#DIV/0!</v>
      </c>
      <c r="AG72" s="78" t="e">
        <f t="shared" si="261"/>
        <v>#DIV/0!</v>
      </c>
      <c r="AH72" s="78" t="e">
        <f t="shared" si="261"/>
        <v>#DIV/0!</v>
      </c>
      <c r="AI72" s="78" t="e">
        <f t="shared" si="261"/>
        <v>#DIV/0!</v>
      </c>
      <c r="AJ72" s="78" t="e">
        <f t="shared" si="261"/>
        <v>#DIV/0!</v>
      </c>
      <c r="AK72" s="78" t="e">
        <f t="shared" si="261"/>
        <v>#DIV/0!</v>
      </c>
    </row>
    <row r="73" spans="2:37" x14ac:dyDescent="0.15">
      <c r="B73" s="161" t="s">
        <v>26</v>
      </c>
      <c r="C73" s="157">
        <f>SUMIFS('caseload data'!E:E,'caseload data'!$A:$A,$B73,'caseload data'!$B:$B,"community")</f>
        <v>0</v>
      </c>
      <c r="D73" s="157">
        <f>SUMIFS('caseload data'!F:F,'caseload data'!$A:$A,$B73,'caseload data'!$B:$B,"community")</f>
        <v>0</v>
      </c>
      <c r="E73" s="157">
        <f>SUMIFS('caseload data'!G:G,'caseload data'!$A:$A,$B73,'caseload data'!$B:$B,"community")</f>
        <v>0</v>
      </c>
      <c r="F73" s="157">
        <f>SUMIFS('caseload data'!H:H,'caseload data'!$A:$A,$B73,'caseload data'!$B:$B,"community")</f>
        <v>0</v>
      </c>
      <c r="G73" s="157">
        <f>SUMIFS('caseload data'!I:I,'caseload data'!$A:$A,$B73,'caseload data'!$B:$B,"community")</f>
        <v>0</v>
      </c>
      <c r="H73" s="157">
        <f>SUMIFS('caseload data'!J:J,'caseload data'!$A:$A,$B73,'caseload data'!$B:$B,"community")</f>
        <v>0</v>
      </c>
      <c r="I73" s="157">
        <f>SUMIFS('caseload data'!K:K,'caseload data'!$A:$A,$B73,'caseload data'!$B:$B,"community")</f>
        <v>0</v>
      </c>
      <c r="J73" s="157">
        <f>SUMIFS('caseload data'!L:L,'caseload data'!$A:$A,$B73,'caseload data'!$B:$B,"community")</f>
        <v>0</v>
      </c>
      <c r="K73" s="157">
        <f>SUMIFS('caseload data'!M:M,'caseload data'!$A:$A,$B73,'caseload data'!$B:$B,"community")</f>
        <v>0</v>
      </c>
      <c r="L73" s="157">
        <f>SUMIFS('caseload data'!N:N,'caseload data'!$A:$A,$B73,'caseload data'!$B:$B,"community")</f>
        <v>0</v>
      </c>
      <c r="M73" s="157">
        <f>SUMIFS('caseload data'!O:O,'caseload data'!$A:$A,$B73,'caseload data'!$B:$B,"community")</f>
        <v>0</v>
      </c>
      <c r="N73" s="157">
        <f>SUMIFS('caseload data'!P:P,'caseload data'!$A:$A,$B73,'caseload data'!$B:$B,"community")</f>
        <v>0</v>
      </c>
      <c r="O73" s="157">
        <f>SUMIFS('caseload data'!Q:Q,'caseload data'!$A:$A,$B73,'caseload data'!$B:$B,"community")</f>
        <v>0</v>
      </c>
      <c r="P73" s="157">
        <f>SUMIFS('caseload data'!R:R,'caseload data'!$A:$A,$B73,'caseload data'!$B:$B,"community")</f>
        <v>0</v>
      </c>
      <c r="Q73" s="157">
        <f>SUMIFS('caseload data'!S:S,'caseload data'!$A:$A,$B73,'caseload data'!$B:$B,"community")</f>
        <v>0</v>
      </c>
      <c r="R73" s="157">
        <f>SUMIFS('caseload data'!T:T,'caseload data'!$A:$A,$B73,'caseload data'!$B:$B,"community")</f>
        <v>0</v>
      </c>
      <c r="S73" s="157">
        <f>SUMIFS('caseload data'!V:V,'caseload data'!$A:$A,B73,'caseload data'!$B:$B,"community")</f>
        <v>0</v>
      </c>
      <c r="T73" s="76"/>
      <c r="U73" s="161" t="s">
        <v>26</v>
      </c>
      <c r="V73" s="78" t="e">
        <f t="shared" ref="V73:AK73" si="262">C73/$S$73</f>
        <v>#DIV/0!</v>
      </c>
      <c r="W73" s="78" t="e">
        <f t="shared" si="262"/>
        <v>#DIV/0!</v>
      </c>
      <c r="X73" s="78" t="e">
        <f t="shared" si="262"/>
        <v>#DIV/0!</v>
      </c>
      <c r="Y73" s="78" t="e">
        <f t="shared" si="262"/>
        <v>#DIV/0!</v>
      </c>
      <c r="Z73" s="78" t="e">
        <f t="shared" si="262"/>
        <v>#DIV/0!</v>
      </c>
      <c r="AA73" s="78" t="e">
        <f t="shared" si="262"/>
        <v>#DIV/0!</v>
      </c>
      <c r="AB73" s="78" t="e">
        <f t="shared" si="262"/>
        <v>#DIV/0!</v>
      </c>
      <c r="AC73" s="78" t="e">
        <f t="shared" si="262"/>
        <v>#DIV/0!</v>
      </c>
      <c r="AD73" s="78" t="e">
        <f t="shared" si="262"/>
        <v>#DIV/0!</v>
      </c>
      <c r="AE73" s="78" t="e">
        <f t="shared" si="262"/>
        <v>#DIV/0!</v>
      </c>
      <c r="AF73" s="78" t="e">
        <f t="shared" si="262"/>
        <v>#DIV/0!</v>
      </c>
      <c r="AG73" s="78" t="e">
        <f t="shared" si="262"/>
        <v>#DIV/0!</v>
      </c>
      <c r="AH73" s="78" t="e">
        <f t="shared" si="262"/>
        <v>#DIV/0!</v>
      </c>
      <c r="AI73" s="78" t="e">
        <f t="shared" si="262"/>
        <v>#DIV/0!</v>
      </c>
      <c r="AJ73" s="78" t="e">
        <f t="shared" si="262"/>
        <v>#DIV/0!</v>
      </c>
      <c r="AK73" s="78" t="e">
        <f t="shared" si="262"/>
        <v>#DIV/0!</v>
      </c>
    </row>
    <row r="74" spans="2:37" x14ac:dyDescent="0.15">
      <c r="B74" s="161" t="s">
        <v>27</v>
      </c>
      <c r="C74" s="157">
        <f>SUMIFS('caseload data'!E:E,'caseload data'!$A:$A,$B74,'caseload data'!$B:$B,"community")</f>
        <v>0</v>
      </c>
      <c r="D74" s="157">
        <f>SUMIFS('caseload data'!F:F,'caseload data'!$A:$A,$B74,'caseload data'!$B:$B,"community")</f>
        <v>0</v>
      </c>
      <c r="E74" s="157">
        <f>SUMIFS('caseload data'!G:G,'caseload data'!$A:$A,$B74,'caseload data'!$B:$B,"community")</f>
        <v>0</v>
      </c>
      <c r="F74" s="157">
        <f>SUMIFS('caseload data'!H:H,'caseload data'!$A:$A,$B74,'caseload data'!$B:$B,"community")</f>
        <v>0</v>
      </c>
      <c r="G74" s="157">
        <f>SUMIFS('caseload data'!I:I,'caseload data'!$A:$A,$B74,'caseload data'!$B:$B,"community")</f>
        <v>0</v>
      </c>
      <c r="H74" s="157">
        <f>SUMIFS('caseload data'!J:J,'caseload data'!$A:$A,$B74,'caseload data'!$B:$B,"community")</f>
        <v>0</v>
      </c>
      <c r="I74" s="157">
        <f>SUMIFS('caseload data'!K:K,'caseload data'!$A:$A,$B74,'caseload data'!$B:$B,"community")</f>
        <v>0</v>
      </c>
      <c r="J74" s="157">
        <f>SUMIFS('caseload data'!L:L,'caseload data'!$A:$A,$B74,'caseload data'!$B:$B,"community")</f>
        <v>0</v>
      </c>
      <c r="K74" s="157">
        <f>SUMIFS('caseload data'!M:M,'caseload data'!$A:$A,$B74,'caseload data'!$B:$B,"community")</f>
        <v>0</v>
      </c>
      <c r="L74" s="157">
        <f>SUMIFS('caseload data'!N:N,'caseload data'!$A:$A,$B74,'caseload data'!$B:$B,"community")</f>
        <v>0</v>
      </c>
      <c r="M74" s="157">
        <f>SUMIFS('caseload data'!O:O,'caseload data'!$A:$A,$B74,'caseload data'!$B:$B,"community")</f>
        <v>0</v>
      </c>
      <c r="N74" s="157">
        <f>SUMIFS('caseload data'!P:P,'caseload data'!$A:$A,$B74,'caseload data'!$B:$B,"community")</f>
        <v>0</v>
      </c>
      <c r="O74" s="157">
        <f>SUMIFS('caseload data'!Q:Q,'caseload data'!$A:$A,$B74,'caseload data'!$B:$B,"community")</f>
        <v>0</v>
      </c>
      <c r="P74" s="157">
        <f>SUMIFS('caseload data'!R:R,'caseload data'!$A:$A,$B74,'caseload data'!$B:$B,"community")</f>
        <v>0</v>
      </c>
      <c r="Q74" s="157">
        <f>SUMIFS('caseload data'!S:S,'caseload data'!$A:$A,$B74,'caseload data'!$B:$B,"community")</f>
        <v>0</v>
      </c>
      <c r="R74" s="157">
        <f>SUMIFS('caseload data'!T:T,'caseload data'!$A:$A,$B74,'caseload data'!$B:$B,"community")</f>
        <v>0</v>
      </c>
      <c r="S74" s="157">
        <f>SUMIFS('caseload data'!V:V,'caseload data'!$A:$A,B74,'caseload data'!$B:$B,"community")</f>
        <v>0</v>
      </c>
      <c r="T74" s="76"/>
      <c r="U74" s="161" t="s">
        <v>27</v>
      </c>
      <c r="V74" s="78" t="e">
        <f>C74/$S$74</f>
        <v>#DIV/0!</v>
      </c>
      <c r="W74" s="78" t="e">
        <f t="shared" ref="W74:AK74" si="263">D74/$S$74</f>
        <v>#DIV/0!</v>
      </c>
      <c r="X74" s="78" t="e">
        <f t="shared" si="263"/>
        <v>#DIV/0!</v>
      </c>
      <c r="Y74" s="78" t="e">
        <f t="shared" si="263"/>
        <v>#DIV/0!</v>
      </c>
      <c r="Z74" s="78" t="e">
        <f t="shared" si="263"/>
        <v>#DIV/0!</v>
      </c>
      <c r="AA74" s="78" t="e">
        <f t="shared" si="263"/>
        <v>#DIV/0!</v>
      </c>
      <c r="AB74" s="78" t="e">
        <f t="shared" si="263"/>
        <v>#DIV/0!</v>
      </c>
      <c r="AC74" s="78" t="e">
        <f t="shared" si="263"/>
        <v>#DIV/0!</v>
      </c>
      <c r="AD74" s="78" t="e">
        <f t="shared" si="263"/>
        <v>#DIV/0!</v>
      </c>
      <c r="AE74" s="78" t="e">
        <f t="shared" si="263"/>
        <v>#DIV/0!</v>
      </c>
      <c r="AF74" s="78" t="e">
        <f t="shared" si="263"/>
        <v>#DIV/0!</v>
      </c>
      <c r="AG74" s="78" t="e">
        <f t="shared" si="263"/>
        <v>#DIV/0!</v>
      </c>
      <c r="AH74" s="78" t="e">
        <f t="shared" si="263"/>
        <v>#DIV/0!</v>
      </c>
      <c r="AI74" s="78" t="e">
        <f t="shared" si="263"/>
        <v>#DIV/0!</v>
      </c>
      <c r="AJ74" s="78" t="e">
        <f t="shared" si="263"/>
        <v>#DIV/0!</v>
      </c>
      <c r="AK74" s="78" t="e">
        <f t="shared" si="263"/>
        <v>#DIV/0!</v>
      </c>
    </row>
    <row r="75" spans="2:37" x14ac:dyDescent="0.15">
      <c r="B75" s="161" t="s">
        <v>28</v>
      </c>
      <c r="C75" s="157">
        <f>SUMIFS('caseload data'!E:E,'caseload data'!$A:$A,$B75,'caseload data'!$B:$B,"community")</f>
        <v>0</v>
      </c>
      <c r="D75" s="157">
        <f>SUMIFS('caseload data'!F:F,'caseload data'!$A:$A,$B75,'caseload data'!$B:$B,"community")</f>
        <v>0</v>
      </c>
      <c r="E75" s="157">
        <f>SUMIFS('caseload data'!G:G,'caseload data'!$A:$A,$B75,'caseload data'!$B:$B,"community")</f>
        <v>0</v>
      </c>
      <c r="F75" s="157">
        <f>SUMIFS('caseload data'!H:H,'caseload data'!$A:$A,$B75,'caseload data'!$B:$B,"community")</f>
        <v>0</v>
      </c>
      <c r="G75" s="157">
        <f>SUMIFS('caseload data'!I:I,'caseload data'!$A:$A,$B75,'caseload data'!$B:$B,"community")</f>
        <v>0</v>
      </c>
      <c r="H75" s="157">
        <f>SUMIFS('caseload data'!J:J,'caseload data'!$A:$A,$B75,'caseload data'!$B:$B,"community")</f>
        <v>0</v>
      </c>
      <c r="I75" s="157">
        <f>SUMIFS('caseload data'!K:K,'caseload data'!$A:$A,$B75,'caseload data'!$B:$B,"community")</f>
        <v>0</v>
      </c>
      <c r="J75" s="157">
        <f>SUMIFS('caseload data'!L:L,'caseload data'!$A:$A,$B75,'caseload data'!$B:$B,"community")</f>
        <v>0</v>
      </c>
      <c r="K75" s="157">
        <f>SUMIFS('caseload data'!M:M,'caseload data'!$A:$A,$B75,'caseload data'!$B:$B,"community")</f>
        <v>0</v>
      </c>
      <c r="L75" s="157">
        <f>SUMIFS('caseload data'!N:N,'caseload data'!$A:$A,$B75,'caseload data'!$B:$B,"community")</f>
        <v>0</v>
      </c>
      <c r="M75" s="157">
        <f>SUMIFS('caseload data'!O:O,'caseload data'!$A:$A,$B75,'caseload data'!$B:$B,"community")</f>
        <v>0</v>
      </c>
      <c r="N75" s="157">
        <f>SUMIFS('caseload data'!P:P,'caseload data'!$A:$A,$B75,'caseload data'!$B:$B,"community")</f>
        <v>0</v>
      </c>
      <c r="O75" s="157">
        <f>SUMIFS('caseload data'!Q:Q,'caseload data'!$A:$A,$B75,'caseload data'!$B:$B,"community")</f>
        <v>0</v>
      </c>
      <c r="P75" s="157">
        <f>SUMIFS('caseload data'!R:R,'caseload data'!$A:$A,$B75,'caseload data'!$B:$B,"community")</f>
        <v>0</v>
      </c>
      <c r="Q75" s="157">
        <f>SUMIFS('caseload data'!S:S,'caseload data'!$A:$A,$B75,'caseload data'!$B:$B,"community")</f>
        <v>0</v>
      </c>
      <c r="R75" s="157">
        <f>SUMIFS('caseload data'!T:T,'caseload data'!$A:$A,$B75,'caseload data'!$B:$B,"community")</f>
        <v>0</v>
      </c>
      <c r="S75" s="157">
        <f>SUMIFS('caseload data'!V:V,'caseload data'!$A:$A,B75,'caseload data'!$B:$B,"community")</f>
        <v>0</v>
      </c>
      <c r="T75" s="76"/>
      <c r="U75" s="161" t="s">
        <v>28</v>
      </c>
      <c r="V75" s="78" t="e">
        <f>C75/$S$75</f>
        <v>#DIV/0!</v>
      </c>
      <c r="W75" s="78" t="e">
        <f t="shared" ref="W75:AK75" si="264">D75/$S$75</f>
        <v>#DIV/0!</v>
      </c>
      <c r="X75" s="78" t="e">
        <f t="shared" si="264"/>
        <v>#DIV/0!</v>
      </c>
      <c r="Y75" s="78" t="e">
        <f t="shared" si="264"/>
        <v>#DIV/0!</v>
      </c>
      <c r="Z75" s="78" t="e">
        <f t="shared" si="264"/>
        <v>#DIV/0!</v>
      </c>
      <c r="AA75" s="78" t="e">
        <f t="shared" si="264"/>
        <v>#DIV/0!</v>
      </c>
      <c r="AB75" s="78" t="e">
        <f t="shared" si="264"/>
        <v>#DIV/0!</v>
      </c>
      <c r="AC75" s="78" t="e">
        <f t="shared" si="264"/>
        <v>#DIV/0!</v>
      </c>
      <c r="AD75" s="78" t="e">
        <f t="shared" si="264"/>
        <v>#DIV/0!</v>
      </c>
      <c r="AE75" s="78" t="e">
        <f t="shared" si="264"/>
        <v>#DIV/0!</v>
      </c>
      <c r="AF75" s="78" t="e">
        <f t="shared" si="264"/>
        <v>#DIV/0!</v>
      </c>
      <c r="AG75" s="78" t="e">
        <f t="shared" si="264"/>
        <v>#DIV/0!</v>
      </c>
      <c r="AH75" s="78" t="e">
        <f t="shared" si="264"/>
        <v>#DIV/0!</v>
      </c>
      <c r="AI75" s="78" t="e">
        <f t="shared" si="264"/>
        <v>#DIV/0!</v>
      </c>
      <c r="AJ75" s="78" t="e">
        <f t="shared" si="264"/>
        <v>#DIV/0!</v>
      </c>
      <c r="AK75" s="78" t="e">
        <f t="shared" si="264"/>
        <v>#DIV/0!</v>
      </c>
    </row>
    <row r="76" spans="2:37" x14ac:dyDescent="0.15">
      <c r="B76" s="161" t="s">
        <v>1409</v>
      </c>
      <c r="C76" s="157">
        <f>SUMIFS('caseload data'!E:E,'caseload data'!$A:$A,$B76,'caseload data'!$B:$B,"community")</f>
        <v>0</v>
      </c>
      <c r="D76" s="157">
        <f>SUMIFS('caseload data'!F:F,'caseload data'!$A:$A,$B76,'caseload data'!$B:$B,"community")</f>
        <v>0</v>
      </c>
      <c r="E76" s="157">
        <f>SUMIFS('caseload data'!G:G,'caseload data'!$A:$A,$B76,'caseload data'!$B:$B,"community")</f>
        <v>0</v>
      </c>
      <c r="F76" s="157">
        <f>SUMIFS('caseload data'!H:H,'caseload data'!$A:$A,$B76,'caseload data'!$B:$B,"community")</f>
        <v>0</v>
      </c>
      <c r="G76" s="157">
        <f>SUMIFS('caseload data'!I:I,'caseload data'!$A:$A,$B76,'caseload data'!$B:$B,"community")</f>
        <v>0</v>
      </c>
      <c r="H76" s="157">
        <f>SUMIFS('caseload data'!J:J,'caseload data'!$A:$A,$B76,'caseload data'!$B:$B,"community")</f>
        <v>0</v>
      </c>
      <c r="I76" s="157">
        <f>SUMIFS('caseload data'!K:K,'caseload data'!$A:$A,$B76,'caseload data'!$B:$B,"community")</f>
        <v>0</v>
      </c>
      <c r="J76" s="157">
        <f>SUMIFS('caseload data'!L:L,'caseload data'!$A:$A,$B76,'caseload data'!$B:$B,"community")</f>
        <v>0</v>
      </c>
      <c r="K76" s="157">
        <f>SUMIFS('caseload data'!M:M,'caseload data'!$A:$A,$B76,'caseload data'!$B:$B,"community")</f>
        <v>0</v>
      </c>
      <c r="L76" s="157">
        <f>SUMIFS('caseload data'!N:N,'caseload data'!$A:$A,$B76,'caseload data'!$B:$B,"community")</f>
        <v>0</v>
      </c>
      <c r="M76" s="157">
        <f>SUMIFS('caseload data'!O:O,'caseload data'!$A:$A,$B76,'caseload data'!$B:$B,"community")</f>
        <v>0</v>
      </c>
      <c r="N76" s="157">
        <f>SUMIFS('caseload data'!P:P,'caseload data'!$A:$A,$B76,'caseload data'!$B:$B,"community")</f>
        <v>0</v>
      </c>
      <c r="O76" s="157">
        <f>SUMIFS('caseload data'!Q:Q,'caseload data'!$A:$A,$B76,'caseload data'!$B:$B,"community")</f>
        <v>0</v>
      </c>
      <c r="P76" s="157">
        <f>SUMIFS('caseload data'!R:R,'caseload data'!$A:$A,$B76,'caseload data'!$B:$B,"community")</f>
        <v>0</v>
      </c>
      <c r="Q76" s="157">
        <f>SUMIFS('caseload data'!S:S,'caseload data'!$A:$A,$B76,'caseload data'!$B:$B,"community")</f>
        <v>0</v>
      </c>
      <c r="R76" s="157">
        <f>SUMIFS('caseload data'!T:T,'caseload data'!$A:$A,$B76,'caseload data'!$B:$B,"community")</f>
        <v>0</v>
      </c>
      <c r="S76" s="157">
        <f>SUMIFS('caseload data'!V:V,'caseload data'!$A:$A,B76,'caseload data'!$B:$B,"community")</f>
        <v>0</v>
      </c>
      <c r="T76" s="76"/>
      <c r="U76" s="161" t="s">
        <v>1409</v>
      </c>
      <c r="V76" s="78" t="e">
        <f>C76/$S$76</f>
        <v>#DIV/0!</v>
      </c>
      <c r="W76" s="78" t="e">
        <f t="shared" ref="W76:AK76" si="265">D76/$S$76</f>
        <v>#DIV/0!</v>
      </c>
      <c r="X76" s="78" t="e">
        <f t="shared" si="265"/>
        <v>#DIV/0!</v>
      </c>
      <c r="Y76" s="78" t="e">
        <f t="shared" si="265"/>
        <v>#DIV/0!</v>
      </c>
      <c r="Z76" s="78" t="e">
        <f t="shared" si="265"/>
        <v>#DIV/0!</v>
      </c>
      <c r="AA76" s="78" t="e">
        <f t="shared" si="265"/>
        <v>#DIV/0!</v>
      </c>
      <c r="AB76" s="78" t="e">
        <f t="shared" si="265"/>
        <v>#DIV/0!</v>
      </c>
      <c r="AC76" s="78" t="e">
        <f t="shared" si="265"/>
        <v>#DIV/0!</v>
      </c>
      <c r="AD76" s="78" t="e">
        <f t="shared" si="265"/>
        <v>#DIV/0!</v>
      </c>
      <c r="AE76" s="78" t="e">
        <f t="shared" si="265"/>
        <v>#DIV/0!</v>
      </c>
      <c r="AF76" s="78" t="e">
        <f t="shared" si="265"/>
        <v>#DIV/0!</v>
      </c>
      <c r="AG76" s="78" t="e">
        <f t="shared" si="265"/>
        <v>#DIV/0!</v>
      </c>
      <c r="AH76" s="78" t="e">
        <f t="shared" si="265"/>
        <v>#DIV/0!</v>
      </c>
      <c r="AI76" s="78" t="e">
        <f t="shared" si="265"/>
        <v>#DIV/0!</v>
      </c>
      <c r="AJ76" s="78" t="e">
        <f t="shared" si="265"/>
        <v>#DIV/0!</v>
      </c>
      <c r="AK76" s="78" t="e">
        <f t="shared" si="265"/>
        <v>#DIV/0!</v>
      </c>
    </row>
    <row r="77" spans="2:37" x14ac:dyDescent="0.15">
      <c r="B77" s="161" t="s">
        <v>29</v>
      </c>
      <c r="C77" s="157">
        <f>SUMIFS('caseload data'!E:E,'caseload data'!$A:$A,$B77,'caseload data'!$B:$B,"community")</f>
        <v>0</v>
      </c>
      <c r="D77" s="157">
        <f>SUMIFS('caseload data'!F:F,'caseload data'!$A:$A,$B77,'caseload data'!$B:$B,"community")</f>
        <v>0</v>
      </c>
      <c r="E77" s="157">
        <f>SUMIFS('caseload data'!G:G,'caseload data'!$A:$A,$B77,'caseload data'!$B:$B,"community")</f>
        <v>0</v>
      </c>
      <c r="F77" s="157">
        <f>SUMIFS('caseload data'!H:H,'caseload data'!$A:$A,$B77,'caseload data'!$B:$B,"community")</f>
        <v>0</v>
      </c>
      <c r="G77" s="157">
        <f>SUMIFS('caseload data'!I:I,'caseload data'!$A:$A,$B77,'caseload data'!$B:$B,"community")</f>
        <v>0</v>
      </c>
      <c r="H77" s="157">
        <f>SUMIFS('caseload data'!J:J,'caseload data'!$A:$A,$B77,'caseload data'!$B:$B,"community")</f>
        <v>0</v>
      </c>
      <c r="I77" s="157">
        <f>SUMIFS('caseload data'!K:K,'caseload data'!$A:$A,$B77,'caseload data'!$B:$B,"community")</f>
        <v>0</v>
      </c>
      <c r="J77" s="157">
        <f>SUMIFS('caseload data'!L:L,'caseload data'!$A:$A,$B77,'caseload data'!$B:$B,"community")</f>
        <v>0</v>
      </c>
      <c r="K77" s="157">
        <f>SUMIFS('caseload data'!M:M,'caseload data'!$A:$A,$B77,'caseload data'!$B:$B,"community")</f>
        <v>0</v>
      </c>
      <c r="L77" s="157">
        <f>SUMIFS('caseload data'!N:N,'caseload data'!$A:$A,$B77,'caseload data'!$B:$B,"community")</f>
        <v>0</v>
      </c>
      <c r="M77" s="157">
        <f>SUMIFS('caseload data'!O:O,'caseload data'!$A:$A,$B77,'caseload data'!$B:$B,"community")</f>
        <v>0</v>
      </c>
      <c r="N77" s="157">
        <f>SUMIFS('caseload data'!P:P,'caseload data'!$A:$A,$B77,'caseload data'!$B:$B,"community")</f>
        <v>0</v>
      </c>
      <c r="O77" s="157">
        <f>SUMIFS('caseload data'!Q:Q,'caseload data'!$A:$A,$B77,'caseload data'!$B:$B,"community")</f>
        <v>0</v>
      </c>
      <c r="P77" s="157">
        <f>SUMIFS('caseload data'!R:R,'caseload data'!$A:$A,$B77,'caseload data'!$B:$B,"community")</f>
        <v>0</v>
      </c>
      <c r="Q77" s="157">
        <f>SUMIFS('caseload data'!S:S,'caseload data'!$A:$A,$B77,'caseload data'!$B:$B,"community")</f>
        <v>0</v>
      </c>
      <c r="R77" s="157">
        <f>SUMIFS('caseload data'!T:T,'caseload data'!$A:$A,$B77,'caseload data'!$B:$B,"community")</f>
        <v>0</v>
      </c>
      <c r="S77" s="157">
        <f>SUMIFS('caseload data'!V:V,'caseload data'!$A:$A,B77,'caseload data'!$B:$B,"community")</f>
        <v>0</v>
      </c>
      <c r="T77" s="76"/>
      <c r="U77" s="161" t="s">
        <v>29</v>
      </c>
      <c r="V77" s="78" t="e">
        <f t="shared" ref="V77:V79" si="266">C77/$S77</f>
        <v>#DIV/0!</v>
      </c>
      <c r="W77" s="78" t="e">
        <f t="shared" ref="W77:W79" si="267">D77/$S77</f>
        <v>#DIV/0!</v>
      </c>
      <c r="X77" s="78" t="e">
        <f t="shared" ref="X77:X79" si="268">E77/$S77</f>
        <v>#DIV/0!</v>
      </c>
      <c r="Y77" s="78" t="e">
        <f t="shared" ref="Y77:Y79" si="269">F77/$S77</f>
        <v>#DIV/0!</v>
      </c>
      <c r="Z77" s="78" t="e">
        <f t="shared" ref="Z77:Z79" si="270">G77/$S77</f>
        <v>#DIV/0!</v>
      </c>
      <c r="AA77" s="78" t="e">
        <f t="shared" ref="AA77:AA79" si="271">H77/$S77</f>
        <v>#DIV/0!</v>
      </c>
      <c r="AB77" s="78" t="e">
        <f t="shared" ref="AB77:AB79" si="272">I77/$S77</f>
        <v>#DIV/0!</v>
      </c>
      <c r="AC77" s="78" t="e">
        <f t="shared" ref="AC77:AC79" si="273">J77/$S77</f>
        <v>#DIV/0!</v>
      </c>
      <c r="AD77" s="78" t="e">
        <f t="shared" ref="AD77:AD79" si="274">K77/$S77</f>
        <v>#DIV/0!</v>
      </c>
      <c r="AE77" s="78" t="e">
        <f t="shared" ref="AE77:AE79" si="275">L77/$S77</f>
        <v>#DIV/0!</v>
      </c>
      <c r="AF77" s="78" t="e">
        <f t="shared" ref="AF77:AF79" si="276">M77/$S77</f>
        <v>#DIV/0!</v>
      </c>
      <c r="AG77" s="78" t="e">
        <f t="shared" ref="AG77:AG79" si="277">N77/$S77</f>
        <v>#DIV/0!</v>
      </c>
      <c r="AH77" s="78" t="e">
        <f t="shared" ref="AH77:AH79" si="278">O77/$S77</f>
        <v>#DIV/0!</v>
      </c>
      <c r="AI77" s="78" t="e">
        <f t="shared" ref="AI77:AI79" si="279">P77/$S77</f>
        <v>#DIV/0!</v>
      </c>
      <c r="AJ77" s="78" t="e">
        <f t="shared" ref="AJ77:AJ79" si="280">Q77/$S77</f>
        <v>#DIV/0!</v>
      </c>
      <c r="AK77" s="78" t="e">
        <f t="shared" ref="AK77:AK79" si="281">R77/$S77</f>
        <v>#DIV/0!</v>
      </c>
    </row>
    <row r="78" spans="2:37" x14ac:dyDescent="0.15">
      <c r="B78" s="161" t="s">
        <v>30</v>
      </c>
      <c r="C78" s="157">
        <f>SUMIFS('caseload data'!E:E,'caseload data'!$A:$A,$B78,'caseload data'!$B:$B,"community")</f>
        <v>0</v>
      </c>
      <c r="D78" s="157">
        <f>SUMIFS('caseload data'!F:F,'caseload data'!$A:$A,$B78,'caseload data'!$B:$B,"community")</f>
        <v>0</v>
      </c>
      <c r="E78" s="157">
        <f>SUMIFS('caseload data'!G:G,'caseload data'!$A:$A,$B78,'caseload data'!$B:$B,"community")</f>
        <v>0</v>
      </c>
      <c r="F78" s="157">
        <f>SUMIFS('caseload data'!H:H,'caseload data'!$A:$A,$B78,'caseload data'!$B:$B,"community")</f>
        <v>0</v>
      </c>
      <c r="G78" s="157">
        <f>SUMIFS('caseload data'!I:I,'caseload data'!$A:$A,$B78,'caseload data'!$B:$B,"community")</f>
        <v>0</v>
      </c>
      <c r="H78" s="157">
        <f>SUMIFS('caseload data'!J:J,'caseload data'!$A:$A,$B78,'caseload data'!$B:$B,"community")</f>
        <v>0</v>
      </c>
      <c r="I78" s="157">
        <f>SUMIFS('caseload data'!K:K,'caseload data'!$A:$A,$B78,'caseload data'!$B:$B,"community")</f>
        <v>0</v>
      </c>
      <c r="J78" s="157">
        <f>SUMIFS('caseload data'!L:L,'caseload data'!$A:$A,$B78,'caseload data'!$B:$B,"community")</f>
        <v>0</v>
      </c>
      <c r="K78" s="157">
        <f>SUMIFS('caseload data'!M:M,'caseload data'!$A:$A,$B78,'caseload data'!$B:$B,"community")</f>
        <v>0</v>
      </c>
      <c r="L78" s="157">
        <f>SUMIFS('caseload data'!N:N,'caseload data'!$A:$A,$B78,'caseload data'!$B:$B,"community")</f>
        <v>0</v>
      </c>
      <c r="M78" s="157">
        <f>SUMIFS('caseload data'!O:O,'caseload data'!$A:$A,$B78,'caseload data'!$B:$B,"community")</f>
        <v>0</v>
      </c>
      <c r="N78" s="157">
        <f>SUMIFS('caseload data'!P:P,'caseload data'!$A:$A,$B78,'caseload data'!$B:$B,"community")</f>
        <v>0</v>
      </c>
      <c r="O78" s="157">
        <f>SUMIFS('caseload data'!Q:Q,'caseload data'!$A:$A,$B78,'caseload data'!$B:$B,"community")</f>
        <v>0</v>
      </c>
      <c r="P78" s="157">
        <f>SUMIFS('caseload data'!R:R,'caseload data'!$A:$A,$B78,'caseload data'!$B:$B,"community")</f>
        <v>0</v>
      </c>
      <c r="Q78" s="157">
        <f>SUMIFS('caseload data'!S:S,'caseload data'!$A:$A,$B78,'caseload data'!$B:$B,"community")</f>
        <v>0</v>
      </c>
      <c r="R78" s="157">
        <f>SUMIFS('caseload data'!T:T,'caseload data'!$A:$A,$B78,'caseload data'!$B:$B,"community")</f>
        <v>0</v>
      </c>
      <c r="S78" s="157">
        <f>SUMIFS('caseload data'!V:V,'caseload data'!$A:$A,B78,'caseload data'!$B:$B,"community")</f>
        <v>0</v>
      </c>
      <c r="T78" s="76"/>
      <c r="U78" s="161" t="s">
        <v>30</v>
      </c>
      <c r="V78" s="78" t="e">
        <f t="shared" si="266"/>
        <v>#DIV/0!</v>
      </c>
      <c r="W78" s="78" t="e">
        <f t="shared" si="267"/>
        <v>#DIV/0!</v>
      </c>
      <c r="X78" s="78" t="e">
        <f t="shared" si="268"/>
        <v>#DIV/0!</v>
      </c>
      <c r="Y78" s="78" t="e">
        <f t="shared" si="269"/>
        <v>#DIV/0!</v>
      </c>
      <c r="Z78" s="78" t="e">
        <f t="shared" si="270"/>
        <v>#DIV/0!</v>
      </c>
      <c r="AA78" s="78" t="e">
        <f t="shared" si="271"/>
        <v>#DIV/0!</v>
      </c>
      <c r="AB78" s="78" t="e">
        <f t="shared" si="272"/>
        <v>#DIV/0!</v>
      </c>
      <c r="AC78" s="78" t="e">
        <f t="shared" si="273"/>
        <v>#DIV/0!</v>
      </c>
      <c r="AD78" s="78" t="e">
        <f t="shared" si="274"/>
        <v>#DIV/0!</v>
      </c>
      <c r="AE78" s="78" t="e">
        <f t="shared" si="275"/>
        <v>#DIV/0!</v>
      </c>
      <c r="AF78" s="78" t="e">
        <f t="shared" si="276"/>
        <v>#DIV/0!</v>
      </c>
      <c r="AG78" s="78" t="e">
        <f t="shared" si="277"/>
        <v>#DIV/0!</v>
      </c>
      <c r="AH78" s="78" t="e">
        <f t="shared" si="278"/>
        <v>#DIV/0!</v>
      </c>
      <c r="AI78" s="78" t="e">
        <f t="shared" si="279"/>
        <v>#DIV/0!</v>
      </c>
      <c r="AJ78" s="78" t="e">
        <f t="shared" si="280"/>
        <v>#DIV/0!</v>
      </c>
      <c r="AK78" s="78" t="e">
        <f t="shared" si="281"/>
        <v>#DIV/0!</v>
      </c>
    </row>
    <row r="79" spans="2:37" x14ac:dyDescent="0.15">
      <c r="B79" s="161" t="s">
        <v>34</v>
      </c>
      <c r="C79" s="157">
        <f>SUMIFS('caseload data'!E:E,'caseload data'!$A:$A,$B79,'caseload data'!$B:$B,"community")</f>
        <v>0</v>
      </c>
      <c r="D79" s="157">
        <f>SUMIFS('caseload data'!F:F,'caseload data'!$A:$A,$B79,'caseload data'!$B:$B,"community")</f>
        <v>0</v>
      </c>
      <c r="E79" s="157">
        <f>SUMIFS('caseload data'!G:G,'caseload data'!$A:$A,$B79,'caseload data'!$B:$B,"community")</f>
        <v>0</v>
      </c>
      <c r="F79" s="157">
        <f>SUMIFS('caseload data'!H:H,'caseload data'!$A:$A,$B79,'caseload data'!$B:$B,"community")</f>
        <v>0</v>
      </c>
      <c r="G79" s="157">
        <f>SUMIFS('caseload data'!I:I,'caseload data'!$A:$A,$B79,'caseload data'!$B:$B,"community")</f>
        <v>0</v>
      </c>
      <c r="H79" s="157">
        <f>SUMIFS('caseload data'!J:J,'caseload data'!$A:$A,$B79,'caseload data'!$B:$B,"community")</f>
        <v>0</v>
      </c>
      <c r="I79" s="157">
        <f>SUMIFS('caseload data'!K:K,'caseload data'!$A:$A,$B79,'caseload data'!$B:$B,"community")</f>
        <v>0</v>
      </c>
      <c r="J79" s="157">
        <f>SUMIFS('caseload data'!L:L,'caseload data'!$A:$A,$B79,'caseload data'!$B:$B,"community")</f>
        <v>0</v>
      </c>
      <c r="K79" s="157">
        <f>SUMIFS('caseload data'!M:M,'caseload data'!$A:$A,$B79,'caseload data'!$B:$B,"community")</f>
        <v>0</v>
      </c>
      <c r="L79" s="157">
        <f>SUMIFS('caseload data'!N:N,'caseload data'!$A:$A,$B79,'caseload data'!$B:$B,"community")</f>
        <v>0</v>
      </c>
      <c r="M79" s="157">
        <f>SUMIFS('caseload data'!O:O,'caseload data'!$A:$A,$B79,'caseload data'!$B:$B,"community")</f>
        <v>0</v>
      </c>
      <c r="N79" s="157">
        <f>SUMIFS('caseload data'!P:P,'caseload data'!$A:$A,$B79,'caseload data'!$B:$B,"community")</f>
        <v>0</v>
      </c>
      <c r="O79" s="157">
        <f>SUMIFS('caseload data'!Q:Q,'caseload data'!$A:$A,$B79,'caseload data'!$B:$B,"community")</f>
        <v>0</v>
      </c>
      <c r="P79" s="157">
        <f>SUMIFS('caseload data'!R:R,'caseload data'!$A:$A,$B79,'caseload data'!$B:$B,"community")</f>
        <v>0</v>
      </c>
      <c r="Q79" s="157">
        <f>SUMIFS('caseload data'!S:S,'caseload data'!$A:$A,$B79,'caseload data'!$B:$B,"community")</f>
        <v>0</v>
      </c>
      <c r="R79" s="157">
        <f>SUMIFS('caseload data'!T:T,'caseload data'!$A:$A,$B79,'caseload data'!$B:$B,"community")</f>
        <v>0</v>
      </c>
      <c r="S79" s="157">
        <f>SUMIFS('caseload data'!V:V,'caseload data'!$A:$A,B79,'caseload data'!$B:$B,"community")</f>
        <v>0</v>
      </c>
      <c r="T79" s="76"/>
      <c r="U79" s="161" t="s">
        <v>34</v>
      </c>
      <c r="V79" s="78" t="e">
        <f t="shared" si="266"/>
        <v>#DIV/0!</v>
      </c>
      <c r="W79" s="78" t="e">
        <f t="shared" si="267"/>
        <v>#DIV/0!</v>
      </c>
      <c r="X79" s="78" t="e">
        <f t="shared" si="268"/>
        <v>#DIV/0!</v>
      </c>
      <c r="Y79" s="78" t="e">
        <f t="shared" si="269"/>
        <v>#DIV/0!</v>
      </c>
      <c r="Z79" s="78" t="e">
        <f t="shared" si="270"/>
        <v>#DIV/0!</v>
      </c>
      <c r="AA79" s="78" t="e">
        <f t="shared" si="271"/>
        <v>#DIV/0!</v>
      </c>
      <c r="AB79" s="78" t="e">
        <f t="shared" si="272"/>
        <v>#DIV/0!</v>
      </c>
      <c r="AC79" s="78" t="e">
        <f t="shared" si="273"/>
        <v>#DIV/0!</v>
      </c>
      <c r="AD79" s="78" t="e">
        <f t="shared" si="274"/>
        <v>#DIV/0!</v>
      </c>
      <c r="AE79" s="78" t="e">
        <f t="shared" si="275"/>
        <v>#DIV/0!</v>
      </c>
      <c r="AF79" s="78" t="e">
        <f t="shared" si="276"/>
        <v>#DIV/0!</v>
      </c>
      <c r="AG79" s="78" t="e">
        <f t="shared" si="277"/>
        <v>#DIV/0!</v>
      </c>
      <c r="AH79" s="78" t="e">
        <f t="shared" si="278"/>
        <v>#DIV/0!</v>
      </c>
      <c r="AI79" s="78" t="e">
        <f t="shared" si="279"/>
        <v>#DIV/0!</v>
      </c>
      <c r="AJ79" s="78" t="e">
        <f t="shared" si="280"/>
        <v>#DIV/0!</v>
      </c>
      <c r="AK79" s="78" t="e">
        <f t="shared" si="281"/>
        <v>#DIV/0!</v>
      </c>
    </row>
    <row r="80" spans="2:37" x14ac:dyDescent="0.15">
      <c r="B80" s="123" t="s">
        <v>1036</v>
      </c>
      <c r="C80" s="159">
        <f>SUMIF('caseload data'!$B:$B,"community",'caseload data'!E:E)</f>
        <v>0</v>
      </c>
      <c r="D80" s="159">
        <f>SUMIF('caseload data'!$B:$B,"community",'caseload data'!F:F)</f>
        <v>0</v>
      </c>
      <c r="E80" s="159">
        <f>SUMIF('caseload data'!$B:$B,"community",'caseload data'!G:G)</f>
        <v>0</v>
      </c>
      <c r="F80" s="159">
        <f>SUMIF('caseload data'!$B:$B,"community",'caseload data'!H:H)</f>
        <v>0</v>
      </c>
      <c r="G80" s="159">
        <f>SUMIF('caseload data'!$B:$B,"community",'caseload data'!I:I)</f>
        <v>0</v>
      </c>
      <c r="H80" s="159">
        <f>SUMIF('caseload data'!$B:$B,"community",'caseload data'!J:J)</f>
        <v>0</v>
      </c>
      <c r="I80" s="159">
        <f>SUMIF('caseload data'!$B:$B,"community",'caseload data'!K:K)</f>
        <v>0</v>
      </c>
      <c r="J80" s="159">
        <f>SUMIF('caseload data'!$B:$B,"community",'caseload data'!L:L)</f>
        <v>0</v>
      </c>
      <c r="K80" s="159">
        <f>SUMIF('caseload data'!$B:$B,"community",'caseload data'!M:M)</f>
        <v>0</v>
      </c>
      <c r="L80" s="159">
        <f>SUMIF('caseload data'!$B:$B,"community",'caseload data'!N:N)</f>
        <v>0</v>
      </c>
      <c r="M80" s="159">
        <f>SUMIF('caseload data'!$B:$B,"community",'caseload data'!O:O)</f>
        <v>0</v>
      </c>
      <c r="N80" s="159">
        <f>SUMIF('caseload data'!$B:$B,"community",'caseload data'!P:P)</f>
        <v>0</v>
      </c>
      <c r="O80" s="159">
        <f>SUMIF('caseload data'!$B:$B,"community",'caseload data'!Q:Q)</f>
        <v>0</v>
      </c>
      <c r="P80" s="159">
        <f>SUMIF('caseload data'!$B:$B,"community",'caseload data'!R:R)</f>
        <v>0</v>
      </c>
      <c r="Q80" s="159">
        <f>SUMIF('caseload data'!$B:$B,"community",'caseload data'!S:S)</f>
        <v>0</v>
      </c>
      <c r="R80" s="159">
        <f>SUMIF('caseload data'!$B:$B,"community",'caseload data'!T:T)</f>
        <v>0</v>
      </c>
      <c r="S80" s="159">
        <f>SUMIF('caseload data'!$B:$B,"community",'caseload data'!V:V)</f>
        <v>0</v>
      </c>
      <c r="T80" s="76"/>
      <c r="U80" s="123" t="s">
        <v>1036</v>
      </c>
      <c r="V80" s="128" t="e">
        <f>C80/$S$80</f>
        <v>#DIV/0!</v>
      </c>
      <c r="W80" s="128" t="e">
        <f t="shared" ref="W80:AK80" si="282">D80/$S$80</f>
        <v>#DIV/0!</v>
      </c>
      <c r="X80" s="128" t="e">
        <f t="shared" si="282"/>
        <v>#DIV/0!</v>
      </c>
      <c r="Y80" s="128" t="e">
        <f t="shared" si="282"/>
        <v>#DIV/0!</v>
      </c>
      <c r="Z80" s="128" t="e">
        <f t="shared" si="282"/>
        <v>#DIV/0!</v>
      </c>
      <c r="AA80" s="128" t="e">
        <f t="shared" si="282"/>
        <v>#DIV/0!</v>
      </c>
      <c r="AB80" s="128" t="e">
        <f t="shared" si="282"/>
        <v>#DIV/0!</v>
      </c>
      <c r="AC80" s="128" t="e">
        <f t="shared" si="282"/>
        <v>#DIV/0!</v>
      </c>
      <c r="AD80" s="128" t="e">
        <f t="shared" si="282"/>
        <v>#DIV/0!</v>
      </c>
      <c r="AE80" s="128" t="e">
        <f t="shared" si="282"/>
        <v>#DIV/0!</v>
      </c>
      <c r="AF80" s="128" t="e">
        <f t="shared" si="282"/>
        <v>#DIV/0!</v>
      </c>
      <c r="AG80" s="128" t="e">
        <f t="shared" si="282"/>
        <v>#DIV/0!</v>
      </c>
      <c r="AH80" s="128" t="e">
        <f t="shared" si="282"/>
        <v>#DIV/0!</v>
      </c>
      <c r="AI80" s="128" t="e">
        <f t="shared" si="282"/>
        <v>#DIV/0!</v>
      </c>
      <c r="AJ80" s="128" t="e">
        <f t="shared" si="282"/>
        <v>#DIV/0!</v>
      </c>
      <c r="AK80" s="128" t="e">
        <f t="shared" si="282"/>
        <v>#DIV/0!</v>
      </c>
    </row>
  </sheetData>
  <mergeCells count="10">
    <mergeCell ref="C44:S44"/>
    <mergeCell ref="C63:S63"/>
    <mergeCell ref="V24:AB24"/>
    <mergeCell ref="V44:AB44"/>
    <mergeCell ref="V63:AB63"/>
    <mergeCell ref="A1:AN1"/>
    <mergeCell ref="A2:AN2"/>
    <mergeCell ref="C4:S4"/>
    <mergeCell ref="V4:AB4"/>
    <mergeCell ref="C24:S24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/>
  <dimension ref="A1:AO104"/>
  <sheetViews>
    <sheetView showGridLines="0" zoomScale="70" zoomScaleNormal="70" workbookViewId="0">
      <selection activeCell="X102" sqref="X102"/>
    </sheetView>
  </sheetViews>
  <sheetFormatPr baseColWidth="10" defaultColWidth="8.832031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41" ht="63" customHeight="1" x14ac:dyDescent="0.15">
      <c r="A1" s="316" t="s">
        <v>1256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  <c r="AB1" s="316"/>
      <c r="AC1" s="316"/>
      <c r="AD1" s="316"/>
      <c r="AE1" s="316"/>
      <c r="AF1" s="316"/>
      <c r="AG1" s="316"/>
      <c r="AH1" s="316"/>
      <c r="AI1" s="316"/>
      <c r="AJ1" s="316"/>
      <c r="AK1" s="316"/>
      <c r="AL1" s="316"/>
      <c r="AM1" s="316"/>
      <c r="AN1" s="316"/>
      <c r="AO1" s="316"/>
    </row>
    <row r="2" spans="1:41" ht="56.25" customHeight="1" x14ac:dyDescent="0.15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5"/>
      <c r="W2" s="275"/>
      <c r="X2" s="275"/>
      <c r="Y2" s="275"/>
      <c r="Z2" s="275"/>
      <c r="AA2" s="275"/>
      <c r="AB2" s="275"/>
      <c r="AC2" s="275"/>
      <c r="AD2" s="275"/>
      <c r="AE2" s="275"/>
      <c r="AF2" s="275"/>
      <c r="AG2" s="275"/>
      <c r="AH2" s="275"/>
      <c r="AI2" s="275"/>
      <c r="AJ2" s="275"/>
      <c r="AK2" s="275"/>
      <c r="AL2" s="275"/>
      <c r="AM2" s="275"/>
      <c r="AN2" s="275"/>
      <c r="AO2" s="275"/>
    </row>
    <row r="3" spans="1:41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</row>
    <row r="4" spans="1:41" ht="28" x14ac:dyDescent="0.15">
      <c r="B4" s="163" t="s">
        <v>1133</v>
      </c>
    </row>
    <row r="5" spans="1:41" ht="15" x14ac:dyDescent="0.15">
      <c r="B5" s="61" t="s">
        <v>22</v>
      </c>
      <c r="P5" s="44"/>
      <c r="Q5" s="44"/>
    </row>
    <row r="6" spans="1:41" x14ac:dyDescent="0.15">
      <c r="B6" s="53"/>
    </row>
    <row r="8" spans="1:41" ht="28.5" customHeight="1" x14ac:dyDescent="0.15">
      <c r="B8" s="162" t="str">
        <f>HLOOKUP($B$5,Region_Table,2,0)</f>
        <v>Accredited Programmes and Structured Interventions - N07</v>
      </c>
      <c r="C8" s="333" t="s">
        <v>1257</v>
      </c>
      <c r="D8" s="334"/>
      <c r="E8" s="334"/>
      <c r="F8" s="334"/>
      <c r="G8" s="334"/>
      <c r="H8" s="334"/>
      <c r="I8" s="334"/>
      <c r="J8" s="334"/>
      <c r="K8" s="334"/>
      <c r="L8" s="334"/>
      <c r="M8" s="335"/>
      <c r="N8" s="335"/>
      <c r="O8" s="336"/>
      <c r="P8" s="337">
        <f>SUMIF('caseload data'!C:C,'divisional &amp; regional caseload'!B8,'caseload data'!V:V)</f>
        <v>0</v>
      </c>
      <c r="Q8" s="338"/>
      <c r="R8" s="339"/>
      <c r="S8" s="104"/>
      <c r="T8" s="162" t="str">
        <f>HLOOKUP($B$5,Region_Table,3,0)</f>
        <v>All London</v>
      </c>
      <c r="U8" s="333" t="s">
        <v>1257</v>
      </c>
      <c r="V8" s="335"/>
      <c r="W8" s="335"/>
      <c r="X8" s="336"/>
      <c r="Y8" s="337">
        <f>SUMIF('caseload data'!C:C,'divisional &amp; regional caseload'!T8,'caseload data'!V:V)</f>
        <v>0</v>
      </c>
      <c r="Z8" s="341"/>
      <c r="AA8" s="342"/>
    </row>
    <row r="9" spans="1:41" x14ac:dyDescent="0.15">
      <c r="B9" s="108" t="s">
        <v>1199</v>
      </c>
      <c r="C9" s="42" t="s">
        <v>1019</v>
      </c>
      <c r="D9" s="42" t="s">
        <v>1020</v>
      </c>
      <c r="E9" s="42" t="s">
        <v>1021</v>
      </c>
      <c r="F9" s="42" t="s">
        <v>1022</v>
      </c>
      <c r="G9" s="42" t="s">
        <v>1023</v>
      </c>
      <c r="H9" s="42" t="s">
        <v>1024</v>
      </c>
      <c r="I9" s="42" t="s">
        <v>1025</v>
      </c>
      <c r="J9" s="42" t="s">
        <v>1026</v>
      </c>
      <c r="K9" s="42" t="s">
        <v>1027</v>
      </c>
      <c r="L9" s="42" t="s">
        <v>1028</v>
      </c>
      <c r="M9" s="42" t="s">
        <v>1029</v>
      </c>
      <c r="N9" s="42" t="s">
        <v>1030</v>
      </c>
      <c r="O9" s="42" t="s">
        <v>1031</v>
      </c>
      <c r="P9" s="42" t="s">
        <v>1032</v>
      </c>
      <c r="Q9" s="42" t="s">
        <v>1033</v>
      </c>
      <c r="R9" s="42" t="s">
        <v>1034</v>
      </c>
      <c r="S9" s="104"/>
      <c r="T9" s="108" t="s">
        <v>1199</v>
      </c>
      <c r="U9" s="42" t="s">
        <v>1019</v>
      </c>
      <c r="V9" s="42" t="s">
        <v>1020</v>
      </c>
      <c r="W9" s="42" t="s">
        <v>1021</v>
      </c>
      <c r="X9" s="42" t="s">
        <v>1022</v>
      </c>
      <c r="Y9" s="42" t="s">
        <v>1023</v>
      </c>
      <c r="Z9" s="42" t="s">
        <v>1024</v>
      </c>
      <c r="AA9" s="42" t="s">
        <v>1025</v>
      </c>
      <c r="AB9" s="42" t="s">
        <v>1026</v>
      </c>
      <c r="AC9" s="42" t="s">
        <v>1027</v>
      </c>
      <c r="AD9" s="42" t="s">
        <v>1028</v>
      </c>
      <c r="AE9" s="42" t="s">
        <v>1029</v>
      </c>
      <c r="AF9" s="42" t="s">
        <v>1030</v>
      </c>
      <c r="AG9" s="42" t="s">
        <v>1031</v>
      </c>
      <c r="AH9" s="42" t="s">
        <v>1032</v>
      </c>
      <c r="AI9" s="42" t="s">
        <v>1033</v>
      </c>
      <c r="AJ9" s="42" t="s">
        <v>1034</v>
      </c>
    </row>
    <row r="10" spans="1:41" x14ac:dyDescent="0.15">
      <c r="B10" s="109" t="s">
        <v>1037</v>
      </c>
      <c r="C10" s="107">
        <f>SUMIFS('caseload data'!E:E,'caseload data'!$D:$D,"PO",'caseload data'!$C:$C,'divisional &amp; regional caseload'!$B$8)</f>
        <v>0</v>
      </c>
      <c r="D10" s="107">
        <f>SUMIFS('caseload data'!F:F,'caseload data'!$D:$D,"PO",'caseload data'!$C:$C,'divisional &amp; regional caseload'!$B$8)</f>
        <v>0</v>
      </c>
      <c r="E10" s="107">
        <f>SUMIFS('caseload data'!G:G,'caseload data'!$D:$D,"PO",'caseload data'!$C:$C,'divisional &amp; regional caseload'!$B$8)</f>
        <v>0</v>
      </c>
      <c r="F10" s="107">
        <f>SUMIFS('caseload data'!H:H,'caseload data'!$D:$D,"PO",'caseload data'!$C:$C,'divisional &amp; regional caseload'!$B$8)</f>
        <v>0</v>
      </c>
      <c r="G10" s="107">
        <f>SUMIFS('caseload data'!I:I,'caseload data'!$D:$D,"PO",'caseload data'!$C:$C,'divisional &amp; regional caseload'!$B$8)</f>
        <v>0</v>
      </c>
      <c r="H10" s="107">
        <f>SUMIFS('caseload data'!J:J,'caseload data'!$D:$D,"PO",'caseload data'!$C:$C,'divisional &amp; regional caseload'!$B$8)</f>
        <v>0</v>
      </c>
      <c r="I10" s="107">
        <f>SUMIFS('caseload data'!K:K,'caseload data'!$D:$D,"PO",'caseload data'!$C:$C,'divisional &amp; regional caseload'!$B$8)</f>
        <v>0</v>
      </c>
      <c r="J10" s="107">
        <f>SUMIFS('caseload data'!L:L,'caseload data'!$D:$D,"PO",'caseload data'!$C:$C,'divisional &amp; regional caseload'!$B$8)</f>
        <v>0</v>
      </c>
      <c r="K10" s="107">
        <f>SUMIFS('caseload data'!M:M,'caseload data'!$D:$D,"PO",'caseload data'!$C:$C,'divisional &amp; regional caseload'!$B$8)</f>
        <v>0</v>
      </c>
      <c r="L10" s="107">
        <f>SUMIFS('caseload data'!N:N,'caseload data'!$D:$D,"PO",'caseload data'!$C:$C,'divisional &amp; regional caseload'!$B$8)</f>
        <v>0</v>
      </c>
      <c r="M10" s="107">
        <f>SUMIFS('caseload data'!O:O,'caseload data'!$D:$D,"PO",'caseload data'!$C:$C,'divisional &amp; regional caseload'!$B$8)</f>
        <v>0</v>
      </c>
      <c r="N10" s="107">
        <f>SUMIFS('caseload data'!P:P,'caseload data'!$D:$D,"PO",'caseload data'!$C:$C,'divisional &amp; regional caseload'!$B$8)</f>
        <v>0</v>
      </c>
      <c r="O10" s="107">
        <f>SUMIFS('caseload data'!Q:Q,'caseload data'!$D:$D,"PO",'caseload data'!$C:$C,'divisional &amp; regional caseload'!$B$8)</f>
        <v>0</v>
      </c>
      <c r="P10" s="107">
        <f>SUMIFS('caseload data'!R:R,'caseload data'!$D:$D,"PO",'caseload data'!$C:$C,'divisional &amp; regional caseload'!$B$8)</f>
        <v>0</v>
      </c>
      <c r="Q10" s="107">
        <f>SUMIFS('caseload data'!S:S,'caseload data'!$D:$D,"PO",'caseload data'!$C:$C,'divisional &amp; regional caseload'!$B$8)</f>
        <v>0</v>
      </c>
      <c r="R10" s="107">
        <f>SUMIFS('caseload data'!T:T,'caseload data'!$D:$D,"PO",'caseload data'!$C:$C,'divisional &amp; regional caseload'!$B$8)</f>
        <v>0</v>
      </c>
      <c r="S10" s="104"/>
      <c r="T10" s="109" t="s">
        <v>1037</v>
      </c>
      <c r="U10" s="107">
        <f>SUMIFS('caseload data'!E:E,'caseload data'!$D:$D,"PO",'caseload data'!$C:$C,'divisional &amp; regional caseload'!$T$8)</f>
        <v>0</v>
      </c>
      <c r="V10" s="107">
        <f>SUMIFS('caseload data'!F:F,'caseload data'!$D:$D,"PO",'caseload data'!$C:$C,'divisional &amp; regional caseload'!$T$8)</f>
        <v>0</v>
      </c>
      <c r="W10" s="107">
        <f>SUMIFS('caseload data'!G:G,'caseload data'!$D:$D,"PO",'caseload data'!$C:$C,'divisional &amp; regional caseload'!$T$8)</f>
        <v>0</v>
      </c>
      <c r="X10" s="107">
        <f>SUMIFS('caseload data'!H:H,'caseload data'!$D:$D,"PO",'caseload data'!$C:$C,'divisional &amp; regional caseload'!$T$8)</f>
        <v>0</v>
      </c>
      <c r="Y10" s="107">
        <f>SUMIFS('caseload data'!I:I,'caseload data'!$D:$D,"PO",'caseload data'!$C:$C,'divisional &amp; regional caseload'!$T$8)</f>
        <v>0</v>
      </c>
      <c r="Z10" s="107">
        <f>SUMIFS('caseload data'!J:J,'caseload data'!$D:$D,"PO",'caseload data'!$C:$C,'divisional &amp; regional caseload'!$T$8)</f>
        <v>0</v>
      </c>
      <c r="AA10" s="107">
        <f>SUMIFS('caseload data'!K:K,'caseload data'!$D:$D,"PO",'caseload data'!$C:$C,'divisional &amp; regional caseload'!$T$8)</f>
        <v>0</v>
      </c>
      <c r="AB10" s="107">
        <f>SUMIFS('caseload data'!L:L,'caseload data'!$D:$D,"PO",'caseload data'!$C:$C,'divisional &amp; regional caseload'!$T$8)</f>
        <v>0</v>
      </c>
      <c r="AC10" s="107">
        <f>SUMIFS('caseload data'!M:M,'caseload data'!$D:$D,"PO",'caseload data'!$C:$C,'divisional &amp; regional caseload'!$T$8)</f>
        <v>0</v>
      </c>
      <c r="AD10" s="107">
        <f>SUMIFS('caseload data'!N:N,'caseload data'!$D:$D,"PO",'caseload data'!$C:$C,'divisional &amp; regional caseload'!$T$8)</f>
        <v>0</v>
      </c>
      <c r="AE10" s="107">
        <f>SUMIFS('caseload data'!O:O,'caseload data'!$D:$D,"PO",'caseload data'!$C:$C,'divisional &amp; regional caseload'!$T$8)</f>
        <v>0</v>
      </c>
      <c r="AF10" s="107">
        <f>SUMIFS('caseload data'!P:P,'caseload data'!$D:$D,"PO",'caseload data'!$C:$C,'divisional &amp; regional caseload'!$T$8)</f>
        <v>0</v>
      </c>
      <c r="AG10" s="107">
        <f>SUMIFS('caseload data'!Q:Q,'caseload data'!$D:$D,"PO",'caseload data'!$C:$C,'divisional &amp; regional caseload'!$T$8)</f>
        <v>0</v>
      </c>
      <c r="AH10" s="107">
        <f>SUMIFS('caseload data'!R:R,'caseload data'!$D:$D,"PO",'caseload data'!$C:$C,'divisional &amp; regional caseload'!$T$8)</f>
        <v>0</v>
      </c>
      <c r="AI10" s="107">
        <f>SUMIFS('caseload data'!S:S,'caseload data'!$D:$D,"PO",'caseload data'!$C:$C,'divisional &amp; regional caseload'!$T$8)</f>
        <v>0</v>
      </c>
      <c r="AJ10" s="107">
        <f>SUMIFS('caseload data'!T:T,'caseload data'!$D:$D,"PO",'caseload data'!$C:$C,'divisional &amp; regional caseload'!$T$8)</f>
        <v>0</v>
      </c>
    </row>
    <row r="11" spans="1:41" x14ac:dyDescent="0.15">
      <c r="B11" s="110" t="s">
        <v>1038</v>
      </c>
      <c r="C11" s="107">
        <f>SUMIFS('caseload data'!E:E,'caseload data'!$D:$D,"PSO",'caseload data'!$C:$C,'divisional &amp; regional caseload'!$B$8)</f>
        <v>0</v>
      </c>
      <c r="D11" s="107">
        <f>SUMIFS('caseload data'!F:F,'caseload data'!$D:$D,"PSO",'caseload data'!$C:$C,'divisional &amp; regional caseload'!$B$8)</f>
        <v>0</v>
      </c>
      <c r="E11" s="107">
        <f>SUMIFS('caseload data'!G:G,'caseload data'!$D:$D,"PSO",'caseload data'!$C:$C,'divisional &amp; regional caseload'!$B$8)</f>
        <v>0</v>
      </c>
      <c r="F11" s="107">
        <f>SUMIFS('caseload data'!H:H,'caseload data'!$D:$D,"PSO",'caseload data'!$C:$C,'divisional &amp; regional caseload'!$B$8)</f>
        <v>0</v>
      </c>
      <c r="G11" s="107">
        <f>SUMIFS('caseload data'!I:I,'caseload data'!$D:$D,"PSO",'caseload data'!$C:$C,'divisional &amp; regional caseload'!$B$8)</f>
        <v>0</v>
      </c>
      <c r="H11" s="107">
        <f>SUMIFS('caseload data'!J:J,'caseload data'!$D:$D,"PSO",'caseload data'!$C:$C,'divisional &amp; regional caseload'!$B$8)</f>
        <v>0</v>
      </c>
      <c r="I11" s="107">
        <f>SUMIFS('caseload data'!K:K,'caseload data'!$D:$D,"PSO",'caseload data'!$C:$C,'divisional &amp; regional caseload'!$B$8)</f>
        <v>0</v>
      </c>
      <c r="J11" s="107">
        <f>SUMIFS('caseload data'!L:L,'caseload data'!$D:$D,"PSO",'caseload data'!$C:$C,'divisional &amp; regional caseload'!$B$8)</f>
        <v>0</v>
      </c>
      <c r="K11" s="107">
        <f>SUMIFS('caseload data'!M:M,'caseload data'!$D:$D,"PSO",'caseload data'!$C:$C,'divisional &amp; regional caseload'!$B$8)</f>
        <v>0</v>
      </c>
      <c r="L11" s="107">
        <f>SUMIFS('caseload data'!N:N,'caseload data'!$D:$D,"PSO",'caseload data'!$C:$C,'divisional &amp; regional caseload'!$B$8)</f>
        <v>0</v>
      </c>
      <c r="M11" s="107">
        <f>SUMIFS('caseload data'!O:O,'caseload data'!$D:$D,"PSO",'caseload data'!$C:$C,'divisional &amp; regional caseload'!$B$8)</f>
        <v>0</v>
      </c>
      <c r="N11" s="107">
        <f>SUMIFS('caseload data'!P:P,'caseload data'!$D:$D,"PSO",'caseload data'!$C:$C,'divisional &amp; regional caseload'!$B$8)</f>
        <v>0</v>
      </c>
      <c r="O11" s="107">
        <f>SUMIFS('caseload data'!Q:Q,'caseload data'!$D:$D,"PSO",'caseload data'!$C:$C,'divisional &amp; regional caseload'!$B$8)</f>
        <v>0</v>
      </c>
      <c r="P11" s="107">
        <f>SUMIFS('caseload data'!R:R,'caseload data'!$D:$D,"PSO",'caseload data'!$C:$C,'divisional &amp; regional caseload'!$B$8)</f>
        <v>0</v>
      </c>
      <c r="Q11" s="107">
        <f>SUMIFS('caseload data'!S:S,'caseload data'!$D:$D,"PSO",'caseload data'!$C:$C,'divisional &amp; regional caseload'!$B$8)</f>
        <v>0</v>
      </c>
      <c r="R11" s="107">
        <f>SUMIFS('caseload data'!T:T,'caseload data'!$D:$D,"PSO",'caseload data'!$C:$C,'divisional &amp; regional caseload'!$B$8)</f>
        <v>0</v>
      </c>
      <c r="S11" s="104"/>
      <c r="T11" s="110" t="s">
        <v>1038</v>
      </c>
      <c r="U11" s="107">
        <f>SUMIFS('caseload data'!E:E,'caseload data'!$D:$D,"PSO",'caseload data'!$C:$C,'divisional &amp; regional caseload'!$T$8)</f>
        <v>0</v>
      </c>
      <c r="V11" s="107">
        <f>SUMIFS('caseload data'!F:F,'caseload data'!$D:$D,"PSO",'caseload data'!$C:$C,'divisional &amp; regional caseload'!$T$8)</f>
        <v>0</v>
      </c>
      <c r="W11" s="107">
        <f>SUMIFS('caseload data'!G:G,'caseload data'!$D:$D,"PSO",'caseload data'!$C:$C,'divisional &amp; regional caseload'!$T$8)</f>
        <v>0</v>
      </c>
      <c r="X11" s="107">
        <f>SUMIFS('caseload data'!H:H,'caseload data'!$D:$D,"PSO",'caseload data'!$C:$C,'divisional &amp; regional caseload'!$T$8)</f>
        <v>0</v>
      </c>
      <c r="Y11" s="107">
        <f>SUMIFS('caseload data'!I:I,'caseload data'!$D:$D,"PSO",'caseload data'!$C:$C,'divisional &amp; regional caseload'!$T$8)</f>
        <v>0</v>
      </c>
      <c r="Z11" s="107">
        <f>SUMIFS('caseload data'!J:J,'caseload data'!$D:$D,"PSO",'caseload data'!$C:$C,'divisional &amp; regional caseload'!$T$8)</f>
        <v>0</v>
      </c>
      <c r="AA11" s="107">
        <f>SUMIFS('caseload data'!K:K,'caseload data'!$D:$D,"PSO",'caseload data'!$C:$C,'divisional &amp; regional caseload'!$T$8)</f>
        <v>0</v>
      </c>
      <c r="AB11" s="107">
        <f>SUMIFS('caseload data'!L:L,'caseload data'!$D:$D,"PSO",'caseload data'!$C:$C,'divisional &amp; regional caseload'!$T$8)</f>
        <v>0</v>
      </c>
      <c r="AC11" s="107">
        <f>SUMIFS('caseload data'!M:M,'caseload data'!$D:$D,"PSO",'caseload data'!$C:$C,'divisional &amp; regional caseload'!$T$8)</f>
        <v>0</v>
      </c>
      <c r="AD11" s="107">
        <f>SUMIFS('caseload data'!N:N,'caseload data'!$D:$D,"PSO",'caseload data'!$C:$C,'divisional &amp; regional caseload'!$T$8)</f>
        <v>0</v>
      </c>
      <c r="AE11" s="107">
        <f>SUMIFS('caseload data'!O:O,'caseload data'!$D:$D,"PSO",'caseload data'!$C:$C,'divisional &amp; regional caseload'!$T$8)</f>
        <v>0</v>
      </c>
      <c r="AF11" s="107">
        <f>SUMIFS('caseload data'!P:P,'caseload data'!$D:$D,"PSO",'caseload data'!$C:$C,'divisional &amp; regional caseload'!$T$8)</f>
        <v>0</v>
      </c>
      <c r="AG11" s="107">
        <f>SUMIFS('caseload data'!Q:Q,'caseload data'!$D:$D,"PSO",'caseload data'!$C:$C,'divisional &amp; regional caseload'!$T$8)</f>
        <v>0</v>
      </c>
      <c r="AH11" s="107">
        <f>SUMIFS('caseload data'!R:R,'caseload data'!$D:$D,"PSO",'caseload data'!$C:$C,'divisional &amp; regional caseload'!$T$8)</f>
        <v>0</v>
      </c>
      <c r="AI11" s="107">
        <f>SUMIFS('caseload data'!S:S,'caseload data'!$D:$D,"PSO",'caseload data'!$C:$C,'divisional &amp; regional caseload'!$T$8)</f>
        <v>0</v>
      </c>
      <c r="AJ11" s="107">
        <f>SUMIFS('caseload data'!T:T,'caseload data'!$D:$D,"PSO",'caseload data'!$C:$C,'divisional &amp; regional caseload'!$T$8)</f>
        <v>0</v>
      </c>
    </row>
    <row r="12" spans="1:41" x14ac:dyDescent="0.15">
      <c r="B12" s="110" t="s">
        <v>1039</v>
      </c>
      <c r="C12" s="107">
        <f>SUMIFS('caseload data'!E:E,'caseload data'!$D:$D,"TPO",'caseload data'!$C:$C,'divisional &amp; regional caseload'!$B$8)</f>
        <v>0</v>
      </c>
      <c r="D12" s="107">
        <f>SUMIFS('caseload data'!F:F,'caseload data'!$D:$D,"TPO",'caseload data'!$C:$C,'divisional &amp; regional caseload'!$B$8)</f>
        <v>0</v>
      </c>
      <c r="E12" s="107">
        <f>SUMIFS('caseload data'!G:G,'caseload data'!$D:$D,"TPO",'caseload data'!$C:$C,'divisional &amp; regional caseload'!$B$8)</f>
        <v>0</v>
      </c>
      <c r="F12" s="107">
        <f>SUMIFS('caseload data'!H:H,'caseload data'!$D:$D,"TPO",'caseload data'!$C:$C,'divisional &amp; regional caseload'!$B$8)</f>
        <v>0</v>
      </c>
      <c r="G12" s="107">
        <f>SUMIFS('caseload data'!I:I,'caseload data'!$D:$D,"TPO",'caseload data'!$C:$C,'divisional &amp; regional caseload'!$B$8)</f>
        <v>0</v>
      </c>
      <c r="H12" s="107">
        <f>SUMIFS('caseload data'!J:J,'caseload data'!$D:$D,"TPO",'caseload data'!$C:$C,'divisional &amp; regional caseload'!$B$8)</f>
        <v>0</v>
      </c>
      <c r="I12" s="107">
        <f>SUMIFS('caseload data'!K:K,'caseload data'!$D:$D,"TPO",'caseload data'!$C:$C,'divisional &amp; regional caseload'!$B$8)</f>
        <v>0</v>
      </c>
      <c r="J12" s="107">
        <f>SUMIFS('caseload data'!L:L,'caseload data'!$D:$D,"TPO",'caseload data'!$C:$C,'divisional &amp; regional caseload'!$B$8)</f>
        <v>0</v>
      </c>
      <c r="K12" s="107">
        <f>SUMIFS('caseload data'!M:M,'caseload data'!$D:$D,"TPO",'caseload data'!$C:$C,'divisional &amp; regional caseload'!$B$8)</f>
        <v>0</v>
      </c>
      <c r="L12" s="107">
        <f>SUMIFS('caseload data'!N:N,'caseload data'!$D:$D,"TPO",'caseload data'!$C:$C,'divisional &amp; regional caseload'!$B$8)</f>
        <v>0</v>
      </c>
      <c r="M12" s="107">
        <f>SUMIFS('caseload data'!O:O,'caseload data'!$D:$D,"TPO",'caseload data'!$C:$C,'divisional &amp; regional caseload'!$B$8)</f>
        <v>0</v>
      </c>
      <c r="N12" s="107">
        <f>SUMIFS('caseload data'!P:P,'caseload data'!$D:$D,"TPO",'caseload data'!$C:$C,'divisional &amp; regional caseload'!$B$8)</f>
        <v>0</v>
      </c>
      <c r="O12" s="107">
        <f>SUMIFS('caseload data'!Q:Q,'caseload data'!$D:$D,"TPO",'caseload data'!$C:$C,'divisional &amp; regional caseload'!$B$8)</f>
        <v>0</v>
      </c>
      <c r="P12" s="107">
        <f>SUMIFS('caseload data'!R:R,'caseload data'!$D:$D,"TPO",'caseload data'!$C:$C,'divisional &amp; regional caseload'!$B$8)</f>
        <v>0</v>
      </c>
      <c r="Q12" s="107">
        <f>SUMIFS('caseload data'!S:S,'caseload data'!$D:$D,"TPO",'caseload data'!$C:$C,'divisional &amp; regional caseload'!$B$8)</f>
        <v>0</v>
      </c>
      <c r="R12" s="107">
        <f>SUMIFS('caseload data'!T:T,'caseload data'!$D:$D,"TPO",'caseload data'!$C:$C,'divisional &amp; regional caseload'!$B$8)</f>
        <v>0</v>
      </c>
      <c r="S12" s="104"/>
      <c r="T12" s="110" t="s">
        <v>1039</v>
      </c>
      <c r="U12" s="107">
        <f>SUMIFS('caseload data'!E:E,'caseload data'!$D:$D,"TPO",'caseload data'!$C:$C,'divisional &amp; regional caseload'!$T$8)</f>
        <v>0</v>
      </c>
      <c r="V12" s="107">
        <f>SUMIFS('caseload data'!F:F,'caseload data'!$D:$D,"TPO",'caseload data'!$C:$C,'divisional &amp; regional caseload'!$T$8)</f>
        <v>0</v>
      </c>
      <c r="W12" s="107">
        <f>SUMIFS('caseload data'!G:G,'caseload data'!$D:$D,"TPO",'caseload data'!$C:$C,'divisional &amp; regional caseload'!$T$8)</f>
        <v>0</v>
      </c>
      <c r="X12" s="107">
        <f>SUMIFS('caseload data'!H:H,'caseload data'!$D:$D,"TPO",'caseload data'!$C:$C,'divisional &amp; regional caseload'!$T$8)</f>
        <v>0</v>
      </c>
      <c r="Y12" s="107">
        <f>SUMIFS('caseload data'!I:I,'caseload data'!$D:$D,"TPO",'caseload data'!$C:$C,'divisional &amp; regional caseload'!$T$8)</f>
        <v>0</v>
      </c>
      <c r="Z12" s="107">
        <f>SUMIFS('caseload data'!J:J,'caseload data'!$D:$D,"TPO",'caseload data'!$C:$C,'divisional &amp; regional caseload'!$T$8)</f>
        <v>0</v>
      </c>
      <c r="AA12" s="107">
        <f>SUMIFS('caseload data'!K:K,'caseload data'!$D:$D,"TPO",'caseload data'!$C:$C,'divisional &amp; regional caseload'!$T$8)</f>
        <v>0</v>
      </c>
      <c r="AB12" s="107">
        <f>SUMIFS('caseload data'!L:L,'caseload data'!$D:$D,"TPO",'caseload data'!$C:$C,'divisional &amp; regional caseload'!$T$8)</f>
        <v>0</v>
      </c>
      <c r="AC12" s="107">
        <f>SUMIFS('caseload data'!M:M,'caseload data'!$D:$D,"TPO",'caseload data'!$C:$C,'divisional &amp; regional caseload'!$T$8)</f>
        <v>0</v>
      </c>
      <c r="AD12" s="107">
        <f>SUMIFS('caseload data'!N:N,'caseload data'!$D:$D,"TPO",'caseload data'!$C:$C,'divisional &amp; regional caseload'!$T$8)</f>
        <v>0</v>
      </c>
      <c r="AE12" s="107">
        <f>SUMIFS('caseload data'!O:O,'caseload data'!$D:$D,"TPO",'caseload data'!$C:$C,'divisional &amp; regional caseload'!$T$8)</f>
        <v>0</v>
      </c>
      <c r="AF12" s="107">
        <f>SUMIFS('caseload data'!P:P,'caseload data'!$D:$D,"TPO",'caseload data'!$C:$C,'divisional &amp; regional caseload'!$T$8)</f>
        <v>0</v>
      </c>
      <c r="AG12" s="107">
        <f>SUMIFS('caseload data'!Q:Q,'caseload data'!$D:$D,"TPO",'caseload data'!$C:$C,'divisional &amp; regional caseload'!$T$8)</f>
        <v>0</v>
      </c>
      <c r="AH12" s="107">
        <f>SUMIFS('caseload data'!R:R,'caseload data'!$D:$D,"TPO",'caseload data'!$C:$C,'divisional &amp; regional caseload'!$T$8)</f>
        <v>0</v>
      </c>
      <c r="AI12" s="107">
        <f>SUMIFS('caseload data'!S:S,'caseload data'!$D:$D,"TPO",'caseload data'!$C:$C,'divisional &amp; regional caseload'!$T$8)</f>
        <v>0</v>
      </c>
      <c r="AJ12" s="107">
        <f>SUMIFS('caseload data'!T:T,'caseload data'!$D:$D,"TPO",'caseload data'!$C:$C,'divisional &amp; regional caseload'!$T$8)</f>
        <v>0</v>
      </c>
    </row>
    <row r="13" spans="1:41" x14ac:dyDescent="0.15">
      <c r="B13" s="111" t="s">
        <v>1040</v>
      </c>
      <c r="C13" s="107">
        <f>SUMIFS('caseload data'!E:E,'caseload data'!$D:$D,"SPO",'caseload data'!$C:$C,'divisional &amp; regional caseload'!$B$8)</f>
        <v>0</v>
      </c>
      <c r="D13" s="107">
        <f>SUMIFS('caseload data'!F:F,'caseload data'!$D:$D,"SPO",'caseload data'!$C:$C,'divisional &amp; regional caseload'!$B$8)</f>
        <v>0</v>
      </c>
      <c r="E13" s="107">
        <f>SUMIFS('caseload data'!G:G,'caseload data'!$D:$D,"SPO",'caseload data'!$C:$C,'divisional &amp; regional caseload'!$B$8)</f>
        <v>0</v>
      </c>
      <c r="F13" s="107">
        <f>SUMIFS('caseload data'!H:H,'caseload data'!$D:$D,"SPO",'caseload data'!$C:$C,'divisional &amp; regional caseload'!$B$8)</f>
        <v>0</v>
      </c>
      <c r="G13" s="107">
        <f>SUMIFS('caseload data'!I:I,'caseload data'!$D:$D,"SPO",'caseload data'!$C:$C,'divisional &amp; regional caseload'!$B$8)</f>
        <v>0</v>
      </c>
      <c r="H13" s="107">
        <f>SUMIFS('caseload data'!J:J,'caseload data'!$D:$D,"SPO",'caseload data'!$C:$C,'divisional &amp; regional caseload'!$B$8)</f>
        <v>0</v>
      </c>
      <c r="I13" s="107">
        <f>SUMIFS('caseload data'!K:K,'caseload data'!$D:$D,"SPO",'caseload data'!$C:$C,'divisional &amp; regional caseload'!$B$8)</f>
        <v>0</v>
      </c>
      <c r="J13" s="107">
        <f>SUMIFS('caseload data'!L:L,'caseload data'!$D:$D,"SPO",'caseload data'!$C:$C,'divisional &amp; regional caseload'!$B$8)</f>
        <v>0</v>
      </c>
      <c r="K13" s="107">
        <f>SUMIFS('caseload data'!M:M,'caseload data'!$D:$D,"SPO",'caseload data'!$C:$C,'divisional &amp; regional caseload'!$B$8)</f>
        <v>0</v>
      </c>
      <c r="L13" s="107">
        <f>SUMIFS('caseload data'!N:N,'caseload data'!$D:$D,"SPO",'caseload data'!$C:$C,'divisional &amp; regional caseload'!$B$8)</f>
        <v>0</v>
      </c>
      <c r="M13" s="107">
        <f>SUMIFS('caseload data'!O:O,'caseload data'!$D:$D,"SPO",'caseload data'!$C:$C,'divisional &amp; regional caseload'!$B$8)</f>
        <v>0</v>
      </c>
      <c r="N13" s="107">
        <f>SUMIFS('caseload data'!P:P,'caseload data'!$D:$D,"SPO",'caseload data'!$C:$C,'divisional &amp; regional caseload'!$B$8)</f>
        <v>0</v>
      </c>
      <c r="O13" s="107">
        <f>SUMIFS('caseload data'!Q:Q,'caseload data'!$D:$D,"SPO",'caseload data'!$C:$C,'divisional &amp; regional caseload'!$B$8)</f>
        <v>0</v>
      </c>
      <c r="P13" s="107">
        <f>SUMIFS('caseload data'!R:R,'caseload data'!$D:$D,"SPO",'caseload data'!$C:$C,'divisional &amp; regional caseload'!$B$8)</f>
        <v>0</v>
      </c>
      <c r="Q13" s="107">
        <f>SUMIFS('caseload data'!S:S,'caseload data'!$D:$D,"SPO",'caseload data'!$C:$C,'divisional &amp; regional caseload'!$B$8)</f>
        <v>0</v>
      </c>
      <c r="R13" s="107">
        <f>SUMIFS('caseload data'!T:T,'caseload data'!$D:$D,"SPO",'caseload data'!$C:$C,'divisional &amp; regional caseload'!$B$8)</f>
        <v>0</v>
      </c>
      <c r="S13" s="104"/>
      <c r="T13" s="111" t="s">
        <v>1040</v>
      </c>
      <c r="U13" s="107">
        <f>SUMIFS('caseload data'!E:E,'caseload data'!$D:$D,"SPO",'caseload data'!$C:$C,'divisional &amp; regional caseload'!$T$8)</f>
        <v>0</v>
      </c>
      <c r="V13" s="107">
        <f>SUMIFS('caseload data'!F:F,'caseload data'!$D:$D,"SPO",'caseload data'!$C:$C,'divisional &amp; regional caseload'!$T$8)</f>
        <v>0</v>
      </c>
      <c r="W13" s="107">
        <f>SUMIFS('caseload data'!G:G,'caseload data'!$D:$D,"SPO",'caseload data'!$C:$C,'divisional &amp; regional caseload'!$T$8)</f>
        <v>0</v>
      </c>
      <c r="X13" s="107">
        <f>SUMIFS('caseload data'!H:H,'caseload data'!$D:$D,"SPO",'caseload data'!$C:$C,'divisional &amp; regional caseload'!$T$8)</f>
        <v>0</v>
      </c>
      <c r="Y13" s="107">
        <f>SUMIFS('caseload data'!I:I,'caseload data'!$D:$D,"SPO",'caseload data'!$C:$C,'divisional &amp; regional caseload'!$T$8)</f>
        <v>0</v>
      </c>
      <c r="Z13" s="107">
        <f>SUMIFS('caseload data'!J:J,'caseload data'!$D:$D,"SPO",'caseload data'!$C:$C,'divisional &amp; regional caseload'!$T$8)</f>
        <v>0</v>
      </c>
      <c r="AA13" s="107">
        <f>SUMIFS('caseload data'!K:K,'caseload data'!$D:$D,"SPO",'caseload data'!$C:$C,'divisional &amp; regional caseload'!$T$8)</f>
        <v>0</v>
      </c>
      <c r="AB13" s="107">
        <f>SUMIFS('caseload data'!L:L,'caseload data'!$D:$D,"SPO",'caseload data'!$C:$C,'divisional &amp; regional caseload'!$T$8)</f>
        <v>0</v>
      </c>
      <c r="AC13" s="107">
        <f>SUMIFS('caseload data'!M:M,'caseload data'!$D:$D,"SPO",'caseload data'!$C:$C,'divisional &amp; regional caseload'!$T$8)</f>
        <v>0</v>
      </c>
      <c r="AD13" s="107">
        <f>SUMIFS('caseload data'!N:N,'caseload data'!$D:$D,"SPO",'caseload data'!$C:$C,'divisional &amp; regional caseload'!$T$8)</f>
        <v>0</v>
      </c>
      <c r="AE13" s="107">
        <f>SUMIFS('caseload data'!O:O,'caseload data'!$D:$D,"SPO",'caseload data'!$C:$C,'divisional &amp; regional caseload'!$T$8)</f>
        <v>0</v>
      </c>
      <c r="AF13" s="107">
        <f>SUMIFS('caseload data'!P:P,'caseload data'!$D:$D,"SPO",'caseload data'!$C:$C,'divisional &amp; regional caseload'!$T$8)</f>
        <v>0</v>
      </c>
      <c r="AG13" s="107">
        <f>SUMIFS('caseload data'!Q:Q,'caseload data'!$D:$D,"SPO",'caseload data'!$C:$C,'divisional &amp; regional caseload'!$T$8)</f>
        <v>0</v>
      </c>
      <c r="AH13" s="107">
        <f>SUMIFS('caseload data'!R:R,'caseload data'!$D:$D,"SPO",'caseload data'!$C:$C,'divisional &amp; regional caseload'!$T$8)</f>
        <v>0</v>
      </c>
      <c r="AI13" s="107">
        <f>SUMIFS('caseload data'!S:S,'caseload data'!$D:$D,"SPO",'caseload data'!$C:$C,'divisional &amp; regional caseload'!$T$8)</f>
        <v>0</v>
      </c>
      <c r="AJ13" s="107">
        <f>SUMIFS('caseload data'!T:T,'caseload data'!$D:$D,"SPO",'caseload data'!$C:$C,'divisional &amp; regional caseload'!$T$8)</f>
        <v>0</v>
      </c>
    </row>
    <row r="14" spans="1:41" x14ac:dyDescent="0.15"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</row>
    <row r="15" spans="1:41" ht="30" customHeight="1" x14ac:dyDescent="0.15">
      <c r="B15" s="162" t="str">
        <f>HLOOKUP($B$5,Region_Table,4,0)</f>
        <v>Barking and Dagenham and Havering</v>
      </c>
      <c r="C15" s="333" t="s">
        <v>1257</v>
      </c>
      <c r="D15" s="334"/>
      <c r="E15" s="334"/>
      <c r="F15" s="334"/>
      <c r="G15" s="334"/>
      <c r="H15" s="334"/>
      <c r="I15" s="334"/>
      <c r="J15" s="334"/>
      <c r="K15" s="334"/>
      <c r="L15" s="334"/>
      <c r="M15" s="335"/>
      <c r="N15" s="335"/>
      <c r="O15" s="336"/>
      <c r="P15" s="337">
        <f>SUMIF('caseload data'!$C:$C,'divisional &amp; regional caseload'!B15,'caseload data'!V:V)</f>
        <v>0</v>
      </c>
      <c r="Q15" s="338"/>
      <c r="R15" s="339"/>
      <c r="S15" s="104"/>
      <c r="T15" s="162" t="str">
        <f>HLOOKUP($B$5,Region_Table,5,0)</f>
        <v>Brent - N07</v>
      </c>
      <c r="U15" s="333" t="s">
        <v>1257</v>
      </c>
      <c r="V15" s="335"/>
      <c r="W15" s="335"/>
      <c r="X15" s="336"/>
      <c r="Y15" s="337">
        <f>SUMIF('caseload data'!$C:$C,'divisional &amp; regional caseload'!T15,'caseload data'!V:V)</f>
        <v>0</v>
      </c>
      <c r="Z15" s="338"/>
      <c r="AA15" s="339"/>
    </row>
    <row r="16" spans="1:41" x14ac:dyDescent="0.15">
      <c r="B16" s="108" t="s">
        <v>1199</v>
      </c>
      <c r="C16" s="42" t="s">
        <v>1019</v>
      </c>
      <c r="D16" s="42" t="s">
        <v>1020</v>
      </c>
      <c r="E16" s="42" t="s">
        <v>1021</v>
      </c>
      <c r="F16" s="42" t="s">
        <v>1022</v>
      </c>
      <c r="G16" s="42" t="s">
        <v>1023</v>
      </c>
      <c r="H16" s="42" t="s">
        <v>1024</v>
      </c>
      <c r="I16" s="42" t="s">
        <v>1025</v>
      </c>
      <c r="J16" s="42" t="s">
        <v>1026</v>
      </c>
      <c r="K16" s="42" t="s">
        <v>1027</v>
      </c>
      <c r="L16" s="42" t="s">
        <v>1028</v>
      </c>
      <c r="M16" s="42" t="s">
        <v>1029</v>
      </c>
      <c r="N16" s="42" t="s">
        <v>1030</v>
      </c>
      <c r="O16" s="42" t="s">
        <v>1031</v>
      </c>
      <c r="P16" s="42" t="s">
        <v>1032</v>
      </c>
      <c r="Q16" s="42" t="s">
        <v>1033</v>
      </c>
      <c r="R16" s="42" t="s">
        <v>1034</v>
      </c>
      <c r="S16" s="104"/>
      <c r="T16" s="108" t="s">
        <v>1199</v>
      </c>
      <c r="U16" s="42" t="s">
        <v>1019</v>
      </c>
      <c r="V16" s="42" t="s">
        <v>1020</v>
      </c>
      <c r="W16" s="42" t="s">
        <v>1021</v>
      </c>
      <c r="X16" s="42" t="s">
        <v>1022</v>
      </c>
      <c r="Y16" s="42" t="s">
        <v>1023</v>
      </c>
      <c r="Z16" s="42" t="s">
        <v>1024</v>
      </c>
      <c r="AA16" s="42" t="s">
        <v>1025</v>
      </c>
      <c r="AB16" s="42" t="s">
        <v>1026</v>
      </c>
      <c r="AC16" s="42" t="s">
        <v>1027</v>
      </c>
      <c r="AD16" s="42" t="s">
        <v>1028</v>
      </c>
      <c r="AE16" s="42" t="s">
        <v>1029</v>
      </c>
      <c r="AF16" s="42" t="s">
        <v>1030</v>
      </c>
      <c r="AG16" s="42" t="s">
        <v>1031</v>
      </c>
      <c r="AH16" s="42" t="s">
        <v>1032</v>
      </c>
      <c r="AI16" s="42" t="s">
        <v>1033</v>
      </c>
      <c r="AJ16" s="42" t="s">
        <v>1034</v>
      </c>
    </row>
    <row r="17" spans="2:36" x14ac:dyDescent="0.15">
      <c r="B17" s="109" t="s">
        <v>1037</v>
      </c>
      <c r="C17" s="107">
        <f>SUMIFS('caseload data'!E:E,'caseload data'!$D:$D,"PO",'caseload data'!$C:$C,'divisional &amp; regional caseload'!$B$15)</f>
        <v>0</v>
      </c>
      <c r="D17" s="107">
        <f>SUMIFS('caseload data'!F:F,'caseload data'!$D:$D,"PO",'caseload data'!$C:$C,'divisional &amp; regional caseload'!$B$15)</f>
        <v>0</v>
      </c>
      <c r="E17" s="107">
        <f>SUMIFS('caseload data'!G:G,'caseload data'!$D:$D,"PO",'caseload data'!$C:$C,'divisional &amp; regional caseload'!$B$15)</f>
        <v>0</v>
      </c>
      <c r="F17" s="107">
        <f>SUMIFS('caseload data'!H:H,'caseload data'!$D:$D,"PO",'caseload data'!$C:$C,'divisional &amp; regional caseload'!$B$15)</f>
        <v>0</v>
      </c>
      <c r="G17" s="107">
        <f>SUMIFS('caseload data'!I:I,'caseload data'!$D:$D,"PO",'caseload data'!$C:$C,'divisional &amp; regional caseload'!$B$15)</f>
        <v>0</v>
      </c>
      <c r="H17" s="107">
        <f>SUMIFS('caseload data'!J:J,'caseload data'!$D:$D,"PO",'caseload data'!$C:$C,'divisional &amp; regional caseload'!$B$15)</f>
        <v>0</v>
      </c>
      <c r="I17" s="107">
        <f>SUMIFS('caseload data'!K:K,'caseload data'!$D:$D,"PO",'caseload data'!$C:$C,'divisional &amp; regional caseload'!$B$15)</f>
        <v>0</v>
      </c>
      <c r="J17" s="107">
        <f>SUMIFS('caseload data'!L:L,'caseload data'!$D:$D,"PO",'caseload data'!$C:$C,'divisional &amp; regional caseload'!$B$15)</f>
        <v>0</v>
      </c>
      <c r="K17" s="107">
        <f>SUMIFS('caseload data'!M:M,'caseload data'!$D:$D,"PO",'caseload data'!$C:$C,'divisional &amp; regional caseload'!$B$15)</f>
        <v>0</v>
      </c>
      <c r="L17" s="107">
        <f>SUMIFS('caseload data'!N:N,'caseload data'!$D:$D,"PO",'caseload data'!$C:$C,'divisional &amp; regional caseload'!$B$15)</f>
        <v>0</v>
      </c>
      <c r="M17" s="107">
        <f>SUMIFS('caseload data'!O:O,'caseload data'!$D:$D,"PO",'caseload data'!$C:$C,'divisional &amp; regional caseload'!$B$15)</f>
        <v>0</v>
      </c>
      <c r="N17" s="107">
        <f>SUMIFS('caseload data'!P:P,'caseload data'!$D:$D,"PO",'caseload data'!$C:$C,'divisional &amp; regional caseload'!$B$15)</f>
        <v>0</v>
      </c>
      <c r="O17" s="107">
        <f>SUMIFS('caseload data'!Q:Q,'caseload data'!$D:$D,"PO",'caseload data'!$C:$C,'divisional &amp; regional caseload'!$B$15)</f>
        <v>0</v>
      </c>
      <c r="P17" s="107">
        <f>SUMIFS('caseload data'!R:R,'caseload data'!$D:$D,"PO",'caseload data'!$C:$C,'divisional &amp; regional caseload'!$B$15)</f>
        <v>0</v>
      </c>
      <c r="Q17" s="107">
        <f>SUMIFS('caseload data'!S:S,'caseload data'!$D:$D,"PO",'caseload data'!$C:$C,'divisional &amp; regional caseload'!$B$15)</f>
        <v>0</v>
      </c>
      <c r="R17" s="107">
        <f>SUMIFS('caseload data'!T:T,'caseload data'!$D:$D,"PO",'caseload data'!$C:$C,'divisional &amp; regional caseload'!$B$15)</f>
        <v>0</v>
      </c>
      <c r="S17" s="104"/>
      <c r="T17" s="109" t="s">
        <v>1037</v>
      </c>
      <c r="U17" s="107">
        <f>SUMIFS('caseload data'!E:E,'caseload data'!$D:$D,"PO",'caseload data'!$C:$C,'divisional &amp; regional caseload'!$T$15)</f>
        <v>0</v>
      </c>
      <c r="V17" s="107">
        <f>SUMIFS('caseload data'!F:F,'caseload data'!$D:$D,"PO",'caseload data'!$C:$C,'divisional &amp; regional caseload'!$T$15)</f>
        <v>0</v>
      </c>
      <c r="W17" s="107">
        <f>SUMIFS('caseload data'!G:G,'caseload data'!$D:$D,"PO",'caseload data'!$C:$C,'divisional &amp; regional caseload'!$T$15)</f>
        <v>0</v>
      </c>
      <c r="X17" s="107">
        <f>SUMIFS('caseload data'!H:H,'caseload data'!$D:$D,"PO",'caseload data'!$C:$C,'divisional &amp; regional caseload'!$T$15)</f>
        <v>0</v>
      </c>
      <c r="Y17" s="107">
        <f>SUMIFS('caseload data'!I:I,'caseload data'!$D:$D,"PO",'caseload data'!$C:$C,'divisional &amp; regional caseload'!$T$15)</f>
        <v>0</v>
      </c>
      <c r="Z17" s="107">
        <f>SUMIFS('caseload data'!J:J,'caseload data'!$D:$D,"PO",'caseload data'!$C:$C,'divisional &amp; regional caseload'!$T$15)</f>
        <v>0</v>
      </c>
      <c r="AA17" s="107">
        <f>SUMIFS('caseload data'!K:K,'caseload data'!$D:$D,"PO",'caseload data'!$C:$C,'divisional &amp; regional caseload'!$T$15)</f>
        <v>0</v>
      </c>
      <c r="AB17" s="107">
        <f>SUMIFS('caseload data'!L:L,'caseload data'!$D:$D,"PO",'caseload data'!$C:$C,'divisional &amp; regional caseload'!$T$15)</f>
        <v>0</v>
      </c>
      <c r="AC17" s="107">
        <f>SUMIFS('caseload data'!M:M,'caseload data'!$D:$D,"PO",'caseload data'!$C:$C,'divisional &amp; regional caseload'!$T$15)</f>
        <v>0</v>
      </c>
      <c r="AD17" s="107">
        <f>SUMIFS('caseload data'!N:N,'caseload data'!$D:$D,"PO",'caseload data'!$C:$C,'divisional &amp; regional caseload'!$T$15)</f>
        <v>0</v>
      </c>
      <c r="AE17" s="107">
        <f>SUMIFS('caseload data'!O:O,'caseload data'!$D:$D,"PO",'caseload data'!$C:$C,'divisional &amp; regional caseload'!$T$15)</f>
        <v>0</v>
      </c>
      <c r="AF17" s="107">
        <f>SUMIFS('caseload data'!P:P,'caseload data'!$D:$D,"PO",'caseload data'!$C:$C,'divisional &amp; regional caseload'!$T$15)</f>
        <v>0</v>
      </c>
      <c r="AG17" s="107">
        <f>SUMIFS('caseload data'!Q:Q,'caseload data'!$D:$D,"PO",'caseload data'!$C:$C,'divisional &amp; regional caseload'!$T$15)</f>
        <v>0</v>
      </c>
      <c r="AH17" s="107">
        <f>SUMIFS('caseload data'!R:R,'caseload data'!$D:$D,"PO",'caseload data'!$C:$C,'divisional &amp; regional caseload'!$T$15)</f>
        <v>0</v>
      </c>
      <c r="AI17" s="107">
        <f>SUMIFS('caseload data'!S:S,'caseload data'!$D:$D,"PO",'caseload data'!$C:$C,'divisional &amp; regional caseload'!$T$15)</f>
        <v>0</v>
      </c>
      <c r="AJ17" s="107">
        <f>SUMIFS('caseload data'!T:T,'caseload data'!$D:$D,"PO",'caseload data'!$C:$C,'divisional &amp; regional caseload'!$T$15)</f>
        <v>0</v>
      </c>
    </row>
    <row r="18" spans="2:36" x14ac:dyDescent="0.15">
      <c r="B18" s="110" t="s">
        <v>1038</v>
      </c>
      <c r="C18" s="107">
        <f>SUMIFS('caseload data'!E:E,'caseload data'!$D:$D,"PSO",'caseload data'!$C:$C,'divisional &amp; regional caseload'!$B$15)</f>
        <v>0</v>
      </c>
      <c r="D18" s="107">
        <f>SUMIFS('caseload data'!F:F,'caseload data'!$D:$D,"PSO",'caseload data'!$C:$C,'divisional &amp; regional caseload'!$B$15)</f>
        <v>0</v>
      </c>
      <c r="E18" s="107">
        <f>SUMIFS('caseload data'!G:G,'caseload data'!$D:$D,"PSO",'caseload data'!$C:$C,'divisional &amp; regional caseload'!$B$15)</f>
        <v>0</v>
      </c>
      <c r="F18" s="107">
        <f>SUMIFS('caseload data'!H:H,'caseload data'!$D:$D,"PSO",'caseload data'!$C:$C,'divisional &amp; regional caseload'!$B$15)</f>
        <v>0</v>
      </c>
      <c r="G18" s="107">
        <f>SUMIFS('caseload data'!I:I,'caseload data'!$D:$D,"PSO",'caseload data'!$C:$C,'divisional &amp; regional caseload'!$B$15)</f>
        <v>0</v>
      </c>
      <c r="H18" s="107">
        <f>SUMIFS('caseload data'!J:J,'caseload data'!$D:$D,"PSO",'caseload data'!$C:$C,'divisional &amp; regional caseload'!$B$15)</f>
        <v>0</v>
      </c>
      <c r="I18" s="107">
        <f>SUMIFS('caseload data'!K:K,'caseload data'!$D:$D,"PSO",'caseload data'!$C:$C,'divisional &amp; regional caseload'!$B$15)</f>
        <v>0</v>
      </c>
      <c r="J18" s="107">
        <f>SUMIFS('caseload data'!L:L,'caseload data'!$D:$D,"PSO",'caseload data'!$C:$C,'divisional &amp; regional caseload'!$B$15)</f>
        <v>0</v>
      </c>
      <c r="K18" s="107">
        <f>SUMIFS('caseload data'!M:M,'caseload data'!$D:$D,"PSO",'caseload data'!$C:$C,'divisional &amp; regional caseload'!$B$15)</f>
        <v>0</v>
      </c>
      <c r="L18" s="107">
        <f>SUMIFS('caseload data'!N:N,'caseload data'!$D:$D,"PSO",'caseload data'!$C:$C,'divisional &amp; regional caseload'!$B$15)</f>
        <v>0</v>
      </c>
      <c r="M18" s="107">
        <f>SUMIFS('caseload data'!O:O,'caseload data'!$D:$D,"PSO",'caseload data'!$C:$C,'divisional &amp; regional caseload'!$B$15)</f>
        <v>0</v>
      </c>
      <c r="N18" s="107">
        <f>SUMIFS('caseload data'!P:P,'caseload data'!$D:$D,"PSO",'caseload data'!$C:$C,'divisional &amp; regional caseload'!$B$15)</f>
        <v>0</v>
      </c>
      <c r="O18" s="107">
        <f>SUMIFS('caseload data'!Q:Q,'caseload data'!$D:$D,"PSO",'caseload data'!$C:$C,'divisional &amp; regional caseload'!$B$15)</f>
        <v>0</v>
      </c>
      <c r="P18" s="107">
        <f>SUMIFS('caseload data'!R:R,'caseload data'!$D:$D,"PSO",'caseload data'!$C:$C,'divisional &amp; regional caseload'!$B$15)</f>
        <v>0</v>
      </c>
      <c r="Q18" s="107">
        <f>SUMIFS('caseload data'!S:S,'caseload data'!$D:$D,"PSO",'caseload data'!$C:$C,'divisional &amp; regional caseload'!$B$15)</f>
        <v>0</v>
      </c>
      <c r="R18" s="107">
        <f>SUMIFS('caseload data'!T:T,'caseload data'!$D:$D,"PSO",'caseload data'!$C:$C,'divisional &amp; regional caseload'!$B$15)</f>
        <v>0</v>
      </c>
      <c r="S18" s="104"/>
      <c r="T18" s="110" t="s">
        <v>1038</v>
      </c>
      <c r="U18" s="107">
        <f>SUMIFS('caseload data'!E:E,'caseload data'!$D:$D,"PSO",'caseload data'!$C:$C,'divisional &amp; regional caseload'!$T$15)</f>
        <v>0</v>
      </c>
      <c r="V18" s="107">
        <f>SUMIFS('caseload data'!F:F,'caseload data'!$D:$D,"PSO",'caseload data'!$C:$C,'divisional &amp; regional caseload'!$T$15)</f>
        <v>0</v>
      </c>
      <c r="W18" s="107">
        <f>SUMIFS('caseload data'!G:G,'caseload data'!$D:$D,"PSO",'caseload data'!$C:$C,'divisional &amp; regional caseload'!$T$15)</f>
        <v>0</v>
      </c>
      <c r="X18" s="107">
        <f>SUMIFS('caseload data'!H:H,'caseload data'!$D:$D,"PSO",'caseload data'!$C:$C,'divisional &amp; regional caseload'!$T$15)</f>
        <v>0</v>
      </c>
      <c r="Y18" s="107">
        <f>SUMIFS('caseload data'!I:I,'caseload data'!$D:$D,"PSO",'caseload data'!$C:$C,'divisional &amp; regional caseload'!$T$15)</f>
        <v>0</v>
      </c>
      <c r="Z18" s="107">
        <f>SUMIFS('caseload data'!J:J,'caseload data'!$D:$D,"PSO",'caseload data'!$C:$C,'divisional &amp; regional caseload'!$T$15)</f>
        <v>0</v>
      </c>
      <c r="AA18" s="107">
        <f>SUMIFS('caseload data'!K:K,'caseload data'!$D:$D,"PSO",'caseload data'!$C:$C,'divisional &amp; regional caseload'!$T$15)</f>
        <v>0</v>
      </c>
      <c r="AB18" s="107">
        <f>SUMIFS('caseload data'!L:L,'caseload data'!$D:$D,"PSO",'caseload data'!$C:$C,'divisional &amp; regional caseload'!$T$15)</f>
        <v>0</v>
      </c>
      <c r="AC18" s="107">
        <f>SUMIFS('caseload data'!M:M,'caseload data'!$D:$D,"PSO",'caseload data'!$C:$C,'divisional &amp; regional caseload'!$T$15)</f>
        <v>0</v>
      </c>
      <c r="AD18" s="107">
        <f>SUMIFS('caseload data'!N:N,'caseload data'!$D:$D,"PSO",'caseload data'!$C:$C,'divisional &amp; regional caseload'!$T$15)</f>
        <v>0</v>
      </c>
      <c r="AE18" s="107">
        <f>SUMIFS('caseload data'!O:O,'caseload data'!$D:$D,"PSO",'caseload data'!$C:$C,'divisional &amp; regional caseload'!$T$15)</f>
        <v>0</v>
      </c>
      <c r="AF18" s="107">
        <f>SUMIFS('caseload data'!P:P,'caseload data'!$D:$D,"PSO",'caseload data'!$C:$C,'divisional &amp; regional caseload'!$T$15)</f>
        <v>0</v>
      </c>
      <c r="AG18" s="107">
        <f>SUMIFS('caseload data'!Q:Q,'caseload data'!$D:$D,"PSO",'caseload data'!$C:$C,'divisional &amp; regional caseload'!$T$15)</f>
        <v>0</v>
      </c>
      <c r="AH18" s="107">
        <f>SUMIFS('caseload data'!R:R,'caseload data'!$D:$D,"PSO",'caseload data'!$C:$C,'divisional &amp; regional caseload'!$T$15)</f>
        <v>0</v>
      </c>
      <c r="AI18" s="107">
        <f>SUMIFS('caseload data'!S:S,'caseload data'!$D:$D,"PSO",'caseload data'!$C:$C,'divisional &amp; regional caseload'!$T$15)</f>
        <v>0</v>
      </c>
      <c r="AJ18" s="107">
        <f>SUMIFS('caseload data'!T:T,'caseload data'!$D:$D,"PSO",'caseload data'!$C:$C,'divisional &amp; regional caseload'!$T$15)</f>
        <v>0</v>
      </c>
    </row>
    <row r="19" spans="2:36" x14ac:dyDescent="0.15">
      <c r="B19" s="110" t="s">
        <v>1039</v>
      </c>
      <c r="C19" s="107">
        <f>SUMIFS('caseload data'!E:E,'caseload data'!$D:$D,"TPO",'caseload data'!$C:$C,'divisional &amp; regional caseload'!$B$15)</f>
        <v>0</v>
      </c>
      <c r="D19" s="107">
        <f>SUMIFS('caseload data'!F:F,'caseload data'!$D:$D,"TPO",'caseload data'!$C:$C,'divisional &amp; regional caseload'!$B$15)</f>
        <v>0</v>
      </c>
      <c r="E19" s="107">
        <f>SUMIFS('caseload data'!G:G,'caseload data'!$D:$D,"TPO",'caseload data'!$C:$C,'divisional &amp; regional caseload'!$B$15)</f>
        <v>0</v>
      </c>
      <c r="F19" s="107">
        <f>SUMIFS('caseload data'!H:H,'caseload data'!$D:$D,"TPO",'caseload data'!$C:$C,'divisional &amp; regional caseload'!$B$15)</f>
        <v>0</v>
      </c>
      <c r="G19" s="107">
        <f>SUMIFS('caseload data'!I:I,'caseload data'!$D:$D,"TPO",'caseload data'!$C:$C,'divisional &amp; regional caseload'!$B$15)</f>
        <v>0</v>
      </c>
      <c r="H19" s="107">
        <f>SUMIFS('caseload data'!J:J,'caseload data'!$D:$D,"TPO",'caseload data'!$C:$C,'divisional &amp; regional caseload'!$B$15)</f>
        <v>0</v>
      </c>
      <c r="I19" s="107">
        <f>SUMIFS('caseload data'!K:K,'caseload data'!$D:$D,"TPO",'caseload data'!$C:$C,'divisional &amp; regional caseload'!$B$15)</f>
        <v>0</v>
      </c>
      <c r="J19" s="107">
        <f>SUMIFS('caseload data'!L:L,'caseload data'!$D:$D,"TPO",'caseload data'!$C:$C,'divisional &amp; regional caseload'!$B$15)</f>
        <v>0</v>
      </c>
      <c r="K19" s="107">
        <f>SUMIFS('caseload data'!M:M,'caseload data'!$D:$D,"TPO",'caseload data'!$C:$C,'divisional &amp; regional caseload'!$B$15)</f>
        <v>0</v>
      </c>
      <c r="L19" s="107">
        <f>SUMIFS('caseload data'!N:N,'caseload data'!$D:$D,"TPO",'caseload data'!$C:$C,'divisional &amp; regional caseload'!$B$15)</f>
        <v>0</v>
      </c>
      <c r="M19" s="107">
        <f>SUMIFS('caseload data'!O:O,'caseload data'!$D:$D,"TPO",'caseload data'!$C:$C,'divisional &amp; regional caseload'!$B$15)</f>
        <v>0</v>
      </c>
      <c r="N19" s="107">
        <f>SUMIFS('caseload data'!P:P,'caseload data'!$D:$D,"TPO",'caseload data'!$C:$C,'divisional &amp; regional caseload'!$B$15)</f>
        <v>0</v>
      </c>
      <c r="O19" s="107">
        <f>SUMIFS('caseload data'!Q:Q,'caseload data'!$D:$D,"TPO",'caseload data'!$C:$C,'divisional &amp; regional caseload'!$B$15)</f>
        <v>0</v>
      </c>
      <c r="P19" s="107">
        <f>SUMIFS('caseload data'!R:R,'caseload data'!$D:$D,"TPO",'caseload data'!$C:$C,'divisional &amp; regional caseload'!$B$15)</f>
        <v>0</v>
      </c>
      <c r="Q19" s="107">
        <f>SUMIFS('caseload data'!S:S,'caseload data'!$D:$D,"TPO",'caseload data'!$C:$C,'divisional &amp; regional caseload'!$B$15)</f>
        <v>0</v>
      </c>
      <c r="R19" s="107">
        <f>SUMIFS('caseload data'!T:T,'caseload data'!$D:$D,"TPO",'caseload data'!$C:$C,'divisional &amp; regional caseload'!$B$15)</f>
        <v>0</v>
      </c>
      <c r="S19" s="104"/>
      <c r="T19" s="110" t="s">
        <v>1039</v>
      </c>
      <c r="U19" s="107">
        <f>SUMIFS('caseload data'!E:E,'caseload data'!$D:$D,"TPO",'caseload data'!$C:$C,'divisional &amp; regional caseload'!$T$15)</f>
        <v>0</v>
      </c>
      <c r="V19" s="107">
        <f>SUMIFS('caseload data'!F:F,'caseload data'!$D:$D,"TPO",'caseload data'!$C:$C,'divisional &amp; regional caseload'!$T$15)</f>
        <v>0</v>
      </c>
      <c r="W19" s="107">
        <f>SUMIFS('caseload data'!G:G,'caseload data'!$D:$D,"TPO",'caseload data'!$C:$C,'divisional &amp; regional caseload'!$T$15)</f>
        <v>0</v>
      </c>
      <c r="X19" s="107">
        <f>SUMIFS('caseload data'!H:H,'caseload data'!$D:$D,"TPO",'caseload data'!$C:$C,'divisional &amp; regional caseload'!$T$15)</f>
        <v>0</v>
      </c>
      <c r="Y19" s="107">
        <f>SUMIFS('caseload data'!I:I,'caseload data'!$D:$D,"TPO",'caseload data'!$C:$C,'divisional &amp; regional caseload'!$T$15)</f>
        <v>0</v>
      </c>
      <c r="Z19" s="107">
        <f>SUMIFS('caseload data'!J:J,'caseload data'!$D:$D,"TPO",'caseload data'!$C:$C,'divisional &amp; regional caseload'!$T$15)</f>
        <v>0</v>
      </c>
      <c r="AA19" s="107">
        <f>SUMIFS('caseload data'!K:K,'caseload data'!$D:$D,"TPO",'caseload data'!$C:$C,'divisional &amp; regional caseload'!$T$15)</f>
        <v>0</v>
      </c>
      <c r="AB19" s="107">
        <f>SUMIFS('caseload data'!L:L,'caseload data'!$D:$D,"TPO",'caseload data'!$C:$C,'divisional &amp; regional caseload'!$T$15)</f>
        <v>0</v>
      </c>
      <c r="AC19" s="107">
        <f>SUMIFS('caseload data'!M:M,'caseload data'!$D:$D,"TPO",'caseload data'!$C:$C,'divisional &amp; regional caseload'!$T$15)</f>
        <v>0</v>
      </c>
      <c r="AD19" s="107">
        <f>SUMIFS('caseload data'!N:N,'caseload data'!$D:$D,"TPO",'caseload data'!$C:$C,'divisional &amp; regional caseload'!$T$15)</f>
        <v>0</v>
      </c>
      <c r="AE19" s="107">
        <f>SUMIFS('caseload data'!O:O,'caseload data'!$D:$D,"TPO",'caseload data'!$C:$C,'divisional &amp; regional caseload'!$T$15)</f>
        <v>0</v>
      </c>
      <c r="AF19" s="107">
        <f>SUMIFS('caseload data'!P:P,'caseload data'!$D:$D,"TPO",'caseload data'!$C:$C,'divisional &amp; regional caseload'!$T$15)</f>
        <v>0</v>
      </c>
      <c r="AG19" s="107">
        <f>SUMIFS('caseload data'!Q:Q,'caseload data'!$D:$D,"TPO",'caseload data'!$C:$C,'divisional &amp; regional caseload'!$T$15)</f>
        <v>0</v>
      </c>
      <c r="AH19" s="107">
        <f>SUMIFS('caseload data'!R:R,'caseload data'!$D:$D,"TPO",'caseload data'!$C:$C,'divisional &amp; regional caseload'!$T$15)</f>
        <v>0</v>
      </c>
      <c r="AI19" s="107">
        <f>SUMIFS('caseload data'!S:S,'caseload data'!$D:$D,"TPO",'caseload data'!$C:$C,'divisional &amp; regional caseload'!$T$15)</f>
        <v>0</v>
      </c>
      <c r="AJ19" s="107">
        <f>SUMIFS('caseload data'!T:T,'caseload data'!$D:$D,"TPO",'caseload data'!$C:$C,'divisional &amp; regional caseload'!$T$15)</f>
        <v>0</v>
      </c>
    </row>
    <row r="20" spans="2:36" x14ac:dyDescent="0.15">
      <c r="B20" s="111" t="s">
        <v>1040</v>
      </c>
      <c r="C20" s="107">
        <f>SUMIFS('caseload data'!E:E,'caseload data'!$D:$D,"SPO",'caseload data'!$C:$C,'divisional &amp; regional caseload'!$B$15)</f>
        <v>0</v>
      </c>
      <c r="D20" s="107">
        <f>SUMIFS('caseload data'!F:F,'caseload data'!$D:$D,"SPO",'caseload data'!$C:$C,'divisional &amp; regional caseload'!$B$15)</f>
        <v>0</v>
      </c>
      <c r="E20" s="107">
        <f>SUMIFS('caseload data'!G:G,'caseload data'!$D:$D,"SPO",'caseload data'!$C:$C,'divisional &amp; regional caseload'!$B$15)</f>
        <v>0</v>
      </c>
      <c r="F20" s="107">
        <f>SUMIFS('caseload data'!H:H,'caseload data'!$D:$D,"SPO",'caseload data'!$C:$C,'divisional &amp; regional caseload'!$B$15)</f>
        <v>0</v>
      </c>
      <c r="G20" s="107">
        <f>SUMIFS('caseload data'!I:I,'caseload data'!$D:$D,"SPO",'caseload data'!$C:$C,'divisional &amp; regional caseload'!$B$15)</f>
        <v>0</v>
      </c>
      <c r="H20" s="107">
        <f>SUMIFS('caseload data'!J:J,'caseload data'!$D:$D,"SPO",'caseload data'!$C:$C,'divisional &amp; regional caseload'!$B$15)</f>
        <v>0</v>
      </c>
      <c r="I20" s="107">
        <f>SUMIFS('caseload data'!K:K,'caseload data'!$D:$D,"SPO",'caseload data'!$C:$C,'divisional &amp; regional caseload'!$B$15)</f>
        <v>0</v>
      </c>
      <c r="J20" s="107">
        <f>SUMIFS('caseload data'!L:L,'caseload data'!$D:$D,"SPO",'caseload data'!$C:$C,'divisional &amp; regional caseload'!$B$15)</f>
        <v>0</v>
      </c>
      <c r="K20" s="107">
        <f>SUMIFS('caseload data'!M:M,'caseload data'!$D:$D,"SPO",'caseload data'!$C:$C,'divisional &amp; regional caseload'!$B$15)</f>
        <v>0</v>
      </c>
      <c r="L20" s="107">
        <f>SUMIFS('caseload data'!N:N,'caseload data'!$D:$D,"SPO",'caseload data'!$C:$C,'divisional &amp; regional caseload'!$B$15)</f>
        <v>0</v>
      </c>
      <c r="M20" s="107">
        <f>SUMIFS('caseload data'!O:O,'caseload data'!$D:$D,"SPO",'caseload data'!$C:$C,'divisional &amp; regional caseload'!$B$15)</f>
        <v>0</v>
      </c>
      <c r="N20" s="107">
        <f>SUMIFS('caseload data'!P:P,'caseload data'!$D:$D,"SPO",'caseload data'!$C:$C,'divisional &amp; regional caseload'!$B$15)</f>
        <v>0</v>
      </c>
      <c r="O20" s="107">
        <f>SUMIFS('caseload data'!Q:Q,'caseload data'!$D:$D,"SPO",'caseload data'!$C:$C,'divisional &amp; regional caseload'!$B$15)</f>
        <v>0</v>
      </c>
      <c r="P20" s="107">
        <f>SUMIFS('caseload data'!R:R,'caseload data'!$D:$D,"SPO",'caseload data'!$C:$C,'divisional &amp; regional caseload'!$B$15)</f>
        <v>0</v>
      </c>
      <c r="Q20" s="107">
        <f>SUMIFS('caseload data'!S:S,'caseload data'!$D:$D,"SPO",'caseload data'!$C:$C,'divisional &amp; regional caseload'!$B$15)</f>
        <v>0</v>
      </c>
      <c r="R20" s="107">
        <f>SUMIFS('caseload data'!T:T,'caseload data'!$D:$D,"SPO",'caseload data'!$C:$C,'divisional &amp; regional caseload'!$B$15)</f>
        <v>0</v>
      </c>
      <c r="S20" s="104"/>
      <c r="T20" s="111" t="s">
        <v>1040</v>
      </c>
      <c r="U20" s="107">
        <f>SUMIFS('caseload data'!E:E,'caseload data'!$D:$D,"SPO",'caseload data'!$C:$C,'divisional &amp; regional caseload'!$T$15)</f>
        <v>0</v>
      </c>
      <c r="V20" s="107">
        <f>SUMIFS('caseload data'!F:F,'caseload data'!$D:$D,"SPO",'caseload data'!$C:$C,'divisional &amp; regional caseload'!$T$15)</f>
        <v>0</v>
      </c>
      <c r="W20" s="107">
        <f>SUMIFS('caseload data'!G:G,'caseload data'!$D:$D,"SPO",'caseload data'!$C:$C,'divisional &amp; regional caseload'!$T$15)</f>
        <v>0</v>
      </c>
      <c r="X20" s="107">
        <f>SUMIFS('caseload data'!H:H,'caseload data'!$D:$D,"SPO",'caseload data'!$C:$C,'divisional &amp; regional caseload'!$T$15)</f>
        <v>0</v>
      </c>
      <c r="Y20" s="107">
        <f>SUMIFS('caseload data'!I:I,'caseload data'!$D:$D,"SPO",'caseload data'!$C:$C,'divisional &amp; regional caseload'!$T$15)</f>
        <v>0</v>
      </c>
      <c r="Z20" s="107">
        <f>SUMIFS('caseload data'!J:J,'caseload data'!$D:$D,"SPO",'caseload data'!$C:$C,'divisional &amp; regional caseload'!$T$15)</f>
        <v>0</v>
      </c>
      <c r="AA20" s="107">
        <f>SUMIFS('caseload data'!K:K,'caseload data'!$D:$D,"SPO",'caseload data'!$C:$C,'divisional &amp; regional caseload'!$T$15)</f>
        <v>0</v>
      </c>
      <c r="AB20" s="107">
        <f>SUMIFS('caseload data'!L:L,'caseload data'!$D:$D,"SPO",'caseload data'!$C:$C,'divisional &amp; regional caseload'!$T$15)</f>
        <v>0</v>
      </c>
      <c r="AC20" s="107">
        <f>SUMIFS('caseload data'!M:M,'caseload data'!$D:$D,"SPO",'caseload data'!$C:$C,'divisional &amp; regional caseload'!$T$15)</f>
        <v>0</v>
      </c>
      <c r="AD20" s="107">
        <f>SUMIFS('caseload data'!N:N,'caseload data'!$D:$D,"SPO",'caseload data'!$C:$C,'divisional &amp; regional caseload'!$T$15)</f>
        <v>0</v>
      </c>
      <c r="AE20" s="107">
        <f>SUMIFS('caseload data'!O:O,'caseload data'!$D:$D,"SPO",'caseload data'!$C:$C,'divisional &amp; regional caseload'!$T$15)</f>
        <v>0</v>
      </c>
      <c r="AF20" s="107">
        <f>SUMIFS('caseload data'!P:P,'caseload data'!$D:$D,"SPO",'caseload data'!$C:$C,'divisional &amp; regional caseload'!$T$15)</f>
        <v>0</v>
      </c>
      <c r="AG20" s="107">
        <f>SUMIFS('caseload data'!Q:Q,'caseload data'!$D:$D,"SPO",'caseload data'!$C:$C,'divisional &amp; regional caseload'!$T$15)</f>
        <v>0</v>
      </c>
      <c r="AH20" s="107">
        <f>SUMIFS('caseload data'!R:R,'caseload data'!$D:$D,"SPO",'caseload data'!$C:$C,'divisional &amp; regional caseload'!$T$15)</f>
        <v>0</v>
      </c>
      <c r="AI20" s="107">
        <f>SUMIFS('caseload data'!S:S,'caseload data'!$D:$D,"SPO",'caseload data'!$C:$C,'divisional &amp; regional caseload'!$T$15)</f>
        <v>0</v>
      </c>
      <c r="AJ20" s="107">
        <f>SUMIFS('caseload data'!T:T,'caseload data'!$D:$D,"SPO",'caseload data'!$C:$C,'divisional &amp; regional caseload'!$T$15)</f>
        <v>0</v>
      </c>
    </row>
    <row r="21" spans="2:36" x14ac:dyDescent="0.15"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</row>
    <row r="22" spans="2:36" ht="30.75" customHeight="1" x14ac:dyDescent="0.15">
      <c r="B22" s="162" t="str">
        <f>HLOOKUP($B$5,Region_Table,6,0)</f>
        <v>Camden, Islington</v>
      </c>
      <c r="C22" s="333" t="s">
        <v>1257</v>
      </c>
      <c r="D22" s="334"/>
      <c r="E22" s="334"/>
      <c r="F22" s="334"/>
      <c r="G22" s="334"/>
      <c r="H22" s="334"/>
      <c r="I22" s="334"/>
      <c r="J22" s="334"/>
      <c r="K22" s="334"/>
      <c r="L22" s="334"/>
      <c r="M22" s="335"/>
      <c r="N22" s="335"/>
      <c r="O22" s="336"/>
      <c r="P22" s="337">
        <f>SUMIF('caseload data'!$C:$C,'divisional &amp; regional caseload'!B22,'caseload data'!V:V)</f>
        <v>0</v>
      </c>
      <c r="Q22" s="338"/>
      <c r="R22" s="339"/>
      <c r="S22" s="104"/>
      <c r="T22" s="162" t="str">
        <f>HLOOKUP($B$5,Region_Table,7,0)</f>
        <v>Community Integration</v>
      </c>
      <c r="U22" s="333" t="s">
        <v>1257</v>
      </c>
      <c r="V22" s="335"/>
      <c r="W22" s="335"/>
      <c r="X22" s="336"/>
      <c r="Y22" s="337">
        <f>SUMIF('caseload data'!$C:$C,'divisional &amp; regional caseload'!T22,'caseload data'!V:V)</f>
        <v>0</v>
      </c>
      <c r="Z22" s="338"/>
      <c r="AA22" s="339"/>
    </row>
    <row r="23" spans="2:36" x14ac:dyDescent="0.15">
      <c r="B23" s="108" t="s">
        <v>1199</v>
      </c>
      <c r="C23" s="42" t="s">
        <v>1019</v>
      </c>
      <c r="D23" s="42" t="s">
        <v>1020</v>
      </c>
      <c r="E23" s="42" t="s">
        <v>1021</v>
      </c>
      <c r="F23" s="42" t="s">
        <v>1022</v>
      </c>
      <c r="G23" s="42" t="s">
        <v>1023</v>
      </c>
      <c r="H23" s="42" t="s">
        <v>1024</v>
      </c>
      <c r="I23" s="42" t="s">
        <v>1025</v>
      </c>
      <c r="J23" s="42" t="s">
        <v>1026</v>
      </c>
      <c r="K23" s="42" t="s">
        <v>1027</v>
      </c>
      <c r="L23" s="42" t="s">
        <v>1028</v>
      </c>
      <c r="M23" s="42" t="s">
        <v>1029</v>
      </c>
      <c r="N23" s="42" t="s">
        <v>1030</v>
      </c>
      <c r="O23" s="42" t="s">
        <v>1031</v>
      </c>
      <c r="P23" s="42" t="s">
        <v>1032</v>
      </c>
      <c r="Q23" s="42" t="s">
        <v>1033</v>
      </c>
      <c r="R23" s="42" t="s">
        <v>1034</v>
      </c>
      <c r="S23" s="104"/>
      <c r="T23" s="108" t="s">
        <v>1199</v>
      </c>
      <c r="U23" s="42" t="s">
        <v>1019</v>
      </c>
      <c r="V23" s="42" t="s">
        <v>1020</v>
      </c>
      <c r="W23" s="42" t="s">
        <v>1021</v>
      </c>
      <c r="X23" s="42" t="s">
        <v>1022</v>
      </c>
      <c r="Y23" s="42" t="s">
        <v>1023</v>
      </c>
      <c r="Z23" s="42" t="s">
        <v>1024</v>
      </c>
      <c r="AA23" s="42" t="s">
        <v>1025</v>
      </c>
      <c r="AB23" s="42" t="s">
        <v>1026</v>
      </c>
      <c r="AC23" s="42" t="s">
        <v>1027</v>
      </c>
      <c r="AD23" s="42" t="s">
        <v>1028</v>
      </c>
      <c r="AE23" s="42" t="s">
        <v>1029</v>
      </c>
      <c r="AF23" s="42" t="s">
        <v>1030</v>
      </c>
      <c r="AG23" s="42" t="s">
        <v>1031</v>
      </c>
      <c r="AH23" s="42" t="s">
        <v>1032</v>
      </c>
      <c r="AI23" s="42" t="s">
        <v>1033</v>
      </c>
      <c r="AJ23" s="42" t="s">
        <v>1034</v>
      </c>
    </row>
    <row r="24" spans="2:36" x14ac:dyDescent="0.15">
      <c r="B24" s="109" t="s">
        <v>1037</v>
      </c>
      <c r="C24" s="107">
        <f>SUMIFS('caseload data'!E:E,'caseload data'!$D:$D,"PO",'caseload data'!$C:$C,'divisional &amp; regional caseload'!$B$22)</f>
        <v>0</v>
      </c>
      <c r="D24" s="107">
        <f>SUMIFS('caseload data'!F:F,'caseload data'!$D:$D,"PO",'caseload data'!$C:$C,'divisional &amp; regional caseload'!$B$22)</f>
        <v>0</v>
      </c>
      <c r="E24" s="107">
        <f>SUMIFS('caseload data'!G:G,'caseload data'!$D:$D,"PO",'caseload data'!$C:$C,'divisional &amp; regional caseload'!$B$22)</f>
        <v>0</v>
      </c>
      <c r="F24" s="107">
        <f>SUMIFS('caseload data'!H:H,'caseload data'!$D:$D,"PO",'caseload data'!$C:$C,'divisional &amp; regional caseload'!$B$22)</f>
        <v>0</v>
      </c>
      <c r="G24" s="107">
        <f>SUMIFS('caseload data'!I:I,'caseload data'!$D:$D,"PO",'caseload data'!$C:$C,'divisional &amp; regional caseload'!$B$22)</f>
        <v>0</v>
      </c>
      <c r="H24" s="107">
        <f>SUMIFS('caseload data'!J:J,'caseload data'!$D:$D,"PO",'caseload data'!$C:$C,'divisional &amp; regional caseload'!$B$22)</f>
        <v>0</v>
      </c>
      <c r="I24" s="107">
        <f>SUMIFS('caseload data'!K:K,'caseload data'!$D:$D,"PO",'caseload data'!$C:$C,'divisional &amp; regional caseload'!$B$22)</f>
        <v>0</v>
      </c>
      <c r="J24" s="107">
        <f>SUMIFS('caseload data'!L:L,'caseload data'!$D:$D,"PO",'caseload data'!$C:$C,'divisional &amp; regional caseload'!$B$22)</f>
        <v>0</v>
      </c>
      <c r="K24" s="107">
        <f>SUMIFS('caseload data'!M:M,'caseload data'!$D:$D,"PO",'caseload data'!$C:$C,'divisional &amp; regional caseload'!$B$22)</f>
        <v>0</v>
      </c>
      <c r="L24" s="107">
        <f>SUMIFS('caseload data'!N:N,'caseload data'!$D:$D,"PO",'caseload data'!$C:$C,'divisional &amp; regional caseload'!$B$22)</f>
        <v>0</v>
      </c>
      <c r="M24" s="107">
        <f>SUMIFS('caseload data'!O:O,'caseload data'!$D:$D,"PO",'caseload data'!$C:$C,'divisional &amp; regional caseload'!$B$22)</f>
        <v>0</v>
      </c>
      <c r="N24" s="107">
        <f>SUMIFS('caseload data'!P:P,'caseload data'!$D:$D,"PO",'caseload data'!$C:$C,'divisional &amp; regional caseload'!$B$22)</f>
        <v>0</v>
      </c>
      <c r="O24" s="107">
        <f>SUMIFS('caseload data'!Q:Q,'caseload data'!$D:$D,"PO",'caseload data'!$C:$C,'divisional &amp; regional caseload'!$B$22)</f>
        <v>0</v>
      </c>
      <c r="P24" s="107">
        <f>SUMIFS('caseload data'!R:R,'caseload data'!$D:$D,"PO",'caseload data'!$C:$C,'divisional &amp; regional caseload'!$B$22)</f>
        <v>0</v>
      </c>
      <c r="Q24" s="107">
        <f>SUMIFS('caseload data'!S:S,'caseload data'!$D:$D,"PO",'caseload data'!$C:$C,'divisional &amp; regional caseload'!$B$22)</f>
        <v>0</v>
      </c>
      <c r="R24" s="107">
        <f>SUMIFS('caseload data'!T:T,'caseload data'!$D:$D,"PO",'caseload data'!$C:$C,'divisional &amp; regional caseload'!$B$22)</f>
        <v>0</v>
      </c>
      <c r="S24" s="104"/>
      <c r="T24" s="109" t="s">
        <v>1037</v>
      </c>
      <c r="U24" s="107">
        <f>SUMIFS('caseload data'!E:E,'caseload data'!$D:$D,"PO",'caseload data'!$C:$C,'divisional &amp; regional caseload'!$T$22)</f>
        <v>0</v>
      </c>
      <c r="V24" s="107">
        <f>SUMIFS('caseload data'!F:F,'caseload data'!$D:$D,"PO",'caseload data'!$C:$C,'divisional &amp; regional caseload'!$T$22)</f>
        <v>0</v>
      </c>
      <c r="W24" s="107">
        <f>SUMIFS('caseload data'!G:G,'caseload data'!$D:$D,"PO",'caseload data'!$C:$C,'divisional &amp; regional caseload'!$T$22)</f>
        <v>0</v>
      </c>
      <c r="X24" s="107">
        <f>SUMIFS('caseload data'!H:H,'caseload data'!$D:$D,"PO",'caseload data'!$C:$C,'divisional &amp; regional caseload'!$T$22)</f>
        <v>0</v>
      </c>
      <c r="Y24" s="107">
        <f>SUMIFS('caseload data'!I:I,'caseload data'!$D:$D,"PO",'caseload data'!$C:$C,'divisional &amp; regional caseload'!$T$22)</f>
        <v>0</v>
      </c>
      <c r="Z24" s="107">
        <f>SUMIFS('caseload data'!J:J,'caseload data'!$D:$D,"PO",'caseload data'!$C:$C,'divisional &amp; regional caseload'!$T$22)</f>
        <v>0</v>
      </c>
      <c r="AA24" s="107">
        <f>SUMIFS('caseload data'!K:K,'caseload data'!$D:$D,"PO",'caseload data'!$C:$C,'divisional &amp; regional caseload'!$T$22)</f>
        <v>0</v>
      </c>
      <c r="AB24" s="107">
        <f>SUMIFS('caseload data'!L:L,'caseload data'!$D:$D,"PO",'caseload data'!$C:$C,'divisional &amp; regional caseload'!$T$22)</f>
        <v>0</v>
      </c>
      <c r="AC24" s="107">
        <f>SUMIFS('caseload data'!M:M,'caseload data'!$D:$D,"PO",'caseload data'!$C:$C,'divisional &amp; regional caseload'!$T$22)</f>
        <v>0</v>
      </c>
      <c r="AD24" s="107">
        <f>SUMIFS('caseload data'!N:N,'caseload data'!$D:$D,"PO",'caseload data'!$C:$C,'divisional &amp; regional caseload'!$T$22)</f>
        <v>0</v>
      </c>
      <c r="AE24" s="107">
        <f>SUMIFS('caseload data'!O:O,'caseload data'!$D:$D,"PO",'caseload data'!$C:$C,'divisional &amp; regional caseload'!$T$22)</f>
        <v>0</v>
      </c>
      <c r="AF24" s="107">
        <f>SUMIFS('caseload data'!P:P,'caseload data'!$D:$D,"PO",'caseload data'!$C:$C,'divisional &amp; regional caseload'!$T$22)</f>
        <v>0</v>
      </c>
      <c r="AG24" s="107">
        <f>SUMIFS('caseload data'!Q:Q,'caseload data'!$D:$D,"PO",'caseload data'!$C:$C,'divisional &amp; regional caseload'!$T$22)</f>
        <v>0</v>
      </c>
      <c r="AH24" s="107">
        <f>SUMIFS('caseload data'!R:R,'caseload data'!$D:$D,"PO",'caseload data'!$C:$C,'divisional &amp; regional caseload'!$T$22)</f>
        <v>0</v>
      </c>
      <c r="AI24" s="107">
        <f>SUMIFS('caseload data'!S:S,'caseload data'!$D:$D,"PO",'caseload data'!$C:$C,'divisional &amp; regional caseload'!$T$22)</f>
        <v>0</v>
      </c>
      <c r="AJ24" s="107">
        <f>SUMIFS('caseload data'!T:T,'caseload data'!$D:$D,"PO",'caseload data'!$C:$C,'divisional &amp; regional caseload'!$T$22)</f>
        <v>0</v>
      </c>
    </row>
    <row r="25" spans="2:36" x14ac:dyDescent="0.15">
      <c r="B25" s="110" t="s">
        <v>1038</v>
      </c>
      <c r="C25" s="107">
        <f>SUMIFS('caseload data'!E:E,'caseload data'!$D:$D,"PSO",'caseload data'!$C:$C,'divisional &amp; regional caseload'!$B$22)</f>
        <v>0</v>
      </c>
      <c r="D25" s="107">
        <f>SUMIFS('caseload data'!F:F,'caseload data'!$D:$D,"PSO",'caseload data'!$C:$C,'divisional &amp; regional caseload'!$B$22)</f>
        <v>0</v>
      </c>
      <c r="E25" s="107">
        <f>SUMIFS('caseload data'!G:G,'caseload data'!$D:$D,"PSO",'caseload data'!$C:$C,'divisional &amp; regional caseload'!$B$22)</f>
        <v>0</v>
      </c>
      <c r="F25" s="107">
        <f>SUMIFS('caseload data'!H:H,'caseload data'!$D:$D,"PSO",'caseload data'!$C:$C,'divisional &amp; regional caseload'!$B$22)</f>
        <v>0</v>
      </c>
      <c r="G25" s="107">
        <f>SUMIFS('caseload data'!I:I,'caseload data'!$D:$D,"PSO",'caseload data'!$C:$C,'divisional &amp; regional caseload'!$B$22)</f>
        <v>0</v>
      </c>
      <c r="H25" s="107">
        <f>SUMIFS('caseload data'!J:J,'caseload data'!$D:$D,"PSO",'caseload data'!$C:$C,'divisional &amp; regional caseload'!$B$22)</f>
        <v>0</v>
      </c>
      <c r="I25" s="107">
        <f>SUMIFS('caseload data'!K:K,'caseload data'!$D:$D,"PSO",'caseload data'!$C:$C,'divisional &amp; regional caseload'!$B$22)</f>
        <v>0</v>
      </c>
      <c r="J25" s="107">
        <f>SUMIFS('caseload data'!L:L,'caseload data'!$D:$D,"PSO",'caseload data'!$C:$C,'divisional &amp; regional caseload'!$B$22)</f>
        <v>0</v>
      </c>
      <c r="K25" s="107">
        <f>SUMIFS('caseload data'!M:M,'caseload data'!$D:$D,"PSO",'caseload data'!$C:$C,'divisional &amp; regional caseload'!$B$22)</f>
        <v>0</v>
      </c>
      <c r="L25" s="107">
        <f>SUMIFS('caseload data'!N:N,'caseload data'!$D:$D,"PSO",'caseload data'!$C:$C,'divisional &amp; regional caseload'!$B$22)</f>
        <v>0</v>
      </c>
      <c r="M25" s="107">
        <f>SUMIFS('caseload data'!O:O,'caseload data'!$D:$D,"PSO",'caseload data'!$C:$C,'divisional &amp; regional caseload'!$B$22)</f>
        <v>0</v>
      </c>
      <c r="N25" s="107">
        <f>SUMIFS('caseload data'!P:P,'caseload data'!$D:$D,"PSO",'caseload data'!$C:$C,'divisional &amp; regional caseload'!$B$22)</f>
        <v>0</v>
      </c>
      <c r="O25" s="107">
        <f>SUMIFS('caseload data'!Q:Q,'caseload data'!$D:$D,"PSO",'caseload data'!$C:$C,'divisional &amp; regional caseload'!$B$22)</f>
        <v>0</v>
      </c>
      <c r="P25" s="107">
        <f>SUMIFS('caseload data'!R:R,'caseload data'!$D:$D,"PSO",'caseload data'!$C:$C,'divisional &amp; regional caseload'!$B$22)</f>
        <v>0</v>
      </c>
      <c r="Q25" s="107">
        <f>SUMIFS('caseload data'!S:S,'caseload data'!$D:$D,"PSO",'caseload data'!$C:$C,'divisional &amp; regional caseload'!$B$22)</f>
        <v>0</v>
      </c>
      <c r="R25" s="107">
        <f>SUMIFS('caseload data'!T:T,'caseload data'!$D:$D,"PSO",'caseload data'!$C:$C,'divisional &amp; regional caseload'!$B$22)</f>
        <v>0</v>
      </c>
      <c r="S25" s="104"/>
      <c r="T25" s="110" t="s">
        <v>1038</v>
      </c>
      <c r="U25" s="107">
        <f>SUMIFS('caseload data'!E:E,'caseload data'!$D:$D,"PSO",'caseload data'!$C:$C,'divisional &amp; regional caseload'!$T$22)</f>
        <v>0</v>
      </c>
      <c r="V25" s="107">
        <f>SUMIFS('caseload data'!F:F,'caseload data'!$D:$D,"PSO",'caseload data'!$C:$C,'divisional &amp; regional caseload'!$T$22)</f>
        <v>0</v>
      </c>
      <c r="W25" s="107">
        <f>SUMIFS('caseload data'!G:G,'caseload data'!$D:$D,"PSO",'caseload data'!$C:$C,'divisional &amp; regional caseload'!$T$22)</f>
        <v>0</v>
      </c>
      <c r="X25" s="107">
        <f>SUMIFS('caseload data'!H:H,'caseload data'!$D:$D,"PSO",'caseload data'!$C:$C,'divisional &amp; regional caseload'!$T$22)</f>
        <v>0</v>
      </c>
      <c r="Y25" s="107">
        <f>SUMIFS('caseload data'!I:I,'caseload data'!$D:$D,"PSO",'caseload data'!$C:$C,'divisional &amp; regional caseload'!$T$22)</f>
        <v>0</v>
      </c>
      <c r="Z25" s="107">
        <f>SUMIFS('caseload data'!J:J,'caseload data'!$D:$D,"PSO",'caseload data'!$C:$C,'divisional &amp; regional caseload'!$T$22)</f>
        <v>0</v>
      </c>
      <c r="AA25" s="107">
        <f>SUMIFS('caseload data'!K:K,'caseload data'!$D:$D,"PSO",'caseload data'!$C:$C,'divisional &amp; regional caseload'!$T$22)</f>
        <v>0</v>
      </c>
      <c r="AB25" s="107">
        <f>SUMIFS('caseload data'!L:L,'caseload data'!$D:$D,"PSO",'caseload data'!$C:$C,'divisional &amp; regional caseload'!$T$22)</f>
        <v>0</v>
      </c>
      <c r="AC25" s="107">
        <f>SUMIFS('caseload data'!M:M,'caseload data'!$D:$D,"PSO",'caseload data'!$C:$C,'divisional &amp; regional caseload'!$T$22)</f>
        <v>0</v>
      </c>
      <c r="AD25" s="107">
        <f>SUMIFS('caseload data'!N:N,'caseload data'!$D:$D,"PSO",'caseload data'!$C:$C,'divisional &amp; regional caseload'!$T$22)</f>
        <v>0</v>
      </c>
      <c r="AE25" s="107">
        <f>SUMIFS('caseload data'!O:O,'caseload data'!$D:$D,"PSO",'caseload data'!$C:$C,'divisional &amp; regional caseload'!$T$22)</f>
        <v>0</v>
      </c>
      <c r="AF25" s="107">
        <f>SUMIFS('caseload data'!P:P,'caseload data'!$D:$D,"PSO",'caseload data'!$C:$C,'divisional &amp; regional caseload'!$T$22)</f>
        <v>0</v>
      </c>
      <c r="AG25" s="107">
        <f>SUMIFS('caseload data'!Q:Q,'caseload data'!$D:$D,"PSO",'caseload data'!$C:$C,'divisional &amp; regional caseload'!$T$22)</f>
        <v>0</v>
      </c>
      <c r="AH25" s="107">
        <f>SUMIFS('caseload data'!R:R,'caseload data'!$D:$D,"PSO",'caseload data'!$C:$C,'divisional &amp; regional caseload'!$T$22)</f>
        <v>0</v>
      </c>
      <c r="AI25" s="107">
        <f>SUMIFS('caseload data'!S:S,'caseload data'!$D:$D,"PSO",'caseload data'!$C:$C,'divisional &amp; regional caseload'!$T$22)</f>
        <v>0</v>
      </c>
      <c r="AJ25" s="107">
        <f>SUMIFS('caseload data'!T:T,'caseload data'!$D:$D,"PSO",'caseload data'!$C:$C,'divisional &amp; regional caseload'!$T$22)</f>
        <v>0</v>
      </c>
    </row>
    <row r="26" spans="2:36" x14ac:dyDescent="0.15">
      <c r="B26" s="110" t="s">
        <v>1039</v>
      </c>
      <c r="C26" s="107">
        <f>SUMIFS('caseload data'!E:E,'caseload data'!$D:$D,"TPO",'caseload data'!$C:$C,'divisional &amp; regional caseload'!$B$22)</f>
        <v>0</v>
      </c>
      <c r="D26" s="107">
        <f>SUMIFS('caseload data'!F:F,'caseload data'!$D:$D,"TPO",'caseload data'!$C:$C,'divisional &amp; regional caseload'!$B$22)</f>
        <v>0</v>
      </c>
      <c r="E26" s="107">
        <f>SUMIFS('caseload data'!G:G,'caseload data'!$D:$D,"TPO",'caseload data'!$C:$C,'divisional &amp; regional caseload'!$B$22)</f>
        <v>0</v>
      </c>
      <c r="F26" s="107">
        <f>SUMIFS('caseload data'!H:H,'caseload data'!$D:$D,"TPO",'caseload data'!$C:$C,'divisional &amp; regional caseload'!$B$22)</f>
        <v>0</v>
      </c>
      <c r="G26" s="107">
        <f>SUMIFS('caseload data'!I:I,'caseload data'!$D:$D,"TPO",'caseload data'!$C:$C,'divisional &amp; regional caseload'!$B$22)</f>
        <v>0</v>
      </c>
      <c r="H26" s="107">
        <f>SUMIFS('caseload data'!J:J,'caseload data'!$D:$D,"TPO",'caseload data'!$C:$C,'divisional &amp; regional caseload'!$B$22)</f>
        <v>0</v>
      </c>
      <c r="I26" s="107">
        <f>SUMIFS('caseload data'!K:K,'caseload data'!$D:$D,"TPO",'caseload data'!$C:$C,'divisional &amp; regional caseload'!$B$22)</f>
        <v>0</v>
      </c>
      <c r="J26" s="107">
        <f>SUMIFS('caseload data'!L:L,'caseload data'!$D:$D,"TPO",'caseload data'!$C:$C,'divisional &amp; regional caseload'!$B$22)</f>
        <v>0</v>
      </c>
      <c r="K26" s="107">
        <f>SUMIFS('caseload data'!M:M,'caseload data'!$D:$D,"TPO",'caseload data'!$C:$C,'divisional &amp; regional caseload'!$B$22)</f>
        <v>0</v>
      </c>
      <c r="L26" s="107">
        <f>SUMIFS('caseload data'!N:N,'caseload data'!$D:$D,"TPO",'caseload data'!$C:$C,'divisional &amp; regional caseload'!$B$22)</f>
        <v>0</v>
      </c>
      <c r="M26" s="107">
        <f>SUMIFS('caseload data'!O:O,'caseload data'!$D:$D,"TPO",'caseload data'!$C:$C,'divisional &amp; regional caseload'!$B$22)</f>
        <v>0</v>
      </c>
      <c r="N26" s="107">
        <f>SUMIFS('caseload data'!P:P,'caseload data'!$D:$D,"TPO",'caseload data'!$C:$C,'divisional &amp; regional caseload'!$B$22)</f>
        <v>0</v>
      </c>
      <c r="O26" s="107">
        <f>SUMIFS('caseload data'!Q:Q,'caseload data'!$D:$D,"TPO",'caseload data'!$C:$C,'divisional &amp; regional caseload'!$B$22)</f>
        <v>0</v>
      </c>
      <c r="P26" s="107">
        <f>SUMIFS('caseload data'!R:R,'caseload data'!$D:$D,"TPO",'caseload data'!$C:$C,'divisional &amp; regional caseload'!$B$22)</f>
        <v>0</v>
      </c>
      <c r="Q26" s="107">
        <f>SUMIFS('caseload data'!S:S,'caseload data'!$D:$D,"TPO",'caseload data'!$C:$C,'divisional &amp; regional caseload'!$B$22)</f>
        <v>0</v>
      </c>
      <c r="R26" s="107">
        <f>SUMIFS('caseload data'!T:T,'caseload data'!$D:$D,"TPO",'caseload data'!$C:$C,'divisional &amp; regional caseload'!$B$22)</f>
        <v>0</v>
      </c>
      <c r="S26" s="104"/>
      <c r="T26" s="110" t="s">
        <v>1039</v>
      </c>
      <c r="U26" s="107">
        <f>SUMIFS('caseload data'!E:E,'caseload data'!$D:$D,"TPO",'caseload data'!$C:$C,'divisional &amp; regional caseload'!$T$22)</f>
        <v>0</v>
      </c>
      <c r="V26" s="107">
        <f>SUMIFS('caseload data'!F:F,'caseload data'!$D:$D,"TPO",'caseload data'!$C:$C,'divisional &amp; regional caseload'!$T$22)</f>
        <v>0</v>
      </c>
      <c r="W26" s="107">
        <f>SUMIFS('caseload data'!G:G,'caseload data'!$D:$D,"TPO",'caseload data'!$C:$C,'divisional &amp; regional caseload'!$T$22)</f>
        <v>0</v>
      </c>
      <c r="X26" s="107">
        <f>SUMIFS('caseload data'!H:H,'caseload data'!$D:$D,"TPO",'caseload data'!$C:$C,'divisional &amp; regional caseload'!$T$22)</f>
        <v>0</v>
      </c>
      <c r="Y26" s="107">
        <f>SUMIFS('caseload data'!I:I,'caseload data'!$D:$D,"TPO",'caseload data'!$C:$C,'divisional &amp; regional caseload'!$T$22)</f>
        <v>0</v>
      </c>
      <c r="Z26" s="107">
        <f>SUMIFS('caseload data'!J:J,'caseload data'!$D:$D,"TPO",'caseload data'!$C:$C,'divisional &amp; regional caseload'!$T$22)</f>
        <v>0</v>
      </c>
      <c r="AA26" s="107">
        <f>SUMIFS('caseload data'!K:K,'caseload data'!$D:$D,"TPO",'caseload data'!$C:$C,'divisional &amp; regional caseload'!$T$22)</f>
        <v>0</v>
      </c>
      <c r="AB26" s="107">
        <f>SUMIFS('caseload data'!L:L,'caseload data'!$D:$D,"TPO",'caseload data'!$C:$C,'divisional &amp; regional caseload'!$T$22)</f>
        <v>0</v>
      </c>
      <c r="AC26" s="107">
        <f>SUMIFS('caseload data'!M:M,'caseload data'!$D:$D,"TPO",'caseload data'!$C:$C,'divisional &amp; regional caseload'!$T$22)</f>
        <v>0</v>
      </c>
      <c r="AD26" s="107">
        <f>SUMIFS('caseload data'!N:N,'caseload data'!$D:$D,"TPO",'caseload data'!$C:$C,'divisional &amp; regional caseload'!$T$22)</f>
        <v>0</v>
      </c>
      <c r="AE26" s="107">
        <f>SUMIFS('caseload data'!O:O,'caseload data'!$D:$D,"TPO",'caseload data'!$C:$C,'divisional &amp; regional caseload'!$T$22)</f>
        <v>0</v>
      </c>
      <c r="AF26" s="107">
        <f>SUMIFS('caseload data'!P:P,'caseload data'!$D:$D,"TPO",'caseload data'!$C:$C,'divisional &amp; regional caseload'!$T$22)</f>
        <v>0</v>
      </c>
      <c r="AG26" s="107">
        <f>SUMIFS('caseload data'!Q:Q,'caseload data'!$D:$D,"TPO",'caseload data'!$C:$C,'divisional &amp; regional caseload'!$T$22)</f>
        <v>0</v>
      </c>
      <c r="AH26" s="107">
        <f>SUMIFS('caseload data'!R:R,'caseload data'!$D:$D,"TPO",'caseload data'!$C:$C,'divisional &amp; regional caseload'!$T$22)</f>
        <v>0</v>
      </c>
      <c r="AI26" s="107">
        <f>SUMIFS('caseload data'!S:S,'caseload data'!$D:$D,"TPO",'caseload data'!$C:$C,'divisional &amp; regional caseload'!$T$22)</f>
        <v>0</v>
      </c>
      <c r="AJ26" s="107">
        <f>SUMIFS('caseload data'!T:T,'caseload data'!$D:$D,"TPO",'caseload data'!$C:$C,'divisional &amp; regional caseload'!$T$22)</f>
        <v>0</v>
      </c>
    </row>
    <row r="27" spans="2:36" x14ac:dyDescent="0.15">
      <c r="B27" s="111" t="s">
        <v>1040</v>
      </c>
      <c r="C27" s="107">
        <f>SUMIFS('caseload data'!E:E,'caseload data'!$D:$D,"SPO",'caseload data'!$C:$C,'divisional &amp; regional caseload'!$B$22)</f>
        <v>0</v>
      </c>
      <c r="D27" s="107">
        <f>SUMIFS('caseload data'!F:F,'caseload data'!$D:$D,"SPO",'caseload data'!$C:$C,'divisional &amp; regional caseload'!$B$22)</f>
        <v>0</v>
      </c>
      <c r="E27" s="107">
        <f>SUMIFS('caseload data'!G:G,'caseload data'!$D:$D,"SPO",'caseload data'!$C:$C,'divisional &amp; regional caseload'!$B$22)</f>
        <v>0</v>
      </c>
      <c r="F27" s="107">
        <f>SUMIFS('caseload data'!H:H,'caseload data'!$D:$D,"SPO",'caseload data'!$C:$C,'divisional &amp; regional caseload'!$B$22)</f>
        <v>0</v>
      </c>
      <c r="G27" s="107">
        <f>SUMIFS('caseload data'!I:I,'caseload data'!$D:$D,"SPO",'caseload data'!$C:$C,'divisional &amp; regional caseload'!$B$22)</f>
        <v>0</v>
      </c>
      <c r="H27" s="107">
        <f>SUMIFS('caseload data'!J:J,'caseload data'!$D:$D,"SPO",'caseload data'!$C:$C,'divisional &amp; regional caseload'!$B$22)</f>
        <v>0</v>
      </c>
      <c r="I27" s="107">
        <f>SUMIFS('caseload data'!K:K,'caseload data'!$D:$D,"SPO",'caseload data'!$C:$C,'divisional &amp; regional caseload'!$B$22)</f>
        <v>0</v>
      </c>
      <c r="J27" s="107">
        <f>SUMIFS('caseload data'!L:L,'caseload data'!$D:$D,"SPO",'caseload data'!$C:$C,'divisional &amp; regional caseload'!$B$22)</f>
        <v>0</v>
      </c>
      <c r="K27" s="107">
        <f>SUMIFS('caseload data'!M:M,'caseload data'!$D:$D,"SPO",'caseload data'!$C:$C,'divisional &amp; regional caseload'!$B$22)</f>
        <v>0</v>
      </c>
      <c r="L27" s="107">
        <f>SUMIFS('caseload data'!N:N,'caseload data'!$D:$D,"SPO",'caseload data'!$C:$C,'divisional &amp; regional caseload'!$B$22)</f>
        <v>0</v>
      </c>
      <c r="M27" s="107">
        <f>SUMIFS('caseload data'!O:O,'caseload data'!$D:$D,"SPO",'caseload data'!$C:$C,'divisional &amp; regional caseload'!$B$22)</f>
        <v>0</v>
      </c>
      <c r="N27" s="107">
        <f>SUMIFS('caseload data'!P:P,'caseload data'!$D:$D,"SPO",'caseload data'!$C:$C,'divisional &amp; regional caseload'!$B$22)</f>
        <v>0</v>
      </c>
      <c r="O27" s="107">
        <f>SUMIFS('caseload data'!Q:Q,'caseload data'!$D:$D,"SPO",'caseload data'!$C:$C,'divisional &amp; regional caseload'!$B$22)</f>
        <v>0</v>
      </c>
      <c r="P27" s="107">
        <f>SUMIFS('caseload data'!R:R,'caseload data'!$D:$D,"SPO",'caseload data'!$C:$C,'divisional &amp; regional caseload'!$B$22)</f>
        <v>0</v>
      </c>
      <c r="Q27" s="107">
        <f>SUMIFS('caseload data'!S:S,'caseload data'!$D:$D,"SPO",'caseload data'!$C:$C,'divisional &amp; regional caseload'!$B$22)</f>
        <v>0</v>
      </c>
      <c r="R27" s="107">
        <f>SUMIFS('caseload data'!T:T,'caseload data'!$D:$D,"SPO",'caseload data'!$C:$C,'divisional &amp; regional caseload'!$B$22)</f>
        <v>0</v>
      </c>
      <c r="S27" s="104"/>
      <c r="T27" s="111" t="s">
        <v>1040</v>
      </c>
      <c r="U27" s="107">
        <f>SUMIFS('caseload data'!E:E,'caseload data'!$D:$D,"SPO",'caseload data'!$C:$C,'divisional &amp; regional caseload'!$T$22)</f>
        <v>0</v>
      </c>
      <c r="V27" s="107">
        <f>SUMIFS('caseload data'!F:F,'caseload data'!$D:$D,"SPO",'caseload data'!$C:$C,'divisional &amp; regional caseload'!$T$22)</f>
        <v>0</v>
      </c>
      <c r="W27" s="107">
        <f>SUMIFS('caseload data'!G:G,'caseload data'!$D:$D,"SPO",'caseload data'!$C:$C,'divisional &amp; regional caseload'!$T$22)</f>
        <v>0</v>
      </c>
      <c r="X27" s="107">
        <f>SUMIFS('caseload data'!H:H,'caseload data'!$D:$D,"SPO",'caseload data'!$C:$C,'divisional &amp; regional caseload'!$T$22)</f>
        <v>0</v>
      </c>
      <c r="Y27" s="107">
        <f>SUMIFS('caseload data'!I:I,'caseload data'!$D:$D,"SPO",'caseload data'!$C:$C,'divisional &amp; regional caseload'!$T$22)</f>
        <v>0</v>
      </c>
      <c r="Z27" s="107">
        <f>SUMIFS('caseload data'!J:J,'caseload data'!$D:$D,"SPO",'caseload data'!$C:$C,'divisional &amp; regional caseload'!$T$22)</f>
        <v>0</v>
      </c>
      <c r="AA27" s="107">
        <f>SUMIFS('caseload data'!K:K,'caseload data'!$D:$D,"SPO",'caseload data'!$C:$C,'divisional &amp; regional caseload'!$T$22)</f>
        <v>0</v>
      </c>
      <c r="AB27" s="107">
        <f>SUMIFS('caseload data'!L:L,'caseload data'!$D:$D,"SPO",'caseload data'!$C:$C,'divisional &amp; regional caseload'!$T$22)</f>
        <v>0</v>
      </c>
      <c r="AC27" s="107">
        <f>SUMIFS('caseload data'!M:M,'caseload data'!$D:$D,"SPO",'caseload data'!$C:$C,'divisional &amp; regional caseload'!$T$22)</f>
        <v>0</v>
      </c>
      <c r="AD27" s="107">
        <f>SUMIFS('caseload data'!N:N,'caseload data'!$D:$D,"SPO",'caseload data'!$C:$C,'divisional &amp; regional caseload'!$T$22)</f>
        <v>0</v>
      </c>
      <c r="AE27" s="107">
        <f>SUMIFS('caseload data'!O:O,'caseload data'!$D:$D,"SPO",'caseload data'!$C:$C,'divisional &amp; regional caseload'!$T$22)</f>
        <v>0</v>
      </c>
      <c r="AF27" s="107">
        <f>SUMIFS('caseload data'!P:P,'caseload data'!$D:$D,"SPO",'caseload data'!$C:$C,'divisional &amp; regional caseload'!$T$22)</f>
        <v>0</v>
      </c>
      <c r="AG27" s="107">
        <f>SUMIFS('caseload data'!Q:Q,'caseload data'!$D:$D,"SPO",'caseload data'!$C:$C,'divisional &amp; regional caseload'!$T$22)</f>
        <v>0</v>
      </c>
      <c r="AH27" s="107">
        <f>SUMIFS('caseload data'!R:R,'caseload data'!$D:$D,"SPO",'caseload data'!$C:$C,'divisional &amp; regional caseload'!$T$22)</f>
        <v>0</v>
      </c>
      <c r="AI27" s="107">
        <f>SUMIFS('caseload data'!S:S,'caseload data'!$D:$D,"SPO",'caseload data'!$C:$C,'divisional &amp; regional caseload'!$T$22)</f>
        <v>0</v>
      </c>
      <c r="AJ27" s="107">
        <f>SUMIFS('caseload data'!T:T,'caseload data'!$D:$D,"SPO",'caseload data'!$C:$C,'divisional &amp; regional caseload'!$T$22)</f>
        <v>0</v>
      </c>
    </row>
    <row r="28" spans="2:36" x14ac:dyDescent="0.15"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</row>
    <row r="29" spans="2:36" ht="29.25" customHeight="1" x14ac:dyDescent="0.15">
      <c r="B29" s="162" t="str">
        <f>HLOOKUP($B$5,Region_Table,8,0)</f>
        <v>Corporate Services - N07</v>
      </c>
      <c r="C29" s="333" t="s">
        <v>1257</v>
      </c>
      <c r="D29" s="334"/>
      <c r="E29" s="334"/>
      <c r="F29" s="334"/>
      <c r="G29" s="334"/>
      <c r="H29" s="334"/>
      <c r="I29" s="334"/>
      <c r="J29" s="334"/>
      <c r="K29" s="334"/>
      <c r="L29" s="334"/>
      <c r="M29" s="335"/>
      <c r="N29" s="335"/>
      <c r="O29" s="336"/>
      <c r="P29" s="337">
        <f>SUMIF('caseload data'!$C:$C,'divisional &amp; regional caseload'!B29,'caseload data'!V:V)</f>
        <v>0</v>
      </c>
      <c r="Q29" s="338"/>
      <c r="R29" s="339"/>
      <c r="S29" s="104"/>
      <c r="T29" s="162" t="str">
        <f>HLOOKUP($B$5,Region_Table,9,0)</f>
        <v>Croydon - N07</v>
      </c>
      <c r="U29" s="333" t="s">
        <v>1257</v>
      </c>
      <c r="V29" s="335"/>
      <c r="W29" s="335"/>
      <c r="X29" s="336"/>
      <c r="Y29" s="337">
        <f>SUMIF('caseload data'!$C:$C,'divisional &amp; regional caseload'!T29,'caseload data'!V:V)</f>
        <v>0</v>
      </c>
      <c r="Z29" s="338"/>
      <c r="AA29" s="339"/>
    </row>
    <row r="30" spans="2:36" x14ac:dyDescent="0.15">
      <c r="B30" s="108" t="s">
        <v>1199</v>
      </c>
      <c r="C30" s="42" t="s">
        <v>1019</v>
      </c>
      <c r="D30" s="42" t="s">
        <v>1020</v>
      </c>
      <c r="E30" s="42" t="s">
        <v>1021</v>
      </c>
      <c r="F30" s="42" t="s">
        <v>1022</v>
      </c>
      <c r="G30" s="42" t="s">
        <v>1023</v>
      </c>
      <c r="H30" s="42" t="s">
        <v>1024</v>
      </c>
      <c r="I30" s="42" t="s">
        <v>1025</v>
      </c>
      <c r="J30" s="42" t="s">
        <v>1026</v>
      </c>
      <c r="K30" s="42" t="s">
        <v>1027</v>
      </c>
      <c r="L30" s="42" t="s">
        <v>1028</v>
      </c>
      <c r="M30" s="42" t="s">
        <v>1029</v>
      </c>
      <c r="N30" s="42" t="s">
        <v>1030</v>
      </c>
      <c r="O30" s="42" t="s">
        <v>1031</v>
      </c>
      <c r="P30" s="42" t="s">
        <v>1032</v>
      </c>
      <c r="Q30" s="42" t="s">
        <v>1033</v>
      </c>
      <c r="R30" s="42" t="s">
        <v>1034</v>
      </c>
      <c r="S30" s="104"/>
      <c r="T30" s="108" t="s">
        <v>1199</v>
      </c>
      <c r="U30" s="42" t="s">
        <v>1019</v>
      </c>
      <c r="V30" s="42" t="s">
        <v>1020</v>
      </c>
      <c r="W30" s="42" t="s">
        <v>1021</v>
      </c>
      <c r="X30" s="42" t="s">
        <v>1022</v>
      </c>
      <c r="Y30" s="42" t="s">
        <v>1023</v>
      </c>
      <c r="Z30" s="42" t="s">
        <v>1024</v>
      </c>
      <c r="AA30" s="42" t="s">
        <v>1025</v>
      </c>
      <c r="AB30" s="42" t="s">
        <v>1026</v>
      </c>
      <c r="AC30" s="42" t="s">
        <v>1027</v>
      </c>
      <c r="AD30" s="42" t="s">
        <v>1028</v>
      </c>
      <c r="AE30" s="42" t="s">
        <v>1029</v>
      </c>
      <c r="AF30" s="42" t="s">
        <v>1030</v>
      </c>
      <c r="AG30" s="42" t="s">
        <v>1031</v>
      </c>
      <c r="AH30" s="42" t="s">
        <v>1032</v>
      </c>
      <c r="AI30" s="42" t="s">
        <v>1033</v>
      </c>
      <c r="AJ30" s="42" t="s">
        <v>1034</v>
      </c>
    </row>
    <row r="31" spans="2:36" x14ac:dyDescent="0.15">
      <c r="B31" s="109" t="s">
        <v>1037</v>
      </c>
      <c r="C31" s="107">
        <f>SUMIFS('caseload data'!E:E,'caseload data'!$D:$D,"PO",'caseload data'!$C:$C,'divisional &amp; regional caseload'!$B$29)</f>
        <v>0</v>
      </c>
      <c r="D31" s="107">
        <f>SUMIFS('caseload data'!F:F,'caseload data'!$D:$D,"PO",'caseload data'!$C:$C,'divisional &amp; regional caseload'!$B$29)</f>
        <v>0</v>
      </c>
      <c r="E31" s="107">
        <f>SUMIFS('caseload data'!G:G,'caseload data'!$D:$D,"PO",'caseload data'!$C:$C,'divisional &amp; regional caseload'!$B$29)</f>
        <v>0</v>
      </c>
      <c r="F31" s="107">
        <f>SUMIFS('caseload data'!H:H,'caseload data'!$D:$D,"PO",'caseload data'!$C:$C,'divisional &amp; regional caseload'!$B$29)</f>
        <v>0</v>
      </c>
      <c r="G31" s="107">
        <f>SUMIFS('caseload data'!I:I,'caseload data'!$D:$D,"PO",'caseload data'!$C:$C,'divisional &amp; regional caseload'!$B$29)</f>
        <v>0</v>
      </c>
      <c r="H31" s="107">
        <f>SUMIFS('caseload data'!J:J,'caseload data'!$D:$D,"PO",'caseload data'!$C:$C,'divisional &amp; regional caseload'!$B$29)</f>
        <v>0</v>
      </c>
      <c r="I31" s="107">
        <f>SUMIFS('caseload data'!K:K,'caseload data'!$D:$D,"PO",'caseload data'!$C:$C,'divisional &amp; regional caseload'!$B$29)</f>
        <v>0</v>
      </c>
      <c r="J31" s="107">
        <f>SUMIFS('caseload data'!L:L,'caseload data'!$D:$D,"PO",'caseload data'!$C:$C,'divisional &amp; regional caseload'!$B$29)</f>
        <v>0</v>
      </c>
      <c r="K31" s="107">
        <f>SUMIFS('caseload data'!M:M,'caseload data'!$D:$D,"PO",'caseload data'!$C:$C,'divisional &amp; regional caseload'!$B$29)</f>
        <v>0</v>
      </c>
      <c r="L31" s="107">
        <f>SUMIFS('caseload data'!N:N,'caseload data'!$D:$D,"PO",'caseload data'!$C:$C,'divisional &amp; regional caseload'!$B$29)</f>
        <v>0</v>
      </c>
      <c r="M31" s="107">
        <f>SUMIFS('caseload data'!O:O,'caseload data'!$D:$D,"PO",'caseload data'!$C:$C,'divisional &amp; regional caseload'!$B$29)</f>
        <v>0</v>
      </c>
      <c r="N31" s="107">
        <f>SUMIFS('caseload data'!P:P,'caseload data'!$D:$D,"PO",'caseload data'!$C:$C,'divisional &amp; regional caseload'!$B$29)</f>
        <v>0</v>
      </c>
      <c r="O31" s="107">
        <f>SUMIFS('caseload data'!Q:Q,'caseload data'!$D:$D,"PO",'caseload data'!$C:$C,'divisional &amp; regional caseload'!$B$29)</f>
        <v>0</v>
      </c>
      <c r="P31" s="107">
        <f>SUMIFS('caseload data'!R:R,'caseload data'!$D:$D,"PO",'caseload data'!$C:$C,'divisional &amp; regional caseload'!$B$29)</f>
        <v>0</v>
      </c>
      <c r="Q31" s="107">
        <f>SUMIFS('caseload data'!S:S,'caseload data'!$D:$D,"PO",'caseload data'!$C:$C,'divisional &amp; regional caseload'!$B$29)</f>
        <v>0</v>
      </c>
      <c r="R31" s="107">
        <f>SUMIFS('caseload data'!T:T,'caseload data'!$D:$D,"PO",'caseload data'!$C:$C,'divisional &amp; regional caseload'!$B$29)</f>
        <v>0</v>
      </c>
      <c r="S31" s="104"/>
      <c r="T31" s="109" t="s">
        <v>1037</v>
      </c>
      <c r="U31" s="107">
        <f>SUMIFS('caseload data'!E:E,'caseload data'!$D:$D,"PO",'caseload data'!$C:$C,'divisional &amp; regional caseload'!$T$29)</f>
        <v>0</v>
      </c>
      <c r="V31" s="107">
        <f>SUMIFS('caseload data'!F:F,'caseload data'!$D:$D,"PO",'caseload data'!$C:$C,'divisional &amp; regional caseload'!$T$29)</f>
        <v>0</v>
      </c>
      <c r="W31" s="107">
        <f>SUMIFS('caseload data'!G:G,'caseload data'!$D:$D,"PO",'caseload data'!$C:$C,'divisional &amp; regional caseload'!$T$29)</f>
        <v>0</v>
      </c>
      <c r="X31" s="107">
        <f>SUMIFS('caseload data'!H:H,'caseload data'!$D:$D,"PO",'caseload data'!$C:$C,'divisional &amp; regional caseload'!$T$29)</f>
        <v>0</v>
      </c>
      <c r="Y31" s="107">
        <f>SUMIFS('caseload data'!I:I,'caseload data'!$D:$D,"PO",'caseload data'!$C:$C,'divisional &amp; regional caseload'!$T$29)</f>
        <v>0</v>
      </c>
      <c r="Z31" s="107">
        <f>SUMIFS('caseload data'!J:J,'caseload data'!$D:$D,"PO",'caseload data'!$C:$C,'divisional &amp; regional caseload'!$T$29)</f>
        <v>0</v>
      </c>
      <c r="AA31" s="107">
        <f>SUMIFS('caseload data'!K:K,'caseload data'!$D:$D,"PO",'caseload data'!$C:$C,'divisional &amp; regional caseload'!$T$29)</f>
        <v>0</v>
      </c>
      <c r="AB31" s="107">
        <f>SUMIFS('caseload data'!L:L,'caseload data'!$D:$D,"PO",'caseload data'!$C:$C,'divisional &amp; regional caseload'!$T$29)</f>
        <v>0</v>
      </c>
      <c r="AC31" s="107">
        <f>SUMIFS('caseload data'!M:M,'caseload data'!$D:$D,"PO",'caseload data'!$C:$C,'divisional &amp; regional caseload'!$T$29)</f>
        <v>0</v>
      </c>
      <c r="AD31" s="107">
        <f>SUMIFS('caseload data'!N:N,'caseload data'!$D:$D,"PO",'caseload data'!$C:$C,'divisional &amp; regional caseload'!$T$29)</f>
        <v>0</v>
      </c>
      <c r="AE31" s="107">
        <f>SUMIFS('caseload data'!O:O,'caseload data'!$D:$D,"PO",'caseload data'!$C:$C,'divisional &amp; regional caseload'!$T$29)</f>
        <v>0</v>
      </c>
      <c r="AF31" s="107">
        <f>SUMIFS('caseload data'!P:P,'caseload data'!$D:$D,"PO",'caseload data'!$C:$C,'divisional &amp; regional caseload'!$T$29)</f>
        <v>0</v>
      </c>
      <c r="AG31" s="107">
        <f>SUMIFS('caseload data'!Q:Q,'caseload data'!$D:$D,"PO",'caseload data'!$C:$C,'divisional &amp; regional caseload'!$T$29)</f>
        <v>0</v>
      </c>
      <c r="AH31" s="107">
        <f>SUMIFS('caseload data'!R:R,'caseload data'!$D:$D,"PO",'caseload data'!$C:$C,'divisional &amp; regional caseload'!$T$29)</f>
        <v>0</v>
      </c>
      <c r="AI31" s="107">
        <f>SUMIFS('caseload data'!S:S,'caseload data'!$D:$D,"PO",'caseload data'!$C:$C,'divisional &amp; regional caseload'!$T$29)</f>
        <v>0</v>
      </c>
      <c r="AJ31" s="107">
        <f>SUMIFS('caseload data'!T:T,'caseload data'!$D:$D,"PO",'caseload data'!$C:$C,'divisional &amp; regional caseload'!$T$29)</f>
        <v>0</v>
      </c>
    </row>
    <row r="32" spans="2:36" x14ac:dyDescent="0.15">
      <c r="B32" s="110" t="s">
        <v>1038</v>
      </c>
      <c r="C32" s="107">
        <f>SUMIFS('caseload data'!E:E,'caseload data'!$D:$D,"PSO",'caseload data'!$C:$C,'divisional &amp; regional caseload'!$B$29)</f>
        <v>0</v>
      </c>
      <c r="D32" s="107">
        <f>SUMIFS('caseload data'!F:F,'caseload data'!$D:$D,"PSO",'caseload data'!$C:$C,'divisional &amp; regional caseload'!$B$29)</f>
        <v>0</v>
      </c>
      <c r="E32" s="107">
        <f>SUMIFS('caseload data'!G:G,'caseload data'!$D:$D,"PSO",'caseload data'!$C:$C,'divisional &amp; regional caseload'!$B$29)</f>
        <v>0</v>
      </c>
      <c r="F32" s="107">
        <f>SUMIFS('caseload data'!H:H,'caseload data'!$D:$D,"PSO",'caseload data'!$C:$C,'divisional &amp; regional caseload'!$B$29)</f>
        <v>0</v>
      </c>
      <c r="G32" s="107">
        <f>SUMIFS('caseload data'!I:I,'caseload data'!$D:$D,"PSO",'caseload data'!$C:$C,'divisional &amp; regional caseload'!$B$29)</f>
        <v>0</v>
      </c>
      <c r="H32" s="107">
        <f>SUMIFS('caseload data'!J:J,'caseload data'!$D:$D,"PSO",'caseload data'!$C:$C,'divisional &amp; regional caseload'!$B$29)</f>
        <v>0</v>
      </c>
      <c r="I32" s="107">
        <f>SUMIFS('caseload data'!K:K,'caseload data'!$D:$D,"PSO",'caseload data'!$C:$C,'divisional &amp; regional caseload'!$B$29)</f>
        <v>0</v>
      </c>
      <c r="J32" s="107">
        <f>SUMIFS('caseload data'!L:L,'caseload data'!$D:$D,"PSO",'caseload data'!$C:$C,'divisional &amp; regional caseload'!$B$29)</f>
        <v>0</v>
      </c>
      <c r="K32" s="107">
        <f>SUMIFS('caseload data'!M:M,'caseload data'!$D:$D,"PSO",'caseload data'!$C:$C,'divisional &amp; regional caseload'!$B$29)</f>
        <v>0</v>
      </c>
      <c r="L32" s="107">
        <f>SUMIFS('caseload data'!N:N,'caseload data'!$D:$D,"PSO",'caseload data'!$C:$C,'divisional &amp; regional caseload'!$B$29)</f>
        <v>0</v>
      </c>
      <c r="M32" s="107">
        <f>SUMIFS('caseload data'!O:O,'caseload data'!$D:$D,"PSO",'caseload data'!$C:$C,'divisional &amp; regional caseload'!$B$29)</f>
        <v>0</v>
      </c>
      <c r="N32" s="107">
        <f>SUMIFS('caseload data'!P:P,'caseload data'!$D:$D,"PSO",'caseload data'!$C:$C,'divisional &amp; regional caseload'!$B$29)</f>
        <v>0</v>
      </c>
      <c r="O32" s="107">
        <f>SUMIFS('caseload data'!Q:Q,'caseload data'!$D:$D,"PSO",'caseload data'!$C:$C,'divisional &amp; regional caseload'!$B$29)</f>
        <v>0</v>
      </c>
      <c r="P32" s="107">
        <f>SUMIFS('caseload data'!R:R,'caseload data'!$D:$D,"PSO",'caseload data'!$C:$C,'divisional &amp; regional caseload'!$B$29)</f>
        <v>0</v>
      </c>
      <c r="Q32" s="107">
        <f>SUMIFS('caseload data'!S:S,'caseload data'!$D:$D,"PSO",'caseload data'!$C:$C,'divisional &amp; regional caseload'!$B$29)</f>
        <v>0</v>
      </c>
      <c r="R32" s="107">
        <f>SUMIFS('caseload data'!T:T,'caseload data'!$D:$D,"PSO",'caseload data'!$C:$C,'divisional &amp; regional caseload'!$B$29)</f>
        <v>0</v>
      </c>
      <c r="S32" s="104"/>
      <c r="T32" s="110" t="s">
        <v>1038</v>
      </c>
      <c r="U32" s="107">
        <f>SUMIFS('caseload data'!E:E,'caseload data'!$D:$D,"PSO",'caseload data'!$C:$C,'divisional &amp; regional caseload'!$T$29)</f>
        <v>0</v>
      </c>
      <c r="V32" s="107">
        <f>SUMIFS('caseload data'!F:F,'caseload data'!$D:$D,"PSO",'caseload data'!$C:$C,'divisional &amp; regional caseload'!$T$29)</f>
        <v>0</v>
      </c>
      <c r="W32" s="107">
        <f>SUMIFS('caseload data'!G:G,'caseload data'!$D:$D,"PSO",'caseload data'!$C:$C,'divisional &amp; regional caseload'!$T$29)</f>
        <v>0</v>
      </c>
      <c r="X32" s="107">
        <f>SUMIFS('caseload data'!H:H,'caseload data'!$D:$D,"PSO",'caseload data'!$C:$C,'divisional &amp; regional caseload'!$T$29)</f>
        <v>0</v>
      </c>
      <c r="Y32" s="107">
        <f>SUMIFS('caseload data'!I:I,'caseload data'!$D:$D,"PSO",'caseload data'!$C:$C,'divisional &amp; regional caseload'!$T$29)</f>
        <v>0</v>
      </c>
      <c r="Z32" s="107">
        <f>SUMIFS('caseload data'!J:J,'caseload data'!$D:$D,"PSO",'caseload data'!$C:$C,'divisional &amp; regional caseload'!$T$29)</f>
        <v>0</v>
      </c>
      <c r="AA32" s="107">
        <f>SUMIFS('caseload data'!K:K,'caseload data'!$D:$D,"PSO",'caseload data'!$C:$C,'divisional &amp; regional caseload'!$T$29)</f>
        <v>0</v>
      </c>
      <c r="AB32" s="107">
        <f>SUMIFS('caseload data'!L:L,'caseload data'!$D:$D,"PSO",'caseload data'!$C:$C,'divisional &amp; regional caseload'!$T$29)</f>
        <v>0</v>
      </c>
      <c r="AC32" s="107">
        <f>SUMIFS('caseload data'!M:M,'caseload data'!$D:$D,"PSO",'caseload data'!$C:$C,'divisional &amp; regional caseload'!$T$29)</f>
        <v>0</v>
      </c>
      <c r="AD32" s="107">
        <f>SUMIFS('caseload data'!N:N,'caseload data'!$D:$D,"PSO",'caseload data'!$C:$C,'divisional &amp; regional caseload'!$T$29)</f>
        <v>0</v>
      </c>
      <c r="AE32" s="107">
        <f>SUMIFS('caseload data'!O:O,'caseload data'!$D:$D,"PSO",'caseload data'!$C:$C,'divisional &amp; regional caseload'!$T$29)</f>
        <v>0</v>
      </c>
      <c r="AF32" s="107">
        <f>SUMIFS('caseload data'!P:P,'caseload data'!$D:$D,"PSO",'caseload data'!$C:$C,'divisional &amp; regional caseload'!$T$29)</f>
        <v>0</v>
      </c>
      <c r="AG32" s="107">
        <f>SUMIFS('caseload data'!Q:Q,'caseload data'!$D:$D,"PSO",'caseload data'!$C:$C,'divisional &amp; regional caseload'!$T$29)</f>
        <v>0</v>
      </c>
      <c r="AH32" s="107">
        <f>SUMIFS('caseload data'!R:R,'caseload data'!$D:$D,"PSO",'caseload data'!$C:$C,'divisional &amp; regional caseload'!$T$29)</f>
        <v>0</v>
      </c>
      <c r="AI32" s="107">
        <f>SUMIFS('caseload data'!S:S,'caseload data'!$D:$D,"PSO",'caseload data'!$C:$C,'divisional &amp; regional caseload'!$T$29)</f>
        <v>0</v>
      </c>
      <c r="AJ32" s="107">
        <f>SUMIFS('caseload data'!T:T,'caseload data'!$D:$D,"PSO",'caseload data'!$C:$C,'divisional &amp; regional caseload'!$T$29)</f>
        <v>0</v>
      </c>
    </row>
    <row r="33" spans="2:36" x14ac:dyDescent="0.15">
      <c r="B33" s="110" t="s">
        <v>1039</v>
      </c>
      <c r="C33" s="107">
        <f>SUMIFS('caseload data'!E:E,'caseload data'!$D:$D,"TPO",'caseload data'!$C:$C,'divisional &amp; regional caseload'!$B$29)</f>
        <v>0</v>
      </c>
      <c r="D33" s="107">
        <f>SUMIFS('caseload data'!F:F,'caseload data'!$D:$D,"TPO",'caseload data'!$C:$C,'divisional &amp; regional caseload'!$B$29)</f>
        <v>0</v>
      </c>
      <c r="E33" s="107">
        <f>SUMIFS('caseload data'!G:G,'caseload data'!$D:$D,"TPO",'caseload data'!$C:$C,'divisional &amp; regional caseload'!$B$29)</f>
        <v>0</v>
      </c>
      <c r="F33" s="107">
        <f>SUMIFS('caseload data'!H:H,'caseload data'!$D:$D,"TPO",'caseload data'!$C:$C,'divisional &amp; regional caseload'!$B$29)</f>
        <v>0</v>
      </c>
      <c r="G33" s="107">
        <f>SUMIFS('caseload data'!I:I,'caseload data'!$D:$D,"TPO",'caseload data'!$C:$C,'divisional &amp; regional caseload'!$B$29)</f>
        <v>0</v>
      </c>
      <c r="H33" s="107">
        <f>SUMIFS('caseload data'!J:J,'caseload data'!$D:$D,"TPO",'caseload data'!$C:$C,'divisional &amp; regional caseload'!$B$29)</f>
        <v>0</v>
      </c>
      <c r="I33" s="107">
        <f>SUMIFS('caseload data'!K:K,'caseload data'!$D:$D,"TPO",'caseload data'!$C:$C,'divisional &amp; regional caseload'!$B$29)</f>
        <v>0</v>
      </c>
      <c r="J33" s="107">
        <f>SUMIFS('caseload data'!L:L,'caseload data'!$D:$D,"TPO",'caseload data'!$C:$C,'divisional &amp; regional caseload'!$B$29)</f>
        <v>0</v>
      </c>
      <c r="K33" s="107">
        <f>SUMIFS('caseload data'!M:M,'caseload data'!$D:$D,"TPO",'caseload data'!$C:$C,'divisional &amp; regional caseload'!$B$29)</f>
        <v>0</v>
      </c>
      <c r="L33" s="107">
        <f>SUMIFS('caseload data'!N:N,'caseload data'!$D:$D,"TPO",'caseload data'!$C:$C,'divisional &amp; regional caseload'!$B$29)</f>
        <v>0</v>
      </c>
      <c r="M33" s="107">
        <f>SUMIFS('caseload data'!O:O,'caseload data'!$D:$D,"TPO",'caseload data'!$C:$C,'divisional &amp; regional caseload'!$B$29)</f>
        <v>0</v>
      </c>
      <c r="N33" s="107">
        <f>SUMIFS('caseload data'!P:P,'caseload data'!$D:$D,"TPO",'caseload data'!$C:$C,'divisional &amp; regional caseload'!$B$29)</f>
        <v>0</v>
      </c>
      <c r="O33" s="107">
        <f>SUMIFS('caseload data'!Q:Q,'caseload data'!$D:$D,"TPO",'caseload data'!$C:$C,'divisional &amp; regional caseload'!$B$29)</f>
        <v>0</v>
      </c>
      <c r="P33" s="107">
        <f>SUMIFS('caseload data'!R:R,'caseload data'!$D:$D,"TPO",'caseload data'!$C:$C,'divisional &amp; regional caseload'!$B$29)</f>
        <v>0</v>
      </c>
      <c r="Q33" s="107">
        <f>SUMIFS('caseload data'!S:S,'caseload data'!$D:$D,"TPO",'caseload data'!$C:$C,'divisional &amp; regional caseload'!$B$29)</f>
        <v>0</v>
      </c>
      <c r="R33" s="107">
        <f>SUMIFS('caseload data'!T:T,'caseload data'!$D:$D,"TPO",'caseload data'!$C:$C,'divisional &amp; regional caseload'!$B$29)</f>
        <v>0</v>
      </c>
      <c r="S33" s="104"/>
      <c r="T33" s="110" t="s">
        <v>1039</v>
      </c>
      <c r="U33" s="107">
        <f>SUMIFS('caseload data'!E:E,'caseload data'!$D:$D,"TPO",'caseload data'!$C:$C,'divisional &amp; regional caseload'!$T$29)</f>
        <v>0</v>
      </c>
      <c r="V33" s="107">
        <f>SUMIFS('caseload data'!F:F,'caseload data'!$D:$D,"TPO",'caseload data'!$C:$C,'divisional &amp; regional caseload'!$T$29)</f>
        <v>0</v>
      </c>
      <c r="W33" s="107">
        <f>SUMIFS('caseload data'!G:G,'caseload data'!$D:$D,"TPO",'caseload data'!$C:$C,'divisional &amp; regional caseload'!$T$29)</f>
        <v>0</v>
      </c>
      <c r="X33" s="107">
        <f>SUMIFS('caseload data'!H:H,'caseload data'!$D:$D,"TPO",'caseload data'!$C:$C,'divisional &amp; regional caseload'!$T$29)</f>
        <v>0</v>
      </c>
      <c r="Y33" s="107">
        <f>SUMIFS('caseload data'!I:I,'caseload data'!$D:$D,"TPO",'caseload data'!$C:$C,'divisional &amp; regional caseload'!$T$29)</f>
        <v>0</v>
      </c>
      <c r="Z33" s="107">
        <f>SUMIFS('caseload data'!J:J,'caseload data'!$D:$D,"TPO",'caseload data'!$C:$C,'divisional &amp; regional caseload'!$T$29)</f>
        <v>0</v>
      </c>
      <c r="AA33" s="107">
        <f>SUMIFS('caseload data'!K:K,'caseload data'!$D:$D,"TPO",'caseload data'!$C:$C,'divisional &amp; regional caseload'!$T$29)</f>
        <v>0</v>
      </c>
      <c r="AB33" s="107">
        <f>SUMIFS('caseload data'!L:L,'caseload data'!$D:$D,"TPO",'caseload data'!$C:$C,'divisional &amp; regional caseload'!$T$29)</f>
        <v>0</v>
      </c>
      <c r="AC33" s="107">
        <f>SUMIFS('caseload data'!M:M,'caseload data'!$D:$D,"TPO",'caseload data'!$C:$C,'divisional &amp; regional caseload'!$T$29)</f>
        <v>0</v>
      </c>
      <c r="AD33" s="107">
        <f>SUMIFS('caseload data'!N:N,'caseload data'!$D:$D,"TPO",'caseload data'!$C:$C,'divisional &amp; regional caseload'!$T$29)</f>
        <v>0</v>
      </c>
      <c r="AE33" s="107">
        <f>SUMIFS('caseload data'!O:O,'caseload data'!$D:$D,"TPO",'caseload data'!$C:$C,'divisional &amp; regional caseload'!$T$29)</f>
        <v>0</v>
      </c>
      <c r="AF33" s="107">
        <f>SUMIFS('caseload data'!P:P,'caseload data'!$D:$D,"TPO",'caseload data'!$C:$C,'divisional &amp; regional caseload'!$T$29)</f>
        <v>0</v>
      </c>
      <c r="AG33" s="107">
        <f>SUMIFS('caseload data'!Q:Q,'caseload data'!$D:$D,"TPO",'caseload data'!$C:$C,'divisional &amp; regional caseload'!$T$29)</f>
        <v>0</v>
      </c>
      <c r="AH33" s="107">
        <f>SUMIFS('caseload data'!R:R,'caseload data'!$D:$D,"TPO",'caseload data'!$C:$C,'divisional &amp; regional caseload'!$T$29)</f>
        <v>0</v>
      </c>
      <c r="AI33" s="107">
        <f>SUMIFS('caseload data'!S:S,'caseload data'!$D:$D,"TPO",'caseload data'!$C:$C,'divisional &amp; regional caseload'!$T$29)</f>
        <v>0</v>
      </c>
      <c r="AJ33" s="107">
        <f>SUMIFS('caseload data'!T:T,'caseload data'!$D:$D,"TPO",'caseload data'!$C:$C,'divisional &amp; regional caseload'!$T$29)</f>
        <v>0</v>
      </c>
    </row>
    <row r="34" spans="2:36" x14ac:dyDescent="0.15">
      <c r="B34" s="111" t="s">
        <v>1040</v>
      </c>
      <c r="C34" s="107">
        <f>SUMIFS('caseload data'!E:E,'caseload data'!$D:$D,"SPO",'caseload data'!$C:$C,'divisional &amp; regional caseload'!$B$29)</f>
        <v>0</v>
      </c>
      <c r="D34" s="107">
        <f>SUMIFS('caseload data'!F:F,'caseload data'!$D:$D,"SPO",'caseload data'!$C:$C,'divisional &amp; regional caseload'!$B$29)</f>
        <v>0</v>
      </c>
      <c r="E34" s="107">
        <f>SUMIFS('caseload data'!G:G,'caseload data'!$D:$D,"SPO",'caseload data'!$C:$C,'divisional &amp; regional caseload'!$B$29)</f>
        <v>0</v>
      </c>
      <c r="F34" s="107">
        <f>SUMIFS('caseload data'!H:H,'caseload data'!$D:$D,"SPO",'caseload data'!$C:$C,'divisional &amp; regional caseload'!$B$29)</f>
        <v>0</v>
      </c>
      <c r="G34" s="107">
        <f>SUMIFS('caseload data'!I:I,'caseload data'!$D:$D,"SPO",'caseload data'!$C:$C,'divisional &amp; regional caseload'!$B$29)</f>
        <v>0</v>
      </c>
      <c r="H34" s="107">
        <f>SUMIFS('caseload data'!J:J,'caseload data'!$D:$D,"SPO",'caseload data'!$C:$C,'divisional &amp; regional caseload'!$B$29)</f>
        <v>0</v>
      </c>
      <c r="I34" s="107">
        <f>SUMIFS('caseload data'!K:K,'caseload data'!$D:$D,"SPO",'caseload data'!$C:$C,'divisional &amp; regional caseload'!$B$29)</f>
        <v>0</v>
      </c>
      <c r="J34" s="107">
        <f>SUMIFS('caseload data'!L:L,'caseload data'!$D:$D,"SPO",'caseload data'!$C:$C,'divisional &amp; regional caseload'!$B$29)</f>
        <v>0</v>
      </c>
      <c r="K34" s="107">
        <f>SUMIFS('caseload data'!M:M,'caseload data'!$D:$D,"SPO",'caseload data'!$C:$C,'divisional &amp; regional caseload'!$B$29)</f>
        <v>0</v>
      </c>
      <c r="L34" s="107">
        <f>SUMIFS('caseload data'!N:N,'caseload data'!$D:$D,"SPO",'caseload data'!$C:$C,'divisional &amp; regional caseload'!$B$29)</f>
        <v>0</v>
      </c>
      <c r="M34" s="107">
        <f>SUMIFS('caseload data'!O:O,'caseload data'!$D:$D,"SPO",'caseload data'!$C:$C,'divisional &amp; regional caseload'!$B$29)</f>
        <v>0</v>
      </c>
      <c r="N34" s="107">
        <f>SUMIFS('caseload data'!P:P,'caseload data'!$D:$D,"SPO",'caseload data'!$C:$C,'divisional &amp; regional caseload'!$B$29)</f>
        <v>0</v>
      </c>
      <c r="O34" s="107">
        <f>SUMIFS('caseload data'!Q:Q,'caseload data'!$D:$D,"SPO",'caseload data'!$C:$C,'divisional &amp; regional caseload'!$B$29)</f>
        <v>0</v>
      </c>
      <c r="P34" s="107">
        <f>SUMIFS('caseload data'!R:R,'caseload data'!$D:$D,"SPO",'caseload data'!$C:$C,'divisional &amp; regional caseload'!$B$29)</f>
        <v>0</v>
      </c>
      <c r="Q34" s="107">
        <f>SUMIFS('caseload data'!S:S,'caseload data'!$D:$D,"SPO",'caseload data'!$C:$C,'divisional &amp; regional caseload'!$B$29)</f>
        <v>0</v>
      </c>
      <c r="R34" s="107">
        <f>SUMIFS('caseload data'!T:T,'caseload data'!$D:$D,"SPO",'caseload data'!$C:$C,'divisional &amp; regional caseload'!$B$29)</f>
        <v>0</v>
      </c>
      <c r="S34" s="104"/>
      <c r="T34" s="111" t="s">
        <v>1040</v>
      </c>
      <c r="U34" s="107">
        <f>SUMIFS('caseload data'!E:E,'caseload data'!$D:$D,"SPO",'caseload data'!$C:$C,'divisional &amp; regional caseload'!$T$29)</f>
        <v>0</v>
      </c>
      <c r="V34" s="107">
        <f>SUMIFS('caseload data'!F:F,'caseload data'!$D:$D,"SPO",'caseload data'!$C:$C,'divisional &amp; regional caseload'!$T$29)</f>
        <v>0</v>
      </c>
      <c r="W34" s="107">
        <f>SUMIFS('caseload data'!G:G,'caseload data'!$D:$D,"SPO",'caseload data'!$C:$C,'divisional &amp; regional caseload'!$T$29)</f>
        <v>0</v>
      </c>
      <c r="X34" s="107">
        <f>SUMIFS('caseload data'!H:H,'caseload data'!$D:$D,"SPO",'caseload data'!$C:$C,'divisional &amp; regional caseload'!$T$29)</f>
        <v>0</v>
      </c>
      <c r="Y34" s="107">
        <f>SUMIFS('caseload data'!I:I,'caseload data'!$D:$D,"SPO",'caseload data'!$C:$C,'divisional &amp; regional caseload'!$T$29)</f>
        <v>0</v>
      </c>
      <c r="Z34" s="107">
        <f>SUMIFS('caseload data'!J:J,'caseload data'!$D:$D,"SPO",'caseload data'!$C:$C,'divisional &amp; regional caseload'!$T$29)</f>
        <v>0</v>
      </c>
      <c r="AA34" s="107">
        <f>SUMIFS('caseload data'!K:K,'caseload data'!$D:$D,"SPO",'caseload data'!$C:$C,'divisional &amp; regional caseload'!$T$29)</f>
        <v>0</v>
      </c>
      <c r="AB34" s="107">
        <f>SUMIFS('caseload data'!L:L,'caseload data'!$D:$D,"SPO",'caseload data'!$C:$C,'divisional &amp; regional caseload'!$T$29)</f>
        <v>0</v>
      </c>
      <c r="AC34" s="107">
        <f>SUMIFS('caseload data'!M:M,'caseload data'!$D:$D,"SPO",'caseload data'!$C:$C,'divisional &amp; regional caseload'!$T$29)</f>
        <v>0</v>
      </c>
      <c r="AD34" s="107">
        <f>SUMIFS('caseload data'!N:N,'caseload data'!$D:$D,"SPO",'caseload data'!$C:$C,'divisional &amp; regional caseload'!$T$29)</f>
        <v>0</v>
      </c>
      <c r="AE34" s="107">
        <f>SUMIFS('caseload data'!O:O,'caseload data'!$D:$D,"SPO",'caseload data'!$C:$C,'divisional &amp; regional caseload'!$T$29)</f>
        <v>0</v>
      </c>
      <c r="AF34" s="107">
        <f>SUMIFS('caseload data'!P:P,'caseload data'!$D:$D,"SPO",'caseload data'!$C:$C,'divisional &amp; regional caseload'!$T$29)</f>
        <v>0</v>
      </c>
      <c r="AG34" s="107">
        <f>SUMIFS('caseload data'!Q:Q,'caseload data'!$D:$D,"SPO",'caseload data'!$C:$C,'divisional &amp; regional caseload'!$T$29)</f>
        <v>0</v>
      </c>
      <c r="AH34" s="107">
        <f>SUMIFS('caseload data'!R:R,'caseload data'!$D:$D,"SPO",'caseload data'!$C:$C,'divisional &amp; regional caseload'!$T$29)</f>
        <v>0</v>
      </c>
      <c r="AI34" s="107">
        <f>SUMIFS('caseload data'!S:S,'caseload data'!$D:$D,"SPO",'caseload data'!$C:$C,'divisional &amp; regional caseload'!$T$29)</f>
        <v>0</v>
      </c>
      <c r="AJ34" s="107">
        <f>SUMIFS('caseload data'!T:T,'caseload data'!$D:$D,"SPO",'caseload data'!$C:$C,'divisional &amp; regional caseload'!$T$29)</f>
        <v>0</v>
      </c>
    </row>
    <row r="35" spans="2:36" x14ac:dyDescent="0.15"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</row>
    <row r="36" spans="2:36" ht="27.75" customHeight="1" x14ac:dyDescent="0.15">
      <c r="B36" s="162" t="str">
        <f>HLOOKUP($B$5,Region_Table,10,0)</f>
        <v>Ealing and Hillingdon</v>
      </c>
      <c r="C36" s="333" t="s">
        <v>1258</v>
      </c>
      <c r="D36" s="334"/>
      <c r="E36" s="334"/>
      <c r="F36" s="334"/>
      <c r="G36" s="334"/>
      <c r="H36" s="334"/>
      <c r="I36" s="334"/>
      <c r="J36" s="334"/>
      <c r="K36" s="334"/>
      <c r="L36" s="334"/>
      <c r="M36" s="335"/>
      <c r="N36" s="335"/>
      <c r="O36" s="336"/>
      <c r="P36" s="337">
        <f>SUMIF('caseload data'!$C:$C,'divisional &amp; regional caseload'!B36,'caseload data'!V:V)</f>
        <v>0</v>
      </c>
      <c r="Q36" s="338"/>
      <c r="R36" s="339"/>
      <c r="S36" s="104"/>
      <c r="T36" s="162" t="str">
        <f>HLOOKUP($B$5,Region_Table,11,0)</f>
        <v>Enfield and Haringey</v>
      </c>
      <c r="U36" s="333" t="s">
        <v>1257</v>
      </c>
      <c r="V36" s="335"/>
      <c r="W36" s="335"/>
      <c r="X36" s="336"/>
      <c r="Y36" s="337">
        <f>SUMIF('caseload data'!$C:$C,'divisional &amp; regional caseload'!T36,'caseload data'!V:V)</f>
        <v>0</v>
      </c>
      <c r="Z36" s="338"/>
      <c r="AA36" s="339"/>
    </row>
    <row r="37" spans="2:36" x14ac:dyDescent="0.15">
      <c r="B37" s="108" t="s">
        <v>1199</v>
      </c>
      <c r="C37" s="42" t="s">
        <v>1019</v>
      </c>
      <c r="D37" s="42" t="s">
        <v>1020</v>
      </c>
      <c r="E37" s="42" t="s">
        <v>1021</v>
      </c>
      <c r="F37" s="42" t="s">
        <v>1022</v>
      </c>
      <c r="G37" s="42" t="s">
        <v>1023</v>
      </c>
      <c r="H37" s="42" t="s">
        <v>1024</v>
      </c>
      <c r="I37" s="42" t="s">
        <v>1025</v>
      </c>
      <c r="J37" s="42" t="s">
        <v>1026</v>
      </c>
      <c r="K37" s="42" t="s">
        <v>1027</v>
      </c>
      <c r="L37" s="42" t="s">
        <v>1028</v>
      </c>
      <c r="M37" s="42" t="s">
        <v>1029</v>
      </c>
      <c r="N37" s="42" t="s">
        <v>1030</v>
      </c>
      <c r="O37" s="42" t="s">
        <v>1031</v>
      </c>
      <c r="P37" s="42" t="s">
        <v>1032</v>
      </c>
      <c r="Q37" s="42" t="s">
        <v>1033</v>
      </c>
      <c r="R37" s="42" t="s">
        <v>1034</v>
      </c>
      <c r="S37" s="104"/>
      <c r="T37" s="108" t="s">
        <v>1199</v>
      </c>
      <c r="U37" s="42" t="s">
        <v>1019</v>
      </c>
      <c r="V37" s="42" t="s">
        <v>1020</v>
      </c>
      <c r="W37" s="42" t="s">
        <v>1021</v>
      </c>
      <c r="X37" s="42" t="s">
        <v>1022</v>
      </c>
      <c r="Y37" s="42" t="s">
        <v>1023</v>
      </c>
      <c r="Z37" s="42" t="s">
        <v>1024</v>
      </c>
      <c r="AA37" s="42" t="s">
        <v>1025</v>
      </c>
      <c r="AB37" s="42" t="s">
        <v>1026</v>
      </c>
      <c r="AC37" s="42" t="s">
        <v>1027</v>
      </c>
      <c r="AD37" s="42" t="s">
        <v>1028</v>
      </c>
      <c r="AE37" s="42" t="s">
        <v>1029</v>
      </c>
      <c r="AF37" s="42" t="s">
        <v>1030</v>
      </c>
      <c r="AG37" s="42" t="s">
        <v>1031</v>
      </c>
      <c r="AH37" s="42" t="s">
        <v>1032</v>
      </c>
      <c r="AI37" s="42" t="s">
        <v>1033</v>
      </c>
      <c r="AJ37" s="42" t="s">
        <v>1034</v>
      </c>
    </row>
    <row r="38" spans="2:36" x14ac:dyDescent="0.15">
      <c r="B38" s="109" t="s">
        <v>1037</v>
      </c>
      <c r="C38" s="107">
        <f>SUMIFS('caseload data'!E:E,'caseload data'!$D:$D,"PO",'caseload data'!$C:$C,'divisional &amp; regional caseload'!$B$36)</f>
        <v>0</v>
      </c>
      <c r="D38" s="107">
        <f>SUMIFS('caseload data'!F:F,'caseload data'!$D:$D,"PO",'caseload data'!$C:$C,'divisional &amp; regional caseload'!$B$36)</f>
        <v>0</v>
      </c>
      <c r="E38" s="107">
        <f>SUMIFS('caseload data'!G:G,'caseload data'!$D:$D,"PO",'caseload data'!$C:$C,'divisional &amp; regional caseload'!$B$36)</f>
        <v>0</v>
      </c>
      <c r="F38" s="107">
        <f>SUMIFS('caseload data'!H:H,'caseload data'!$D:$D,"PO",'caseload data'!$C:$C,'divisional &amp; regional caseload'!$B$36)</f>
        <v>0</v>
      </c>
      <c r="G38" s="107">
        <f>SUMIFS('caseload data'!I:I,'caseload data'!$D:$D,"PO",'caseload data'!$C:$C,'divisional &amp; regional caseload'!$B$36)</f>
        <v>0</v>
      </c>
      <c r="H38" s="107">
        <f>SUMIFS('caseload data'!J:J,'caseload data'!$D:$D,"PO",'caseload data'!$C:$C,'divisional &amp; regional caseload'!$B$36)</f>
        <v>0</v>
      </c>
      <c r="I38" s="107">
        <f>SUMIFS('caseload data'!K:K,'caseload data'!$D:$D,"PO",'caseload data'!$C:$C,'divisional &amp; regional caseload'!$B$36)</f>
        <v>0</v>
      </c>
      <c r="J38" s="107">
        <f>SUMIFS('caseload data'!L:L,'caseload data'!$D:$D,"PO",'caseload data'!$C:$C,'divisional &amp; regional caseload'!$B$36)</f>
        <v>0</v>
      </c>
      <c r="K38" s="107">
        <f>SUMIFS('caseload data'!M:M,'caseload data'!$D:$D,"PO",'caseload data'!$C:$C,'divisional &amp; regional caseload'!$B$36)</f>
        <v>0</v>
      </c>
      <c r="L38" s="107">
        <f>SUMIFS('caseload data'!N:N,'caseload data'!$D:$D,"PO",'caseload data'!$C:$C,'divisional &amp; regional caseload'!$B$36)</f>
        <v>0</v>
      </c>
      <c r="M38" s="107">
        <f>SUMIFS('caseload data'!O:O,'caseload data'!$D:$D,"PO",'caseload data'!$C:$C,'divisional &amp; regional caseload'!$B$36)</f>
        <v>0</v>
      </c>
      <c r="N38" s="107">
        <f>SUMIFS('caseload data'!P:P,'caseload data'!$D:$D,"PO",'caseload data'!$C:$C,'divisional &amp; regional caseload'!$B$36)</f>
        <v>0</v>
      </c>
      <c r="O38" s="107">
        <f>SUMIFS('caseload data'!Q:Q,'caseload data'!$D:$D,"PO",'caseload data'!$C:$C,'divisional &amp; regional caseload'!$B$36)</f>
        <v>0</v>
      </c>
      <c r="P38" s="107">
        <f>SUMIFS('caseload data'!R:R,'caseload data'!$D:$D,"PO",'caseload data'!$C:$C,'divisional &amp; regional caseload'!$B$36)</f>
        <v>0</v>
      </c>
      <c r="Q38" s="107">
        <f>SUMIFS('caseload data'!S:S,'caseload data'!$D:$D,"PO",'caseload data'!$C:$C,'divisional &amp; regional caseload'!$B$36)</f>
        <v>0</v>
      </c>
      <c r="R38" s="107">
        <f>SUMIFS('caseload data'!T:T,'caseload data'!$D:$D,"PO",'caseload data'!$C:$C,'divisional &amp; regional caseload'!$B$36)</f>
        <v>0</v>
      </c>
      <c r="S38" s="104"/>
      <c r="T38" s="109" t="s">
        <v>1037</v>
      </c>
      <c r="U38" s="107">
        <f>SUMIFS('caseload data'!E:E,'caseload data'!$D:$D,"PO",'caseload data'!$C:$C,'divisional &amp; regional caseload'!$T$36)</f>
        <v>0</v>
      </c>
      <c r="V38" s="107">
        <f>SUMIFS('caseload data'!F:F,'caseload data'!$D:$D,"PO",'caseload data'!$C:$C,'divisional &amp; regional caseload'!$T$36)</f>
        <v>0</v>
      </c>
      <c r="W38" s="107">
        <f>SUMIFS('caseload data'!G:G,'caseload data'!$D:$D,"PO",'caseload data'!$C:$C,'divisional &amp; regional caseload'!$T$36)</f>
        <v>0</v>
      </c>
      <c r="X38" s="107">
        <f>SUMIFS('caseload data'!H:H,'caseload data'!$D:$D,"PO",'caseload data'!$C:$C,'divisional &amp; regional caseload'!$T$36)</f>
        <v>0</v>
      </c>
      <c r="Y38" s="107">
        <f>SUMIFS('caseload data'!I:I,'caseload data'!$D:$D,"PO",'caseload data'!$C:$C,'divisional &amp; regional caseload'!$T$36)</f>
        <v>0</v>
      </c>
      <c r="Z38" s="107">
        <f>SUMIFS('caseload data'!J:J,'caseload data'!$D:$D,"PO",'caseload data'!$C:$C,'divisional &amp; regional caseload'!$T$36)</f>
        <v>0</v>
      </c>
      <c r="AA38" s="107">
        <f>SUMIFS('caseload data'!K:K,'caseload data'!$D:$D,"PO",'caseload data'!$C:$C,'divisional &amp; regional caseload'!$T$36)</f>
        <v>0</v>
      </c>
      <c r="AB38" s="107">
        <f>SUMIFS('caseload data'!L:L,'caseload data'!$D:$D,"PO",'caseload data'!$C:$C,'divisional &amp; regional caseload'!$T$36)</f>
        <v>0</v>
      </c>
      <c r="AC38" s="107">
        <f>SUMIFS('caseload data'!M:M,'caseload data'!$D:$D,"PO",'caseload data'!$C:$C,'divisional &amp; regional caseload'!$T$36)</f>
        <v>0</v>
      </c>
      <c r="AD38" s="107">
        <f>SUMIFS('caseload data'!N:N,'caseload data'!$D:$D,"PO",'caseload data'!$C:$C,'divisional &amp; regional caseload'!$T$36)</f>
        <v>0</v>
      </c>
      <c r="AE38" s="107">
        <f>SUMIFS('caseload data'!O:O,'caseload data'!$D:$D,"PO",'caseload data'!$C:$C,'divisional &amp; regional caseload'!$T$36)</f>
        <v>0</v>
      </c>
      <c r="AF38" s="107">
        <f>SUMIFS('caseload data'!P:P,'caseload data'!$D:$D,"PO",'caseload data'!$C:$C,'divisional &amp; regional caseload'!$T$36)</f>
        <v>0</v>
      </c>
      <c r="AG38" s="107">
        <f>SUMIFS('caseload data'!Q:Q,'caseload data'!$D:$D,"PO",'caseload data'!$C:$C,'divisional &amp; regional caseload'!$T$36)</f>
        <v>0</v>
      </c>
      <c r="AH38" s="107">
        <f>SUMIFS('caseload data'!R:R,'caseload data'!$D:$D,"PO",'caseload data'!$C:$C,'divisional &amp; regional caseload'!$T$36)</f>
        <v>0</v>
      </c>
      <c r="AI38" s="107">
        <f>SUMIFS('caseload data'!S:S,'caseload data'!$D:$D,"PO",'caseload data'!$C:$C,'divisional &amp; regional caseload'!$T$36)</f>
        <v>0</v>
      </c>
      <c r="AJ38" s="107">
        <f>SUMIFS('caseload data'!T:T,'caseload data'!$D:$D,"PO",'caseload data'!$C:$C,'divisional &amp; regional caseload'!$T$36)</f>
        <v>0</v>
      </c>
    </row>
    <row r="39" spans="2:36" x14ac:dyDescent="0.15">
      <c r="B39" s="110" t="s">
        <v>1038</v>
      </c>
      <c r="C39" s="107">
        <f>SUMIFS('caseload data'!E:E,'caseload data'!$D:$D,"PSO",'caseload data'!$C:$C,'divisional &amp; regional caseload'!$B$36)</f>
        <v>0</v>
      </c>
      <c r="D39" s="107">
        <f>SUMIFS('caseload data'!F:F,'caseload data'!$D:$D,"PSO",'caseload data'!$C:$C,'divisional &amp; regional caseload'!$B$36)</f>
        <v>0</v>
      </c>
      <c r="E39" s="107">
        <f>SUMIFS('caseload data'!G:G,'caseload data'!$D:$D,"PSO",'caseload data'!$C:$C,'divisional &amp; regional caseload'!$B$36)</f>
        <v>0</v>
      </c>
      <c r="F39" s="107">
        <f>SUMIFS('caseload data'!H:H,'caseload data'!$D:$D,"PSO",'caseload data'!$C:$C,'divisional &amp; regional caseload'!$B$36)</f>
        <v>0</v>
      </c>
      <c r="G39" s="107">
        <f>SUMIFS('caseload data'!I:I,'caseload data'!$D:$D,"PSO",'caseload data'!$C:$C,'divisional &amp; regional caseload'!$B$36)</f>
        <v>0</v>
      </c>
      <c r="H39" s="107">
        <f>SUMIFS('caseload data'!J:J,'caseload data'!$D:$D,"PSO",'caseload data'!$C:$C,'divisional &amp; regional caseload'!$B$36)</f>
        <v>0</v>
      </c>
      <c r="I39" s="107">
        <f>SUMIFS('caseload data'!K:K,'caseload data'!$D:$D,"PSO",'caseload data'!$C:$C,'divisional &amp; regional caseload'!$B$36)</f>
        <v>0</v>
      </c>
      <c r="J39" s="107">
        <f>SUMIFS('caseload data'!L:L,'caseload data'!$D:$D,"PSO",'caseload data'!$C:$C,'divisional &amp; regional caseload'!$B$36)</f>
        <v>0</v>
      </c>
      <c r="K39" s="107">
        <f>SUMIFS('caseload data'!M:M,'caseload data'!$D:$D,"PSO",'caseload data'!$C:$C,'divisional &amp; regional caseload'!$B$36)</f>
        <v>0</v>
      </c>
      <c r="L39" s="107">
        <f>SUMIFS('caseload data'!N:N,'caseload data'!$D:$D,"PSO",'caseload data'!$C:$C,'divisional &amp; regional caseload'!$B$36)</f>
        <v>0</v>
      </c>
      <c r="M39" s="107">
        <f>SUMIFS('caseload data'!O:O,'caseload data'!$D:$D,"PSO",'caseload data'!$C:$C,'divisional &amp; regional caseload'!$B$36)</f>
        <v>0</v>
      </c>
      <c r="N39" s="107">
        <f>SUMIFS('caseload data'!P:P,'caseload data'!$D:$D,"PSO",'caseload data'!$C:$C,'divisional &amp; regional caseload'!$B$36)</f>
        <v>0</v>
      </c>
      <c r="O39" s="107">
        <f>SUMIFS('caseload data'!Q:Q,'caseload data'!$D:$D,"PSO",'caseload data'!$C:$C,'divisional &amp; regional caseload'!$B$36)</f>
        <v>0</v>
      </c>
      <c r="P39" s="107">
        <f>SUMIFS('caseload data'!R:R,'caseload data'!$D:$D,"PSO",'caseload data'!$C:$C,'divisional &amp; regional caseload'!$B$36)</f>
        <v>0</v>
      </c>
      <c r="Q39" s="107">
        <f>SUMIFS('caseload data'!S:S,'caseload data'!$D:$D,"PSO",'caseload data'!$C:$C,'divisional &amp; regional caseload'!$B$36)</f>
        <v>0</v>
      </c>
      <c r="R39" s="107">
        <f>SUMIFS('caseload data'!T:T,'caseload data'!$D:$D,"PSO",'caseload data'!$C:$C,'divisional &amp; regional caseload'!$B$36)</f>
        <v>0</v>
      </c>
      <c r="S39" s="104"/>
      <c r="T39" s="110" t="s">
        <v>1038</v>
      </c>
      <c r="U39" s="107">
        <f>SUMIFS('caseload data'!E:E,'caseload data'!$D:$D,"PSO",'caseload data'!$C:$C,'divisional &amp; regional caseload'!$T$36)</f>
        <v>0</v>
      </c>
      <c r="V39" s="107">
        <f>SUMIFS('caseload data'!F:F,'caseload data'!$D:$D,"PSO",'caseload data'!$C:$C,'divisional &amp; regional caseload'!$T$36)</f>
        <v>0</v>
      </c>
      <c r="W39" s="107">
        <f>SUMIFS('caseload data'!G:G,'caseload data'!$D:$D,"PSO",'caseload data'!$C:$C,'divisional &amp; regional caseload'!$T$36)</f>
        <v>0</v>
      </c>
      <c r="X39" s="107">
        <f>SUMIFS('caseload data'!H:H,'caseload data'!$D:$D,"PSO",'caseload data'!$C:$C,'divisional &amp; regional caseload'!$T$36)</f>
        <v>0</v>
      </c>
      <c r="Y39" s="107">
        <f>SUMIFS('caseload data'!I:I,'caseload data'!$D:$D,"PSO",'caseload data'!$C:$C,'divisional &amp; regional caseload'!$T$36)</f>
        <v>0</v>
      </c>
      <c r="Z39" s="107">
        <f>SUMIFS('caseload data'!J:J,'caseload data'!$D:$D,"PSO",'caseload data'!$C:$C,'divisional &amp; regional caseload'!$T$36)</f>
        <v>0</v>
      </c>
      <c r="AA39" s="107">
        <f>SUMIFS('caseload data'!K:K,'caseload data'!$D:$D,"PSO",'caseload data'!$C:$C,'divisional &amp; regional caseload'!$T$36)</f>
        <v>0</v>
      </c>
      <c r="AB39" s="107">
        <f>SUMIFS('caseload data'!L:L,'caseload data'!$D:$D,"PSO",'caseload data'!$C:$C,'divisional &amp; regional caseload'!$T$36)</f>
        <v>0</v>
      </c>
      <c r="AC39" s="107">
        <f>SUMIFS('caseload data'!M:M,'caseload data'!$D:$D,"PSO",'caseload data'!$C:$C,'divisional &amp; regional caseload'!$T$36)</f>
        <v>0</v>
      </c>
      <c r="AD39" s="107">
        <f>SUMIFS('caseload data'!N:N,'caseload data'!$D:$D,"PSO",'caseload data'!$C:$C,'divisional &amp; regional caseload'!$T$36)</f>
        <v>0</v>
      </c>
      <c r="AE39" s="107">
        <f>SUMIFS('caseload data'!O:O,'caseload data'!$D:$D,"PSO",'caseload data'!$C:$C,'divisional &amp; regional caseload'!$T$36)</f>
        <v>0</v>
      </c>
      <c r="AF39" s="107">
        <f>SUMIFS('caseload data'!P:P,'caseload data'!$D:$D,"PSO",'caseload data'!$C:$C,'divisional &amp; regional caseload'!$T$36)</f>
        <v>0</v>
      </c>
      <c r="AG39" s="107">
        <f>SUMIFS('caseload data'!Q:Q,'caseload data'!$D:$D,"PSO",'caseload data'!$C:$C,'divisional &amp; regional caseload'!$T$36)</f>
        <v>0</v>
      </c>
      <c r="AH39" s="107">
        <f>SUMIFS('caseload data'!R:R,'caseload data'!$D:$D,"PSO",'caseload data'!$C:$C,'divisional &amp; regional caseload'!$T$36)</f>
        <v>0</v>
      </c>
      <c r="AI39" s="107">
        <f>SUMIFS('caseload data'!S:S,'caseload data'!$D:$D,"PSO",'caseload data'!$C:$C,'divisional &amp; regional caseload'!$T$36)</f>
        <v>0</v>
      </c>
      <c r="AJ39" s="107">
        <f>SUMIFS('caseload data'!T:T,'caseload data'!$D:$D,"PSO",'caseload data'!$C:$C,'divisional &amp; regional caseload'!$T$36)</f>
        <v>0</v>
      </c>
    </row>
    <row r="40" spans="2:36" x14ac:dyDescent="0.15">
      <c r="B40" s="110" t="s">
        <v>1039</v>
      </c>
      <c r="C40" s="107">
        <f>SUMIFS('caseload data'!E:E,'caseload data'!$D:$D,"TPO",'caseload data'!$C:$C,'divisional &amp; regional caseload'!$B$36)</f>
        <v>0</v>
      </c>
      <c r="D40" s="107">
        <f>SUMIFS('caseload data'!F:F,'caseload data'!$D:$D,"TPO",'caseload data'!$C:$C,'divisional &amp; regional caseload'!$B$36)</f>
        <v>0</v>
      </c>
      <c r="E40" s="107">
        <f>SUMIFS('caseload data'!G:G,'caseload data'!$D:$D,"TPO",'caseload data'!$C:$C,'divisional &amp; regional caseload'!$B$36)</f>
        <v>0</v>
      </c>
      <c r="F40" s="107">
        <f>SUMIFS('caseload data'!H:H,'caseload data'!$D:$D,"TPO",'caseload data'!$C:$C,'divisional &amp; regional caseload'!$B$36)</f>
        <v>0</v>
      </c>
      <c r="G40" s="107">
        <f>SUMIFS('caseload data'!I:I,'caseload data'!$D:$D,"TPO",'caseload data'!$C:$C,'divisional &amp; regional caseload'!$B$36)</f>
        <v>0</v>
      </c>
      <c r="H40" s="107">
        <f>SUMIFS('caseload data'!J:J,'caseload data'!$D:$D,"TPO",'caseload data'!$C:$C,'divisional &amp; regional caseload'!$B$36)</f>
        <v>0</v>
      </c>
      <c r="I40" s="107">
        <f>SUMIFS('caseload data'!K:K,'caseload data'!$D:$D,"TPO",'caseload data'!$C:$C,'divisional &amp; regional caseload'!$B$36)</f>
        <v>0</v>
      </c>
      <c r="J40" s="107">
        <f>SUMIFS('caseload data'!L:L,'caseload data'!$D:$D,"TPO",'caseload data'!$C:$C,'divisional &amp; regional caseload'!$B$36)</f>
        <v>0</v>
      </c>
      <c r="K40" s="107">
        <f>SUMIFS('caseload data'!M:M,'caseload data'!$D:$D,"TPO",'caseload data'!$C:$C,'divisional &amp; regional caseload'!$B$36)</f>
        <v>0</v>
      </c>
      <c r="L40" s="107">
        <f>SUMIFS('caseload data'!N:N,'caseload data'!$D:$D,"TPO",'caseload data'!$C:$C,'divisional &amp; regional caseload'!$B$36)</f>
        <v>0</v>
      </c>
      <c r="M40" s="107">
        <f>SUMIFS('caseload data'!O:O,'caseload data'!$D:$D,"TPO",'caseload data'!$C:$C,'divisional &amp; regional caseload'!$B$36)</f>
        <v>0</v>
      </c>
      <c r="N40" s="107">
        <f>SUMIFS('caseload data'!P:P,'caseload data'!$D:$D,"TPO",'caseload data'!$C:$C,'divisional &amp; regional caseload'!$B$36)</f>
        <v>0</v>
      </c>
      <c r="O40" s="107">
        <f>SUMIFS('caseload data'!Q:Q,'caseload data'!$D:$D,"TPO",'caseload data'!$C:$C,'divisional &amp; regional caseload'!$B$36)</f>
        <v>0</v>
      </c>
      <c r="P40" s="107">
        <f>SUMIFS('caseload data'!R:R,'caseload data'!$D:$D,"TPO",'caseload data'!$C:$C,'divisional &amp; regional caseload'!$B$36)</f>
        <v>0</v>
      </c>
      <c r="Q40" s="107">
        <f>SUMIFS('caseload data'!S:S,'caseload data'!$D:$D,"TPO",'caseload data'!$C:$C,'divisional &amp; regional caseload'!$B$36)</f>
        <v>0</v>
      </c>
      <c r="R40" s="107">
        <f>SUMIFS('caseload data'!T:T,'caseload data'!$D:$D,"TPO",'caseload data'!$C:$C,'divisional &amp; regional caseload'!$B$36)</f>
        <v>0</v>
      </c>
      <c r="S40" s="104"/>
      <c r="T40" s="110" t="s">
        <v>1039</v>
      </c>
      <c r="U40" s="107">
        <f>SUMIFS('caseload data'!E:E,'caseload data'!$D:$D,"TPO",'caseload data'!$C:$C,'divisional &amp; regional caseload'!$T$36)</f>
        <v>0</v>
      </c>
      <c r="V40" s="107">
        <f>SUMIFS('caseload data'!F:F,'caseload data'!$D:$D,"TPO",'caseload data'!$C:$C,'divisional &amp; regional caseload'!$T$36)</f>
        <v>0</v>
      </c>
      <c r="W40" s="107">
        <f>SUMIFS('caseload data'!G:G,'caseload data'!$D:$D,"TPO",'caseload data'!$C:$C,'divisional &amp; regional caseload'!$T$36)</f>
        <v>0</v>
      </c>
      <c r="X40" s="107">
        <f>SUMIFS('caseload data'!H:H,'caseload data'!$D:$D,"TPO",'caseload data'!$C:$C,'divisional &amp; regional caseload'!$T$36)</f>
        <v>0</v>
      </c>
      <c r="Y40" s="107">
        <f>SUMIFS('caseload data'!I:I,'caseload data'!$D:$D,"TPO",'caseload data'!$C:$C,'divisional &amp; regional caseload'!$T$36)</f>
        <v>0</v>
      </c>
      <c r="Z40" s="107">
        <f>SUMIFS('caseload data'!J:J,'caseload data'!$D:$D,"TPO",'caseload data'!$C:$C,'divisional &amp; regional caseload'!$T$36)</f>
        <v>0</v>
      </c>
      <c r="AA40" s="107">
        <f>SUMIFS('caseload data'!K:K,'caseload data'!$D:$D,"TPO",'caseload data'!$C:$C,'divisional &amp; regional caseload'!$T$36)</f>
        <v>0</v>
      </c>
      <c r="AB40" s="107">
        <f>SUMIFS('caseload data'!L:L,'caseload data'!$D:$D,"TPO",'caseload data'!$C:$C,'divisional &amp; regional caseload'!$T$36)</f>
        <v>0</v>
      </c>
      <c r="AC40" s="107">
        <f>SUMIFS('caseload data'!M:M,'caseload data'!$D:$D,"TPO",'caseload data'!$C:$C,'divisional &amp; regional caseload'!$T$36)</f>
        <v>0</v>
      </c>
      <c r="AD40" s="107">
        <f>SUMIFS('caseload data'!N:N,'caseload data'!$D:$D,"TPO",'caseload data'!$C:$C,'divisional &amp; regional caseload'!$T$36)</f>
        <v>0</v>
      </c>
      <c r="AE40" s="107">
        <f>SUMIFS('caseload data'!O:O,'caseload data'!$D:$D,"TPO",'caseload data'!$C:$C,'divisional &amp; regional caseload'!$T$36)</f>
        <v>0</v>
      </c>
      <c r="AF40" s="107">
        <f>SUMIFS('caseload data'!P:P,'caseload data'!$D:$D,"TPO",'caseload data'!$C:$C,'divisional &amp; regional caseload'!$T$36)</f>
        <v>0</v>
      </c>
      <c r="AG40" s="107">
        <f>SUMIFS('caseload data'!Q:Q,'caseload data'!$D:$D,"TPO",'caseload data'!$C:$C,'divisional &amp; regional caseload'!$T$36)</f>
        <v>0</v>
      </c>
      <c r="AH40" s="107">
        <f>SUMIFS('caseload data'!R:R,'caseload data'!$D:$D,"TPO",'caseload data'!$C:$C,'divisional &amp; regional caseload'!$T$36)</f>
        <v>0</v>
      </c>
      <c r="AI40" s="107">
        <f>SUMIFS('caseload data'!S:S,'caseload data'!$D:$D,"TPO",'caseload data'!$C:$C,'divisional &amp; regional caseload'!$T$36)</f>
        <v>0</v>
      </c>
      <c r="AJ40" s="107">
        <f>SUMIFS('caseload data'!T:T,'caseload data'!$D:$D,"TPO",'caseload data'!$C:$C,'divisional &amp; regional caseload'!$T$36)</f>
        <v>0</v>
      </c>
    </row>
    <row r="41" spans="2:36" x14ac:dyDescent="0.15">
      <c r="B41" s="111" t="s">
        <v>1040</v>
      </c>
      <c r="C41" s="107">
        <f>SUMIFS('caseload data'!E:E,'caseload data'!$D:$D,"SPO",'caseload data'!$C:$C,'divisional &amp; regional caseload'!$B$36)</f>
        <v>0</v>
      </c>
      <c r="D41" s="107">
        <f>SUMIFS('caseload data'!F:F,'caseload data'!$D:$D,"SPO",'caseload data'!$C:$C,'divisional &amp; regional caseload'!$B$36)</f>
        <v>0</v>
      </c>
      <c r="E41" s="107">
        <f>SUMIFS('caseload data'!G:G,'caseload data'!$D:$D,"SPO",'caseload data'!$C:$C,'divisional &amp; regional caseload'!$B$36)</f>
        <v>0</v>
      </c>
      <c r="F41" s="107">
        <f>SUMIFS('caseload data'!H:H,'caseload data'!$D:$D,"SPO",'caseload data'!$C:$C,'divisional &amp; regional caseload'!$B$36)</f>
        <v>0</v>
      </c>
      <c r="G41" s="107">
        <f>SUMIFS('caseload data'!I:I,'caseload data'!$D:$D,"SPO",'caseload data'!$C:$C,'divisional &amp; regional caseload'!$B$36)</f>
        <v>0</v>
      </c>
      <c r="H41" s="107">
        <f>SUMIFS('caseload data'!J:J,'caseload data'!$D:$D,"SPO",'caseload data'!$C:$C,'divisional &amp; regional caseload'!$B$36)</f>
        <v>0</v>
      </c>
      <c r="I41" s="107">
        <f>SUMIFS('caseload data'!K:K,'caseload data'!$D:$D,"SPO",'caseload data'!$C:$C,'divisional &amp; regional caseload'!$B$36)</f>
        <v>0</v>
      </c>
      <c r="J41" s="107">
        <f>SUMIFS('caseload data'!L:L,'caseload data'!$D:$D,"SPO",'caseload data'!$C:$C,'divisional &amp; regional caseload'!$B$36)</f>
        <v>0</v>
      </c>
      <c r="K41" s="107">
        <f>SUMIFS('caseload data'!M:M,'caseload data'!$D:$D,"SPO",'caseload data'!$C:$C,'divisional &amp; regional caseload'!$B$36)</f>
        <v>0</v>
      </c>
      <c r="L41" s="107">
        <f>SUMIFS('caseload data'!N:N,'caseload data'!$D:$D,"SPO",'caseload data'!$C:$C,'divisional &amp; regional caseload'!$B$36)</f>
        <v>0</v>
      </c>
      <c r="M41" s="107">
        <f>SUMIFS('caseload data'!O:O,'caseload data'!$D:$D,"SPO",'caseload data'!$C:$C,'divisional &amp; regional caseload'!$B$36)</f>
        <v>0</v>
      </c>
      <c r="N41" s="107">
        <f>SUMIFS('caseload data'!P:P,'caseload data'!$D:$D,"SPO",'caseload data'!$C:$C,'divisional &amp; regional caseload'!$B$36)</f>
        <v>0</v>
      </c>
      <c r="O41" s="107">
        <f>SUMIFS('caseload data'!Q:Q,'caseload data'!$D:$D,"SPO",'caseload data'!$C:$C,'divisional &amp; regional caseload'!$B$36)</f>
        <v>0</v>
      </c>
      <c r="P41" s="107">
        <f>SUMIFS('caseload data'!R:R,'caseload data'!$D:$D,"SPO",'caseload data'!$C:$C,'divisional &amp; regional caseload'!$B$36)</f>
        <v>0</v>
      </c>
      <c r="Q41" s="107">
        <f>SUMIFS('caseload data'!S:S,'caseload data'!$D:$D,"SPO",'caseload data'!$C:$C,'divisional &amp; regional caseload'!$B$36)</f>
        <v>0</v>
      </c>
      <c r="R41" s="107">
        <f>SUMIFS('caseload data'!T:T,'caseload data'!$D:$D,"SPO",'caseload data'!$C:$C,'divisional &amp; regional caseload'!$B$36)</f>
        <v>0</v>
      </c>
      <c r="S41" s="104"/>
      <c r="T41" s="111" t="s">
        <v>1040</v>
      </c>
      <c r="U41" s="107">
        <f>SUMIFS('caseload data'!E:E,'caseload data'!$D:$D,"SPO",'caseload data'!$C:$C,'divisional &amp; regional caseload'!$T$36)</f>
        <v>0</v>
      </c>
      <c r="V41" s="107">
        <f>SUMIFS('caseload data'!F:F,'caseload data'!$D:$D,"SPO",'caseload data'!$C:$C,'divisional &amp; regional caseload'!$T$36)</f>
        <v>0</v>
      </c>
      <c r="W41" s="107">
        <f>SUMIFS('caseload data'!G:G,'caseload data'!$D:$D,"SPO",'caseload data'!$C:$C,'divisional &amp; regional caseload'!$T$36)</f>
        <v>0</v>
      </c>
      <c r="X41" s="107">
        <f>SUMIFS('caseload data'!H:H,'caseload data'!$D:$D,"SPO",'caseload data'!$C:$C,'divisional &amp; regional caseload'!$T$36)</f>
        <v>0</v>
      </c>
      <c r="Y41" s="107">
        <f>SUMIFS('caseload data'!I:I,'caseload data'!$D:$D,"SPO",'caseload data'!$C:$C,'divisional &amp; regional caseload'!$T$36)</f>
        <v>0</v>
      </c>
      <c r="Z41" s="107">
        <f>SUMIFS('caseload data'!J:J,'caseload data'!$D:$D,"SPO",'caseload data'!$C:$C,'divisional &amp; regional caseload'!$T$36)</f>
        <v>0</v>
      </c>
      <c r="AA41" s="107">
        <f>SUMIFS('caseload data'!K:K,'caseload data'!$D:$D,"SPO",'caseload data'!$C:$C,'divisional &amp; regional caseload'!$T$36)</f>
        <v>0</v>
      </c>
      <c r="AB41" s="107">
        <f>SUMIFS('caseload data'!L:L,'caseload data'!$D:$D,"SPO",'caseload data'!$C:$C,'divisional &amp; regional caseload'!$T$36)</f>
        <v>0</v>
      </c>
      <c r="AC41" s="107">
        <f>SUMIFS('caseload data'!M:M,'caseload data'!$D:$D,"SPO",'caseload data'!$C:$C,'divisional &amp; regional caseload'!$T$36)</f>
        <v>0</v>
      </c>
      <c r="AD41" s="107">
        <f>SUMIFS('caseload data'!N:N,'caseload data'!$D:$D,"SPO",'caseload data'!$C:$C,'divisional &amp; regional caseload'!$T$36)</f>
        <v>0</v>
      </c>
      <c r="AE41" s="107">
        <f>SUMIFS('caseload data'!O:O,'caseload data'!$D:$D,"SPO",'caseload data'!$C:$C,'divisional &amp; regional caseload'!$T$36)</f>
        <v>0</v>
      </c>
      <c r="AF41" s="107">
        <f>SUMIFS('caseload data'!P:P,'caseload data'!$D:$D,"SPO",'caseload data'!$C:$C,'divisional &amp; regional caseload'!$T$36)</f>
        <v>0</v>
      </c>
      <c r="AG41" s="107">
        <f>SUMIFS('caseload data'!Q:Q,'caseload data'!$D:$D,"SPO",'caseload data'!$C:$C,'divisional &amp; regional caseload'!$T$36)</f>
        <v>0</v>
      </c>
      <c r="AH41" s="107">
        <f>SUMIFS('caseload data'!R:R,'caseload data'!$D:$D,"SPO",'caseload data'!$C:$C,'divisional &amp; regional caseload'!$T$36)</f>
        <v>0</v>
      </c>
      <c r="AI41" s="107">
        <f>SUMIFS('caseload data'!S:S,'caseload data'!$D:$D,"SPO",'caseload data'!$C:$C,'divisional &amp; regional caseload'!$T$36)</f>
        <v>0</v>
      </c>
      <c r="AJ41" s="107">
        <f>SUMIFS('caseload data'!T:T,'caseload data'!$D:$D,"SPO",'caseload data'!$C:$C,'divisional &amp; regional caseload'!$T$36)</f>
        <v>0</v>
      </c>
    </row>
    <row r="42" spans="2:36" x14ac:dyDescent="0.15"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</row>
    <row r="43" spans="2:36" ht="29.25" customHeight="1" x14ac:dyDescent="0.15">
      <c r="B43" s="162" t="str">
        <f>HLOOKUP($B$5,Region_Table,12,0)</f>
        <v>Greenwich and Bexley</v>
      </c>
      <c r="C43" s="333" t="s">
        <v>1259</v>
      </c>
      <c r="D43" s="334"/>
      <c r="E43" s="334"/>
      <c r="F43" s="334"/>
      <c r="G43" s="334"/>
      <c r="H43" s="334"/>
      <c r="I43" s="334"/>
      <c r="J43" s="334"/>
      <c r="K43" s="334"/>
      <c r="L43" s="334"/>
      <c r="M43" s="335"/>
      <c r="N43" s="335"/>
      <c r="O43" s="336"/>
      <c r="P43" s="337">
        <f>SUMIF('caseload data'!$C:$C,'divisional &amp; regional caseload'!B43,'caseload data'!V:V)</f>
        <v>0</v>
      </c>
      <c r="Q43" s="338"/>
      <c r="R43" s="339"/>
      <c r="S43" s="104"/>
      <c r="T43" s="162" t="str">
        <f>HLOOKUP($B$5,Region_Table,13,0)</f>
        <v>Hackney and City</v>
      </c>
      <c r="U43" s="333" t="s">
        <v>1257</v>
      </c>
      <c r="V43" s="335"/>
      <c r="W43" s="335"/>
      <c r="X43" s="336"/>
      <c r="Y43" s="337">
        <f>SUMIF('caseload data'!$C:$C,'divisional &amp; regional caseload'!T43,'caseload data'!V:V)</f>
        <v>0</v>
      </c>
      <c r="Z43" s="338"/>
      <c r="AA43" s="339"/>
    </row>
    <row r="44" spans="2:36" x14ac:dyDescent="0.15">
      <c r="B44" s="108" t="s">
        <v>1199</v>
      </c>
      <c r="C44" s="42" t="s">
        <v>1019</v>
      </c>
      <c r="D44" s="42" t="s">
        <v>1020</v>
      </c>
      <c r="E44" s="42" t="s">
        <v>1021</v>
      </c>
      <c r="F44" s="42" t="s">
        <v>1022</v>
      </c>
      <c r="G44" s="42" t="s">
        <v>1023</v>
      </c>
      <c r="H44" s="42" t="s">
        <v>1024</v>
      </c>
      <c r="I44" s="42" t="s">
        <v>1025</v>
      </c>
      <c r="J44" s="42" t="s">
        <v>1026</v>
      </c>
      <c r="K44" s="42" t="s">
        <v>1027</v>
      </c>
      <c r="L44" s="42" t="s">
        <v>1028</v>
      </c>
      <c r="M44" s="42" t="s">
        <v>1029</v>
      </c>
      <c r="N44" s="42" t="s">
        <v>1030</v>
      </c>
      <c r="O44" s="42" t="s">
        <v>1031</v>
      </c>
      <c r="P44" s="42" t="s">
        <v>1032</v>
      </c>
      <c r="Q44" s="42" t="s">
        <v>1033</v>
      </c>
      <c r="R44" s="42" t="s">
        <v>1034</v>
      </c>
      <c r="S44" s="104"/>
      <c r="T44" s="108" t="s">
        <v>1199</v>
      </c>
      <c r="U44" s="42" t="s">
        <v>1019</v>
      </c>
      <c r="V44" s="42" t="s">
        <v>1020</v>
      </c>
      <c r="W44" s="42" t="s">
        <v>1021</v>
      </c>
      <c r="X44" s="42" t="s">
        <v>1022</v>
      </c>
      <c r="Y44" s="42" t="s">
        <v>1023</v>
      </c>
      <c r="Z44" s="42" t="s">
        <v>1024</v>
      </c>
      <c r="AA44" s="42" t="s">
        <v>1025</v>
      </c>
      <c r="AB44" s="42" t="s">
        <v>1026</v>
      </c>
      <c r="AC44" s="42" t="s">
        <v>1027</v>
      </c>
      <c r="AD44" s="42" t="s">
        <v>1028</v>
      </c>
      <c r="AE44" s="42" t="s">
        <v>1029</v>
      </c>
      <c r="AF44" s="42" t="s">
        <v>1030</v>
      </c>
      <c r="AG44" s="42" t="s">
        <v>1031</v>
      </c>
      <c r="AH44" s="42" t="s">
        <v>1032</v>
      </c>
      <c r="AI44" s="42" t="s">
        <v>1033</v>
      </c>
      <c r="AJ44" s="42" t="s">
        <v>1034</v>
      </c>
    </row>
    <row r="45" spans="2:36" x14ac:dyDescent="0.15">
      <c r="B45" s="109" t="s">
        <v>1037</v>
      </c>
      <c r="C45" s="107">
        <f>SUMIFS('caseload data'!E:E,'caseload data'!$D:$D,"PO",'caseload data'!$C:$C,'divisional &amp; regional caseload'!$B$43)</f>
        <v>0</v>
      </c>
      <c r="D45" s="107">
        <f>SUMIFS('caseload data'!F:F,'caseload data'!$D:$D,"PO",'caseload data'!$C:$C,'divisional &amp; regional caseload'!$B$43)</f>
        <v>0</v>
      </c>
      <c r="E45" s="107">
        <f>SUMIFS('caseload data'!G:G,'caseload data'!$D:$D,"PO",'caseload data'!$C:$C,'divisional &amp; regional caseload'!$B$43)</f>
        <v>0</v>
      </c>
      <c r="F45" s="107">
        <f>SUMIFS('caseload data'!H:H,'caseload data'!$D:$D,"PO",'caseload data'!$C:$C,'divisional &amp; regional caseload'!$B$43)</f>
        <v>0</v>
      </c>
      <c r="G45" s="107">
        <f>SUMIFS('caseload data'!I:I,'caseload data'!$D:$D,"PO",'caseload data'!$C:$C,'divisional &amp; regional caseload'!$B$43)</f>
        <v>0</v>
      </c>
      <c r="H45" s="107">
        <f>SUMIFS('caseload data'!J:J,'caseload data'!$D:$D,"PO",'caseload data'!$C:$C,'divisional &amp; regional caseload'!$B$43)</f>
        <v>0</v>
      </c>
      <c r="I45" s="107">
        <f>SUMIFS('caseload data'!K:K,'caseload data'!$D:$D,"PO",'caseload data'!$C:$C,'divisional &amp; regional caseload'!$B$43)</f>
        <v>0</v>
      </c>
      <c r="J45" s="107">
        <f>SUMIFS('caseload data'!L:L,'caseload data'!$D:$D,"PO",'caseload data'!$C:$C,'divisional &amp; regional caseload'!$B$43)</f>
        <v>0</v>
      </c>
      <c r="K45" s="107">
        <f>SUMIFS('caseload data'!M:M,'caseload data'!$D:$D,"PO",'caseload data'!$C:$C,'divisional &amp; regional caseload'!$B$43)</f>
        <v>0</v>
      </c>
      <c r="L45" s="107">
        <f>SUMIFS('caseload data'!N:N,'caseload data'!$D:$D,"PO",'caseload data'!$C:$C,'divisional &amp; regional caseload'!$B$43)</f>
        <v>0</v>
      </c>
      <c r="M45" s="107">
        <f>SUMIFS('caseload data'!O:O,'caseload data'!$D:$D,"PO",'caseload data'!$C:$C,'divisional &amp; regional caseload'!$B$43)</f>
        <v>0</v>
      </c>
      <c r="N45" s="107">
        <f>SUMIFS('caseload data'!P:P,'caseload data'!$D:$D,"PO",'caseload data'!$C:$C,'divisional &amp; regional caseload'!$B$43)</f>
        <v>0</v>
      </c>
      <c r="O45" s="107">
        <f>SUMIFS('caseload data'!Q:Q,'caseload data'!$D:$D,"PO",'caseload data'!$C:$C,'divisional &amp; regional caseload'!$B$43)</f>
        <v>0</v>
      </c>
      <c r="P45" s="107">
        <f>SUMIFS('caseload data'!R:R,'caseload data'!$D:$D,"PO",'caseload data'!$C:$C,'divisional &amp; regional caseload'!$B$43)</f>
        <v>0</v>
      </c>
      <c r="Q45" s="107">
        <f>SUMIFS('caseload data'!S:S,'caseload data'!$D:$D,"PO",'caseload data'!$C:$C,'divisional &amp; regional caseload'!$B$43)</f>
        <v>0</v>
      </c>
      <c r="R45" s="107">
        <f>SUMIFS('caseload data'!T:T,'caseload data'!$D:$D,"PO",'caseload data'!$C:$C,'divisional &amp; regional caseload'!$B$43)</f>
        <v>0</v>
      </c>
      <c r="S45" s="104"/>
      <c r="T45" s="109" t="s">
        <v>1037</v>
      </c>
      <c r="U45" s="107">
        <f>SUMIFS('caseload data'!E:E,'caseload data'!$D:$D,"PO",'caseload data'!$C:$C,'divisional &amp; regional caseload'!$T$43)</f>
        <v>0</v>
      </c>
      <c r="V45" s="107">
        <f>SUMIFS('caseload data'!F:F,'caseload data'!$D:$D,"PO",'caseload data'!$C:$C,'divisional &amp; regional caseload'!$T$43)</f>
        <v>0</v>
      </c>
      <c r="W45" s="107">
        <f>SUMIFS('caseload data'!G:G,'caseload data'!$D:$D,"PO",'caseload data'!$C:$C,'divisional &amp; regional caseload'!$T$43)</f>
        <v>0</v>
      </c>
      <c r="X45" s="107">
        <f>SUMIFS('caseload data'!H:H,'caseload data'!$D:$D,"PO",'caseload data'!$C:$C,'divisional &amp; regional caseload'!$T$43)</f>
        <v>0</v>
      </c>
      <c r="Y45" s="107">
        <f>SUMIFS('caseload data'!I:I,'caseload data'!$D:$D,"PO",'caseload data'!$C:$C,'divisional &amp; regional caseload'!$T$43)</f>
        <v>0</v>
      </c>
      <c r="Z45" s="107">
        <f>SUMIFS('caseload data'!J:J,'caseload data'!$D:$D,"PO",'caseload data'!$C:$C,'divisional &amp; regional caseload'!$T$43)</f>
        <v>0</v>
      </c>
      <c r="AA45" s="107">
        <f>SUMIFS('caseload data'!K:K,'caseload data'!$D:$D,"PO",'caseload data'!$C:$C,'divisional &amp; regional caseload'!$T$43)</f>
        <v>0</v>
      </c>
      <c r="AB45" s="107">
        <f>SUMIFS('caseload data'!L:L,'caseload data'!$D:$D,"PO",'caseload data'!$C:$C,'divisional &amp; regional caseload'!$T$43)</f>
        <v>0</v>
      </c>
      <c r="AC45" s="107">
        <f>SUMIFS('caseload data'!M:M,'caseload data'!$D:$D,"PO",'caseload data'!$C:$C,'divisional &amp; regional caseload'!$T$43)</f>
        <v>0</v>
      </c>
      <c r="AD45" s="107">
        <f>SUMIFS('caseload data'!N:N,'caseload data'!$D:$D,"PO",'caseload data'!$C:$C,'divisional &amp; regional caseload'!$T$43)</f>
        <v>0</v>
      </c>
      <c r="AE45" s="107">
        <f>SUMIFS('caseload data'!O:O,'caseload data'!$D:$D,"PO",'caseload data'!$C:$C,'divisional &amp; regional caseload'!$T$43)</f>
        <v>0</v>
      </c>
      <c r="AF45" s="107">
        <f>SUMIFS('caseload data'!P:P,'caseload data'!$D:$D,"PO",'caseload data'!$C:$C,'divisional &amp; regional caseload'!$T$43)</f>
        <v>0</v>
      </c>
      <c r="AG45" s="107">
        <f>SUMIFS('caseload data'!Q:Q,'caseload data'!$D:$D,"PO",'caseload data'!$C:$C,'divisional &amp; regional caseload'!$T$43)</f>
        <v>0</v>
      </c>
      <c r="AH45" s="107">
        <f>SUMIFS('caseload data'!R:R,'caseload data'!$D:$D,"PO",'caseload data'!$C:$C,'divisional &amp; regional caseload'!$T$43)</f>
        <v>0</v>
      </c>
      <c r="AI45" s="107">
        <f>SUMIFS('caseload data'!S:S,'caseload data'!$D:$D,"PO",'caseload data'!$C:$C,'divisional &amp; regional caseload'!$T$43)</f>
        <v>0</v>
      </c>
      <c r="AJ45" s="107">
        <f>SUMIFS('caseload data'!T:T,'caseload data'!$D:$D,"PO",'caseload data'!$C:$C,'divisional &amp; regional caseload'!$T$43)</f>
        <v>0</v>
      </c>
    </row>
    <row r="46" spans="2:36" x14ac:dyDescent="0.15">
      <c r="B46" s="110" t="s">
        <v>1038</v>
      </c>
      <c r="C46" s="107">
        <f>SUMIFS('caseload data'!E:E,'caseload data'!$D:$D,"PSO",'caseload data'!$C:$C,'divisional &amp; regional caseload'!$B$43)</f>
        <v>0</v>
      </c>
      <c r="D46" s="107">
        <f>SUMIFS('caseload data'!F:F,'caseload data'!$D:$D,"PSO",'caseload data'!$C:$C,'divisional &amp; regional caseload'!$B$43)</f>
        <v>0</v>
      </c>
      <c r="E46" s="107">
        <f>SUMIFS('caseload data'!G:G,'caseload data'!$D:$D,"PSO",'caseload data'!$C:$C,'divisional &amp; regional caseload'!$B$43)</f>
        <v>0</v>
      </c>
      <c r="F46" s="107">
        <f>SUMIFS('caseload data'!H:H,'caseload data'!$D:$D,"PSO",'caseload data'!$C:$C,'divisional &amp; regional caseload'!$B$43)</f>
        <v>0</v>
      </c>
      <c r="G46" s="107">
        <f>SUMIFS('caseload data'!I:I,'caseload data'!$D:$D,"PSO",'caseload data'!$C:$C,'divisional &amp; regional caseload'!$B$43)</f>
        <v>0</v>
      </c>
      <c r="H46" s="107">
        <f>SUMIFS('caseload data'!J:J,'caseload data'!$D:$D,"PSO",'caseload data'!$C:$C,'divisional &amp; regional caseload'!$B$43)</f>
        <v>0</v>
      </c>
      <c r="I46" s="107">
        <f>SUMIFS('caseload data'!K:K,'caseload data'!$D:$D,"PSO",'caseload data'!$C:$C,'divisional &amp; regional caseload'!$B$43)</f>
        <v>0</v>
      </c>
      <c r="J46" s="107">
        <f>SUMIFS('caseload data'!L:L,'caseload data'!$D:$D,"PSO",'caseload data'!$C:$C,'divisional &amp; regional caseload'!$B$43)</f>
        <v>0</v>
      </c>
      <c r="K46" s="107">
        <f>SUMIFS('caseload data'!M:M,'caseload data'!$D:$D,"PSO",'caseload data'!$C:$C,'divisional &amp; regional caseload'!$B$43)</f>
        <v>0</v>
      </c>
      <c r="L46" s="107">
        <f>SUMIFS('caseload data'!N:N,'caseload data'!$D:$D,"PSO",'caseload data'!$C:$C,'divisional &amp; regional caseload'!$B$43)</f>
        <v>0</v>
      </c>
      <c r="M46" s="107">
        <f>SUMIFS('caseload data'!O:O,'caseload data'!$D:$D,"PSO",'caseload data'!$C:$C,'divisional &amp; regional caseload'!$B$43)</f>
        <v>0</v>
      </c>
      <c r="N46" s="107">
        <f>SUMIFS('caseload data'!P:P,'caseload data'!$D:$D,"PSO",'caseload data'!$C:$C,'divisional &amp; regional caseload'!$B$43)</f>
        <v>0</v>
      </c>
      <c r="O46" s="107">
        <f>SUMIFS('caseload data'!Q:Q,'caseload data'!$D:$D,"PSO",'caseload data'!$C:$C,'divisional &amp; regional caseload'!$B$43)</f>
        <v>0</v>
      </c>
      <c r="P46" s="107">
        <f>SUMIFS('caseload data'!R:R,'caseload data'!$D:$D,"PSO",'caseload data'!$C:$C,'divisional &amp; regional caseload'!$B$43)</f>
        <v>0</v>
      </c>
      <c r="Q46" s="107">
        <f>SUMIFS('caseload data'!S:S,'caseload data'!$D:$D,"PSO",'caseload data'!$C:$C,'divisional &amp; regional caseload'!$B$43)</f>
        <v>0</v>
      </c>
      <c r="R46" s="107">
        <f>SUMIFS('caseload data'!T:T,'caseload data'!$D:$D,"PSO",'caseload data'!$C:$C,'divisional &amp; regional caseload'!$B$43)</f>
        <v>0</v>
      </c>
      <c r="S46" s="104"/>
      <c r="T46" s="110" t="s">
        <v>1038</v>
      </c>
      <c r="U46" s="107">
        <f>SUMIFS('caseload data'!E:E,'caseload data'!$D:$D,"PSO",'caseload data'!$C:$C,'divisional &amp; regional caseload'!$T$43)</f>
        <v>0</v>
      </c>
      <c r="V46" s="107">
        <f>SUMIFS('caseload data'!F:F,'caseload data'!$D:$D,"PSO",'caseload data'!$C:$C,'divisional &amp; regional caseload'!$T$43)</f>
        <v>0</v>
      </c>
      <c r="W46" s="107">
        <f>SUMIFS('caseload data'!G:G,'caseload data'!$D:$D,"PSO",'caseload data'!$C:$C,'divisional &amp; regional caseload'!$T$43)</f>
        <v>0</v>
      </c>
      <c r="X46" s="107">
        <f>SUMIFS('caseload data'!H:H,'caseload data'!$D:$D,"PSO",'caseload data'!$C:$C,'divisional &amp; regional caseload'!$T$43)</f>
        <v>0</v>
      </c>
      <c r="Y46" s="107">
        <f>SUMIFS('caseload data'!I:I,'caseload data'!$D:$D,"PSO",'caseload data'!$C:$C,'divisional &amp; regional caseload'!$T$43)</f>
        <v>0</v>
      </c>
      <c r="Z46" s="107">
        <f>SUMIFS('caseload data'!J:J,'caseload data'!$D:$D,"PSO",'caseload data'!$C:$C,'divisional &amp; regional caseload'!$T$43)</f>
        <v>0</v>
      </c>
      <c r="AA46" s="107">
        <f>SUMIFS('caseload data'!K:K,'caseload data'!$D:$D,"PSO",'caseload data'!$C:$C,'divisional &amp; regional caseload'!$T$43)</f>
        <v>0</v>
      </c>
      <c r="AB46" s="107">
        <f>SUMIFS('caseload data'!L:L,'caseload data'!$D:$D,"PSO",'caseload data'!$C:$C,'divisional &amp; regional caseload'!$T$43)</f>
        <v>0</v>
      </c>
      <c r="AC46" s="107">
        <f>SUMIFS('caseload data'!M:M,'caseload data'!$D:$D,"PSO",'caseload data'!$C:$C,'divisional &amp; regional caseload'!$T$43)</f>
        <v>0</v>
      </c>
      <c r="AD46" s="107">
        <f>SUMIFS('caseload data'!N:N,'caseload data'!$D:$D,"PSO",'caseload data'!$C:$C,'divisional &amp; regional caseload'!$T$43)</f>
        <v>0</v>
      </c>
      <c r="AE46" s="107">
        <f>SUMIFS('caseload data'!O:O,'caseload data'!$D:$D,"PSO",'caseload data'!$C:$C,'divisional &amp; regional caseload'!$T$43)</f>
        <v>0</v>
      </c>
      <c r="AF46" s="107">
        <f>SUMIFS('caseload data'!P:P,'caseload data'!$D:$D,"PSO",'caseload data'!$C:$C,'divisional &amp; regional caseload'!$T$43)</f>
        <v>0</v>
      </c>
      <c r="AG46" s="107">
        <f>SUMIFS('caseload data'!Q:Q,'caseload data'!$D:$D,"PSO",'caseload data'!$C:$C,'divisional &amp; regional caseload'!$T$43)</f>
        <v>0</v>
      </c>
      <c r="AH46" s="107">
        <f>SUMIFS('caseload data'!R:R,'caseload data'!$D:$D,"PSO",'caseload data'!$C:$C,'divisional &amp; regional caseload'!$T$43)</f>
        <v>0</v>
      </c>
      <c r="AI46" s="107">
        <f>SUMIFS('caseload data'!S:S,'caseload data'!$D:$D,"PSO",'caseload data'!$C:$C,'divisional &amp; regional caseload'!$T$43)</f>
        <v>0</v>
      </c>
      <c r="AJ46" s="107">
        <f>SUMIFS('caseload data'!T:T,'caseload data'!$D:$D,"PSO",'caseload data'!$C:$C,'divisional &amp; regional caseload'!$T$43)</f>
        <v>0</v>
      </c>
    </row>
    <row r="47" spans="2:36" x14ac:dyDescent="0.15">
      <c r="B47" s="110" t="s">
        <v>1039</v>
      </c>
      <c r="C47" s="107">
        <f>SUMIFS('caseload data'!E:E,'caseload data'!$D:$D,"TPO",'caseload data'!$C:$C,'divisional &amp; regional caseload'!$B$43)</f>
        <v>0</v>
      </c>
      <c r="D47" s="107">
        <f>SUMIFS('caseload data'!F:F,'caseload data'!$D:$D,"TPO",'caseload data'!$C:$C,'divisional &amp; regional caseload'!$B$43)</f>
        <v>0</v>
      </c>
      <c r="E47" s="107">
        <f>SUMIFS('caseload data'!G:G,'caseload data'!$D:$D,"TPO",'caseload data'!$C:$C,'divisional &amp; regional caseload'!$B$43)</f>
        <v>0</v>
      </c>
      <c r="F47" s="107">
        <f>SUMIFS('caseload data'!H:H,'caseload data'!$D:$D,"TPO",'caseload data'!$C:$C,'divisional &amp; regional caseload'!$B$43)</f>
        <v>0</v>
      </c>
      <c r="G47" s="107">
        <f>SUMIFS('caseload data'!I:I,'caseload data'!$D:$D,"TPO",'caseload data'!$C:$C,'divisional &amp; regional caseload'!$B$43)</f>
        <v>0</v>
      </c>
      <c r="H47" s="107">
        <f>SUMIFS('caseload data'!J:J,'caseload data'!$D:$D,"TPO",'caseload data'!$C:$C,'divisional &amp; regional caseload'!$B$43)</f>
        <v>0</v>
      </c>
      <c r="I47" s="107">
        <f>SUMIFS('caseload data'!K:K,'caseload data'!$D:$D,"TPO",'caseload data'!$C:$C,'divisional &amp; regional caseload'!$B$43)</f>
        <v>0</v>
      </c>
      <c r="J47" s="107">
        <f>SUMIFS('caseload data'!L:L,'caseload data'!$D:$D,"TPO",'caseload data'!$C:$C,'divisional &amp; regional caseload'!$B$43)</f>
        <v>0</v>
      </c>
      <c r="K47" s="107">
        <f>SUMIFS('caseload data'!M:M,'caseload data'!$D:$D,"TPO",'caseload data'!$C:$C,'divisional &amp; regional caseload'!$B$43)</f>
        <v>0</v>
      </c>
      <c r="L47" s="107">
        <f>SUMIFS('caseload data'!N:N,'caseload data'!$D:$D,"TPO",'caseload data'!$C:$C,'divisional &amp; regional caseload'!$B$43)</f>
        <v>0</v>
      </c>
      <c r="M47" s="107">
        <f>SUMIFS('caseload data'!O:O,'caseload data'!$D:$D,"TPO",'caseload data'!$C:$C,'divisional &amp; regional caseload'!$B$43)</f>
        <v>0</v>
      </c>
      <c r="N47" s="107">
        <f>SUMIFS('caseload data'!P:P,'caseload data'!$D:$D,"TPO",'caseload data'!$C:$C,'divisional &amp; regional caseload'!$B$43)</f>
        <v>0</v>
      </c>
      <c r="O47" s="107">
        <f>SUMIFS('caseload data'!Q:Q,'caseload data'!$D:$D,"TPO",'caseload data'!$C:$C,'divisional &amp; regional caseload'!$B$43)</f>
        <v>0</v>
      </c>
      <c r="P47" s="107">
        <f>SUMIFS('caseload data'!R:R,'caseload data'!$D:$D,"TPO",'caseload data'!$C:$C,'divisional &amp; regional caseload'!$B$43)</f>
        <v>0</v>
      </c>
      <c r="Q47" s="107">
        <f>SUMIFS('caseload data'!S:S,'caseload data'!$D:$D,"TPO",'caseload data'!$C:$C,'divisional &amp; regional caseload'!$B$43)</f>
        <v>0</v>
      </c>
      <c r="R47" s="107">
        <f>SUMIFS('caseload data'!T:T,'caseload data'!$D:$D,"TPO",'caseload data'!$C:$C,'divisional &amp; regional caseload'!$B$43)</f>
        <v>0</v>
      </c>
      <c r="S47" s="104"/>
      <c r="T47" s="110" t="s">
        <v>1039</v>
      </c>
      <c r="U47" s="107">
        <f>SUMIFS('caseload data'!E:E,'caseload data'!$D:$D,"TPO",'caseload data'!$C:$C,'divisional &amp; regional caseload'!$T$43)</f>
        <v>0</v>
      </c>
      <c r="V47" s="107">
        <f>SUMIFS('caseload data'!F:F,'caseload data'!$D:$D,"TPO",'caseload data'!$C:$C,'divisional &amp; regional caseload'!$T$43)</f>
        <v>0</v>
      </c>
      <c r="W47" s="107">
        <f>SUMIFS('caseload data'!G:G,'caseload data'!$D:$D,"TPO",'caseload data'!$C:$C,'divisional &amp; regional caseload'!$T$43)</f>
        <v>0</v>
      </c>
      <c r="X47" s="107">
        <f>SUMIFS('caseload data'!H:H,'caseload data'!$D:$D,"TPO",'caseload data'!$C:$C,'divisional &amp; regional caseload'!$T$43)</f>
        <v>0</v>
      </c>
      <c r="Y47" s="107">
        <f>SUMIFS('caseload data'!I:I,'caseload data'!$D:$D,"TPO",'caseload data'!$C:$C,'divisional &amp; regional caseload'!$T$43)</f>
        <v>0</v>
      </c>
      <c r="Z47" s="107">
        <f>SUMIFS('caseload data'!J:J,'caseload data'!$D:$D,"TPO",'caseload data'!$C:$C,'divisional &amp; regional caseload'!$T$43)</f>
        <v>0</v>
      </c>
      <c r="AA47" s="107">
        <f>SUMIFS('caseload data'!K:K,'caseload data'!$D:$D,"TPO",'caseload data'!$C:$C,'divisional &amp; regional caseload'!$T$43)</f>
        <v>0</v>
      </c>
      <c r="AB47" s="107">
        <f>SUMIFS('caseload data'!L:L,'caseload data'!$D:$D,"TPO",'caseload data'!$C:$C,'divisional &amp; regional caseload'!$T$43)</f>
        <v>0</v>
      </c>
      <c r="AC47" s="107">
        <f>SUMIFS('caseload data'!M:M,'caseload data'!$D:$D,"TPO",'caseload data'!$C:$C,'divisional &amp; regional caseload'!$T$43)</f>
        <v>0</v>
      </c>
      <c r="AD47" s="107">
        <f>SUMIFS('caseload data'!N:N,'caseload data'!$D:$D,"TPO",'caseload data'!$C:$C,'divisional &amp; regional caseload'!$T$43)</f>
        <v>0</v>
      </c>
      <c r="AE47" s="107">
        <f>SUMIFS('caseload data'!O:O,'caseload data'!$D:$D,"TPO",'caseload data'!$C:$C,'divisional &amp; regional caseload'!$T$43)</f>
        <v>0</v>
      </c>
      <c r="AF47" s="107">
        <f>SUMIFS('caseload data'!P:P,'caseload data'!$D:$D,"TPO",'caseload data'!$C:$C,'divisional &amp; regional caseload'!$T$43)</f>
        <v>0</v>
      </c>
      <c r="AG47" s="107">
        <f>SUMIFS('caseload data'!Q:Q,'caseload data'!$D:$D,"TPO",'caseload data'!$C:$C,'divisional &amp; regional caseload'!$T$43)</f>
        <v>0</v>
      </c>
      <c r="AH47" s="107">
        <f>SUMIFS('caseload data'!R:R,'caseload data'!$D:$D,"TPO",'caseload data'!$C:$C,'divisional &amp; regional caseload'!$T$43)</f>
        <v>0</v>
      </c>
      <c r="AI47" s="107">
        <f>SUMIFS('caseload data'!S:S,'caseload data'!$D:$D,"TPO",'caseload data'!$C:$C,'divisional &amp; regional caseload'!$T$43)</f>
        <v>0</v>
      </c>
      <c r="AJ47" s="107">
        <f>SUMIFS('caseload data'!T:T,'caseload data'!$D:$D,"TPO",'caseload data'!$C:$C,'divisional &amp; regional caseload'!$T$43)</f>
        <v>0</v>
      </c>
    </row>
    <row r="48" spans="2:36" x14ac:dyDescent="0.15">
      <c r="B48" s="111" t="s">
        <v>1040</v>
      </c>
      <c r="C48" s="107">
        <f>SUMIFS('caseload data'!E:E,'caseload data'!$D:$D,"SPO",'caseload data'!$C:$C,'divisional &amp; regional caseload'!$B$43)</f>
        <v>0</v>
      </c>
      <c r="D48" s="107">
        <f>SUMIFS('caseload data'!F:F,'caseload data'!$D:$D,"SPO",'caseload data'!$C:$C,'divisional &amp; regional caseload'!$B$43)</f>
        <v>0</v>
      </c>
      <c r="E48" s="107">
        <f>SUMIFS('caseload data'!G:G,'caseload data'!$D:$D,"SPO",'caseload data'!$C:$C,'divisional &amp; regional caseload'!$B$43)</f>
        <v>0</v>
      </c>
      <c r="F48" s="107">
        <f>SUMIFS('caseload data'!H:H,'caseload data'!$D:$D,"SPO",'caseload data'!$C:$C,'divisional &amp; regional caseload'!$B$43)</f>
        <v>0</v>
      </c>
      <c r="G48" s="107">
        <f>SUMIFS('caseload data'!I:I,'caseload data'!$D:$D,"SPO",'caseload data'!$C:$C,'divisional &amp; regional caseload'!$B$43)</f>
        <v>0</v>
      </c>
      <c r="H48" s="107">
        <f>SUMIFS('caseload data'!J:J,'caseload data'!$D:$D,"SPO",'caseload data'!$C:$C,'divisional &amp; regional caseload'!$B$43)</f>
        <v>0</v>
      </c>
      <c r="I48" s="107">
        <f>SUMIFS('caseload data'!K:K,'caseload data'!$D:$D,"SPO",'caseload data'!$C:$C,'divisional &amp; regional caseload'!$B$43)</f>
        <v>0</v>
      </c>
      <c r="J48" s="107">
        <f>SUMIFS('caseload data'!L:L,'caseload data'!$D:$D,"SPO",'caseload data'!$C:$C,'divisional &amp; regional caseload'!$B$43)</f>
        <v>0</v>
      </c>
      <c r="K48" s="107">
        <f>SUMIFS('caseload data'!M:M,'caseload data'!$D:$D,"SPO",'caseload data'!$C:$C,'divisional &amp; regional caseload'!$B$43)</f>
        <v>0</v>
      </c>
      <c r="L48" s="107">
        <f>SUMIFS('caseload data'!N:N,'caseload data'!$D:$D,"SPO",'caseload data'!$C:$C,'divisional &amp; regional caseload'!$B$43)</f>
        <v>0</v>
      </c>
      <c r="M48" s="107">
        <f>SUMIFS('caseload data'!O:O,'caseload data'!$D:$D,"SPO",'caseload data'!$C:$C,'divisional &amp; regional caseload'!$B$43)</f>
        <v>0</v>
      </c>
      <c r="N48" s="107">
        <f>SUMIFS('caseload data'!P:P,'caseload data'!$D:$D,"SPO",'caseload data'!$C:$C,'divisional &amp; regional caseload'!$B$43)</f>
        <v>0</v>
      </c>
      <c r="O48" s="107">
        <f>SUMIFS('caseload data'!Q:Q,'caseload data'!$D:$D,"SPO",'caseload data'!$C:$C,'divisional &amp; regional caseload'!$B$43)</f>
        <v>0</v>
      </c>
      <c r="P48" s="107">
        <f>SUMIFS('caseload data'!R:R,'caseload data'!$D:$D,"SPO",'caseload data'!$C:$C,'divisional &amp; regional caseload'!$B$43)</f>
        <v>0</v>
      </c>
      <c r="Q48" s="107">
        <f>SUMIFS('caseload data'!S:S,'caseload data'!$D:$D,"SPO",'caseload data'!$C:$C,'divisional &amp; regional caseload'!$B$43)</f>
        <v>0</v>
      </c>
      <c r="R48" s="107">
        <f>SUMIFS('caseload data'!T:T,'caseload data'!$D:$D,"SPO",'caseload data'!$C:$C,'divisional &amp; regional caseload'!$B$43)</f>
        <v>0</v>
      </c>
      <c r="S48" s="104"/>
      <c r="T48" s="111" t="s">
        <v>1040</v>
      </c>
      <c r="U48" s="107">
        <f>SUMIFS('caseload data'!E:E,'caseload data'!$D:$D,"SPO",'caseload data'!$C:$C,'divisional &amp; regional caseload'!$T$43)</f>
        <v>0</v>
      </c>
      <c r="V48" s="107">
        <f>SUMIFS('caseload data'!F:F,'caseload data'!$D:$D,"SPO",'caseload data'!$C:$C,'divisional &amp; regional caseload'!$T$43)</f>
        <v>0</v>
      </c>
      <c r="W48" s="107">
        <f>SUMIFS('caseload data'!G:G,'caseload data'!$D:$D,"SPO",'caseload data'!$C:$C,'divisional &amp; regional caseload'!$T$43)</f>
        <v>0</v>
      </c>
      <c r="X48" s="107">
        <f>SUMIFS('caseload data'!H:H,'caseload data'!$D:$D,"SPO",'caseload data'!$C:$C,'divisional &amp; regional caseload'!$T$43)</f>
        <v>0</v>
      </c>
      <c r="Y48" s="107">
        <f>SUMIFS('caseload data'!I:I,'caseload data'!$D:$D,"SPO",'caseload data'!$C:$C,'divisional &amp; regional caseload'!$T$43)</f>
        <v>0</v>
      </c>
      <c r="Z48" s="107">
        <f>SUMIFS('caseload data'!J:J,'caseload data'!$D:$D,"SPO",'caseload data'!$C:$C,'divisional &amp; regional caseload'!$T$43)</f>
        <v>0</v>
      </c>
      <c r="AA48" s="107">
        <f>SUMIFS('caseload data'!K:K,'caseload data'!$D:$D,"SPO",'caseload data'!$C:$C,'divisional &amp; regional caseload'!$T$43)</f>
        <v>0</v>
      </c>
      <c r="AB48" s="107">
        <f>SUMIFS('caseload data'!L:L,'caseload data'!$D:$D,"SPO",'caseload data'!$C:$C,'divisional &amp; regional caseload'!$T$43)</f>
        <v>0</v>
      </c>
      <c r="AC48" s="107">
        <f>SUMIFS('caseload data'!M:M,'caseload data'!$D:$D,"SPO",'caseload data'!$C:$C,'divisional &amp; regional caseload'!$T$43)</f>
        <v>0</v>
      </c>
      <c r="AD48" s="107">
        <f>SUMIFS('caseload data'!N:N,'caseload data'!$D:$D,"SPO",'caseload data'!$C:$C,'divisional &amp; regional caseload'!$T$43)</f>
        <v>0</v>
      </c>
      <c r="AE48" s="107">
        <f>SUMIFS('caseload data'!O:O,'caseload data'!$D:$D,"SPO",'caseload data'!$C:$C,'divisional &amp; regional caseload'!$T$43)</f>
        <v>0</v>
      </c>
      <c r="AF48" s="107">
        <f>SUMIFS('caseload data'!P:P,'caseload data'!$D:$D,"SPO",'caseload data'!$C:$C,'divisional &amp; regional caseload'!$T$43)</f>
        <v>0</v>
      </c>
      <c r="AG48" s="107">
        <f>SUMIFS('caseload data'!Q:Q,'caseload data'!$D:$D,"SPO",'caseload data'!$C:$C,'divisional &amp; regional caseload'!$T$43)</f>
        <v>0</v>
      </c>
      <c r="AH48" s="107">
        <f>SUMIFS('caseload data'!R:R,'caseload data'!$D:$D,"SPO",'caseload data'!$C:$C,'divisional &amp; regional caseload'!$T$43)</f>
        <v>0</v>
      </c>
      <c r="AI48" s="107">
        <f>SUMIFS('caseload data'!S:S,'caseload data'!$D:$D,"SPO",'caseload data'!$C:$C,'divisional &amp; regional caseload'!$T$43)</f>
        <v>0</v>
      </c>
      <c r="AJ48" s="107">
        <f>SUMIFS('caseload data'!T:T,'caseload data'!$D:$D,"SPO",'caseload data'!$C:$C,'divisional &amp; regional caseload'!$T$43)</f>
        <v>0</v>
      </c>
    </row>
    <row r="49" spans="2:36" x14ac:dyDescent="0.15"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</row>
    <row r="50" spans="2:36" ht="30" customHeight="1" x14ac:dyDescent="0.15">
      <c r="B50" s="162" t="str">
        <f>HLOOKUP($B$5,Region_Table,14,0)</f>
        <v>Hammersmith, Fulham, Kensington, Chelsea and Westminster</v>
      </c>
      <c r="C50" s="333" t="s">
        <v>1257</v>
      </c>
      <c r="D50" s="334"/>
      <c r="E50" s="334"/>
      <c r="F50" s="334"/>
      <c r="G50" s="334"/>
      <c r="H50" s="334"/>
      <c r="I50" s="334"/>
      <c r="J50" s="334"/>
      <c r="K50" s="334"/>
      <c r="L50" s="334"/>
      <c r="M50" s="335"/>
      <c r="N50" s="335"/>
      <c r="O50" s="336"/>
      <c r="P50" s="337">
        <f>SUMIF('caseload data'!$C:$C,'divisional &amp; regional caseload'!B50,'caseload data'!V:V)</f>
        <v>0</v>
      </c>
      <c r="Q50" s="338"/>
      <c r="R50" s="339"/>
      <c r="S50" s="104"/>
      <c r="T50" s="162" t="str">
        <f>HLOOKUP($B$5,Region_Table,15,0)</f>
        <v>Harrow and Barnet</v>
      </c>
      <c r="U50" s="333" t="s">
        <v>1257</v>
      </c>
      <c r="V50" s="335"/>
      <c r="W50" s="335"/>
      <c r="X50" s="336"/>
      <c r="Y50" s="337">
        <f>SUMIF('caseload data'!$C:$C,'divisional &amp; regional caseload'!T50,'caseload data'!V:V)</f>
        <v>0</v>
      </c>
      <c r="Z50" s="338"/>
      <c r="AA50" s="339"/>
    </row>
    <row r="51" spans="2:36" x14ac:dyDescent="0.15">
      <c r="B51" s="108" t="s">
        <v>1199</v>
      </c>
      <c r="C51" s="42" t="s">
        <v>1019</v>
      </c>
      <c r="D51" s="42" t="s">
        <v>1020</v>
      </c>
      <c r="E51" s="42" t="s">
        <v>1021</v>
      </c>
      <c r="F51" s="42" t="s">
        <v>1022</v>
      </c>
      <c r="G51" s="42" t="s">
        <v>1023</v>
      </c>
      <c r="H51" s="42" t="s">
        <v>1024</v>
      </c>
      <c r="I51" s="42" t="s">
        <v>1025</v>
      </c>
      <c r="J51" s="42" t="s">
        <v>1026</v>
      </c>
      <c r="K51" s="42" t="s">
        <v>1027</v>
      </c>
      <c r="L51" s="42" t="s">
        <v>1028</v>
      </c>
      <c r="M51" s="42" t="s">
        <v>1029</v>
      </c>
      <c r="N51" s="42" t="s">
        <v>1030</v>
      </c>
      <c r="O51" s="42" t="s">
        <v>1031</v>
      </c>
      <c r="P51" s="42" t="s">
        <v>1032</v>
      </c>
      <c r="Q51" s="42" t="s">
        <v>1033</v>
      </c>
      <c r="R51" s="42" t="s">
        <v>1034</v>
      </c>
      <c r="S51" s="104"/>
      <c r="T51" s="108" t="s">
        <v>1199</v>
      </c>
      <c r="U51" s="42" t="s">
        <v>1019</v>
      </c>
      <c r="V51" s="42" t="s">
        <v>1020</v>
      </c>
      <c r="W51" s="42" t="s">
        <v>1021</v>
      </c>
      <c r="X51" s="42" t="s">
        <v>1022</v>
      </c>
      <c r="Y51" s="42" t="s">
        <v>1023</v>
      </c>
      <c r="Z51" s="42" t="s">
        <v>1024</v>
      </c>
      <c r="AA51" s="42" t="s">
        <v>1025</v>
      </c>
      <c r="AB51" s="42" t="s">
        <v>1026</v>
      </c>
      <c r="AC51" s="42" t="s">
        <v>1027</v>
      </c>
      <c r="AD51" s="42" t="s">
        <v>1028</v>
      </c>
      <c r="AE51" s="42" t="s">
        <v>1029</v>
      </c>
      <c r="AF51" s="42" t="s">
        <v>1030</v>
      </c>
      <c r="AG51" s="42" t="s">
        <v>1031</v>
      </c>
      <c r="AH51" s="42" t="s">
        <v>1032</v>
      </c>
      <c r="AI51" s="42" t="s">
        <v>1033</v>
      </c>
      <c r="AJ51" s="42" t="s">
        <v>1034</v>
      </c>
    </row>
    <row r="52" spans="2:36" x14ac:dyDescent="0.15">
      <c r="B52" s="109" t="s">
        <v>1037</v>
      </c>
      <c r="C52" s="107">
        <f>SUMIFS('caseload data'!E:E,'caseload data'!$D:$D,"PO",'caseload data'!$C:$C,'divisional &amp; regional caseload'!$B$50)</f>
        <v>0</v>
      </c>
      <c r="D52" s="107">
        <f>SUMIFS('caseload data'!F:F,'caseload data'!$D:$D,"PO",'caseload data'!$C:$C,'divisional &amp; regional caseload'!$B$50)</f>
        <v>0</v>
      </c>
      <c r="E52" s="107">
        <f>SUMIFS('caseload data'!G:G,'caseload data'!$D:$D,"PO",'caseload data'!$C:$C,'divisional &amp; regional caseload'!$B$50)</f>
        <v>0</v>
      </c>
      <c r="F52" s="107">
        <f>SUMIFS('caseload data'!H:H,'caseload data'!$D:$D,"PO",'caseload data'!$C:$C,'divisional &amp; regional caseload'!$B$50)</f>
        <v>0</v>
      </c>
      <c r="G52" s="107">
        <f>SUMIFS('caseload data'!I:I,'caseload data'!$D:$D,"PO",'caseload data'!$C:$C,'divisional &amp; regional caseload'!$B$50)</f>
        <v>0</v>
      </c>
      <c r="H52" s="107">
        <f>SUMIFS('caseload data'!J:J,'caseload data'!$D:$D,"PO",'caseload data'!$C:$C,'divisional &amp; regional caseload'!$B$50)</f>
        <v>0</v>
      </c>
      <c r="I52" s="107">
        <f>SUMIFS('caseload data'!K:K,'caseload data'!$D:$D,"PO",'caseload data'!$C:$C,'divisional &amp; regional caseload'!$B$50)</f>
        <v>0</v>
      </c>
      <c r="J52" s="107">
        <f>SUMIFS('caseload data'!L:L,'caseload data'!$D:$D,"PO",'caseload data'!$C:$C,'divisional &amp; regional caseload'!$B$50)</f>
        <v>0</v>
      </c>
      <c r="K52" s="107">
        <f>SUMIFS('caseload data'!M:M,'caseload data'!$D:$D,"PO",'caseload data'!$C:$C,'divisional &amp; regional caseload'!$B$50)</f>
        <v>0</v>
      </c>
      <c r="L52" s="107">
        <f>SUMIFS('caseload data'!N:N,'caseload data'!$D:$D,"PO",'caseload data'!$C:$C,'divisional &amp; regional caseload'!$B$50)</f>
        <v>0</v>
      </c>
      <c r="M52" s="107">
        <f>SUMIFS('caseload data'!O:O,'caseload data'!$D:$D,"PO",'caseload data'!$C:$C,'divisional &amp; regional caseload'!$B$50)</f>
        <v>0</v>
      </c>
      <c r="N52" s="107">
        <f>SUMIFS('caseload data'!P:P,'caseload data'!$D:$D,"PO",'caseload data'!$C:$C,'divisional &amp; regional caseload'!$B$50)</f>
        <v>0</v>
      </c>
      <c r="O52" s="107">
        <f>SUMIFS('caseload data'!Q:Q,'caseload data'!$D:$D,"PO",'caseload data'!$C:$C,'divisional &amp; regional caseload'!$B$50)</f>
        <v>0</v>
      </c>
      <c r="P52" s="107">
        <f>SUMIFS('caseload data'!R:R,'caseload data'!$D:$D,"PO",'caseload data'!$C:$C,'divisional &amp; regional caseload'!$B$50)</f>
        <v>0</v>
      </c>
      <c r="Q52" s="107">
        <f>SUMIFS('caseload data'!S:S,'caseload data'!$D:$D,"PO",'caseload data'!$C:$C,'divisional &amp; regional caseload'!$B$50)</f>
        <v>0</v>
      </c>
      <c r="R52" s="107">
        <f>SUMIFS('caseload data'!T:T,'caseload data'!$D:$D,"PO",'caseload data'!$C:$C,'divisional &amp; regional caseload'!$B$50)</f>
        <v>0</v>
      </c>
      <c r="S52" s="104"/>
      <c r="T52" s="109" t="s">
        <v>1037</v>
      </c>
      <c r="U52" s="107">
        <f>SUMIFS('caseload data'!E:E,'caseload data'!$D:$D,"PO",'caseload data'!$C:$C,'divisional &amp; regional caseload'!$T$50)</f>
        <v>0</v>
      </c>
      <c r="V52" s="107">
        <f>SUMIFS('caseload data'!F:F,'caseload data'!$D:$D,"PO",'caseload data'!$C:$C,'divisional &amp; regional caseload'!$T$50)</f>
        <v>0</v>
      </c>
      <c r="W52" s="107">
        <f>SUMIFS('caseload data'!G:G,'caseload data'!$D:$D,"PO",'caseload data'!$C:$C,'divisional &amp; regional caseload'!$T$50)</f>
        <v>0</v>
      </c>
      <c r="X52" s="107">
        <f>SUMIFS('caseload data'!H:H,'caseload data'!$D:$D,"PO",'caseload data'!$C:$C,'divisional &amp; regional caseload'!$T$50)</f>
        <v>0</v>
      </c>
      <c r="Y52" s="107">
        <f>SUMIFS('caseload data'!I:I,'caseload data'!$D:$D,"PO",'caseload data'!$C:$C,'divisional &amp; regional caseload'!$T$50)</f>
        <v>0</v>
      </c>
      <c r="Z52" s="107">
        <f>SUMIFS('caseload data'!J:J,'caseload data'!$D:$D,"PO",'caseload data'!$C:$C,'divisional &amp; regional caseload'!$T$50)</f>
        <v>0</v>
      </c>
      <c r="AA52" s="107">
        <f>SUMIFS('caseload data'!K:K,'caseload data'!$D:$D,"PO",'caseload data'!$C:$C,'divisional &amp; regional caseload'!$T$50)</f>
        <v>0</v>
      </c>
      <c r="AB52" s="107">
        <f>SUMIFS('caseload data'!L:L,'caseload data'!$D:$D,"PO",'caseload data'!$C:$C,'divisional &amp; regional caseload'!$T$50)</f>
        <v>0</v>
      </c>
      <c r="AC52" s="107">
        <f>SUMIFS('caseload data'!M:M,'caseload data'!$D:$D,"PO",'caseload data'!$C:$C,'divisional &amp; regional caseload'!$T$50)</f>
        <v>0</v>
      </c>
      <c r="AD52" s="107">
        <f>SUMIFS('caseload data'!N:N,'caseload data'!$D:$D,"PO",'caseload data'!$C:$C,'divisional &amp; regional caseload'!$T$50)</f>
        <v>0</v>
      </c>
      <c r="AE52" s="107">
        <f>SUMIFS('caseload data'!O:O,'caseload data'!$D:$D,"PO",'caseload data'!$C:$C,'divisional &amp; regional caseload'!$T$50)</f>
        <v>0</v>
      </c>
      <c r="AF52" s="107">
        <f>SUMIFS('caseload data'!P:P,'caseload data'!$D:$D,"PO",'caseload data'!$C:$C,'divisional &amp; regional caseload'!$T$50)</f>
        <v>0</v>
      </c>
      <c r="AG52" s="107">
        <f>SUMIFS('caseload data'!Q:Q,'caseload data'!$D:$D,"PO",'caseload data'!$C:$C,'divisional &amp; regional caseload'!$T$50)</f>
        <v>0</v>
      </c>
      <c r="AH52" s="107">
        <f>SUMIFS('caseload data'!R:R,'caseload data'!$D:$D,"PO",'caseload data'!$C:$C,'divisional &amp; regional caseload'!$T$50)</f>
        <v>0</v>
      </c>
      <c r="AI52" s="107">
        <f>SUMIFS('caseload data'!S:S,'caseload data'!$D:$D,"PO",'caseload data'!$C:$C,'divisional &amp; regional caseload'!$T$50)</f>
        <v>0</v>
      </c>
      <c r="AJ52" s="107">
        <f>SUMIFS('caseload data'!T:T,'caseload data'!$D:$D,"PO",'caseload data'!$C:$C,'divisional &amp; regional caseload'!$T$50)</f>
        <v>0</v>
      </c>
    </row>
    <row r="53" spans="2:36" x14ac:dyDescent="0.15">
      <c r="B53" s="110" t="s">
        <v>1038</v>
      </c>
      <c r="C53" s="107">
        <f>SUMIFS('caseload data'!E:E,'caseload data'!$D:$D,"PSO",'caseload data'!$C:$C,'divisional &amp; regional caseload'!$B$50)</f>
        <v>0</v>
      </c>
      <c r="D53" s="107">
        <f>SUMIFS('caseload data'!F:F,'caseload data'!$D:$D,"PSO",'caseload data'!$C:$C,'divisional &amp; regional caseload'!$B$50)</f>
        <v>0</v>
      </c>
      <c r="E53" s="107">
        <f>SUMIFS('caseload data'!G:G,'caseload data'!$D:$D,"PSO",'caseload data'!$C:$C,'divisional &amp; regional caseload'!$B$50)</f>
        <v>0</v>
      </c>
      <c r="F53" s="107">
        <f>SUMIFS('caseload data'!H:H,'caseload data'!$D:$D,"PSO",'caseload data'!$C:$C,'divisional &amp; regional caseload'!$B$50)</f>
        <v>0</v>
      </c>
      <c r="G53" s="107">
        <f>SUMIFS('caseload data'!I:I,'caseload data'!$D:$D,"PSO",'caseload data'!$C:$C,'divisional &amp; regional caseload'!$B$50)</f>
        <v>0</v>
      </c>
      <c r="H53" s="107">
        <f>SUMIFS('caseload data'!J:J,'caseload data'!$D:$D,"PSO",'caseload data'!$C:$C,'divisional &amp; regional caseload'!$B$50)</f>
        <v>0</v>
      </c>
      <c r="I53" s="107">
        <f>SUMIFS('caseload data'!K:K,'caseload data'!$D:$D,"PSO",'caseload data'!$C:$C,'divisional &amp; regional caseload'!$B$50)</f>
        <v>0</v>
      </c>
      <c r="J53" s="107">
        <f>SUMIFS('caseload data'!L:L,'caseload data'!$D:$D,"PSO",'caseload data'!$C:$C,'divisional &amp; regional caseload'!$B$50)</f>
        <v>0</v>
      </c>
      <c r="K53" s="107">
        <f>SUMIFS('caseload data'!M:M,'caseload data'!$D:$D,"PSO",'caseload data'!$C:$C,'divisional &amp; regional caseload'!$B$50)</f>
        <v>0</v>
      </c>
      <c r="L53" s="107">
        <f>SUMIFS('caseload data'!N:N,'caseload data'!$D:$D,"PSO",'caseload data'!$C:$C,'divisional &amp; regional caseload'!$B$50)</f>
        <v>0</v>
      </c>
      <c r="M53" s="107">
        <f>SUMIFS('caseload data'!O:O,'caseload data'!$D:$D,"PSO",'caseload data'!$C:$C,'divisional &amp; regional caseload'!$B$50)</f>
        <v>0</v>
      </c>
      <c r="N53" s="107">
        <f>SUMIFS('caseload data'!P:P,'caseload data'!$D:$D,"PSO",'caseload data'!$C:$C,'divisional &amp; regional caseload'!$B$50)</f>
        <v>0</v>
      </c>
      <c r="O53" s="107">
        <f>SUMIFS('caseload data'!Q:Q,'caseload data'!$D:$D,"PSO",'caseload data'!$C:$C,'divisional &amp; regional caseload'!$B$50)</f>
        <v>0</v>
      </c>
      <c r="P53" s="107">
        <f>SUMIFS('caseload data'!R:R,'caseload data'!$D:$D,"PSO",'caseload data'!$C:$C,'divisional &amp; regional caseload'!$B$50)</f>
        <v>0</v>
      </c>
      <c r="Q53" s="107">
        <f>SUMIFS('caseload data'!S:S,'caseload data'!$D:$D,"PSO",'caseload data'!$C:$C,'divisional &amp; regional caseload'!$B$50)</f>
        <v>0</v>
      </c>
      <c r="R53" s="107">
        <f>SUMIFS('caseload data'!T:T,'caseload data'!$D:$D,"PSO",'caseload data'!$C:$C,'divisional &amp; regional caseload'!$B$50)</f>
        <v>0</v>
      </c>
      <c r="S53" s="104"/>
      <c r="T53" s="110" t="s">
        <v>1038</v>
      </c>
      <c r="U53" s="107">
        <f>SUMIFS('caseload data'!E:E,'caseload data'!$D:$D,"PSO",'caseload data'!$C:$C,'divisional &amp; regional caseload'!$T$50)</f>
        <v>0</v>
      </c>
      <c r="V53" s="107">
        <f>SUMIFS('caseload data'!F:F,'caseload data'!$D:$D,"PSO",'caseload data'!$C:$C,'divisional &amp; regional caseload'!$T$50)</f>
        <v>0</v>
      </c>
      <c r="W53" s="107">
        <f>SUMIFS('caseload data'!G:G,'caseload data'!$D:$D,"PSO",'caseload data'!$C:$C,'divisional &amp; regional caseload'!$T$50)</f>
        <v>0</v>
      </c>
      <c r="X53" s="107">
        <f>SUMIFS('caseload data'!H:H,'caseload data'!$D:$D,"PSO",'caseload data'!$C:$C,'divisional &amp; regional caseload'!$T$50)</f>
        <v>0</v>
      </c>
      <c r="Y53" s="107">
        <f>SUMIFS('caseload data'!I:I,'caseload data'!$D:$D,"PSO",'caseload data'!$C:$C,'divisional &amp; regional caseload'!$T$50)</f>
        <v>0</v>
      </c>
      <c r="Z53" s="107">
        <f>SUMIFS('caseload data'!J:J,'caseload data'!$D:$D,"PSO",'caseload data'!$C:$C,'divisional &amp; regional caseload'!$T$50)</f>
        <v>0</v>
      </c>
      <c r="AA53" s="107">
        <f>SUMIFS('caseload data'!K:K,'caseload data'!$D:$D,"PSO",'caseload data'!$C:$C,'divisional &amp; regional caseload'!$T$50)</f>
        <v>0</v>
      </c>
      <c r="AB53" s="107">
        <f>SUMIFS('caseload data'!L:L,'caseload data'!$D:$D,"PSO",'caseload data'!$C:$C,'divisional &amp; regional caseload'!$T$50)</f>
        <v>0</v>
      </c>
      <c r="AC53" s="107">
        <f>SUMIFS('caseload data'!M:M,'caseload data'!$D:$D,"PSO",'caseload data'!$C:$C,'divisional &amp; regional caseload'!$T$50)</f>
        <v>0</v>
      </c>
      <c r="AD53" s="107">
        <f>SUMIFS('caseload data'!N:N,'caseload data'!$D:$D,"PSO",'caseload data'!$C:$C,'divisional &amp; regional caseload'!$T$50)</f>
        <v>0</v>
      </c>
      <c r="AE53" s="107">
        <f>SUMIFS('caseload data'!O:O,'caseload data'!$D:$D,"PSO",'caseload data'!$C:$C,'divisional &amp; regional caseload'!$T$50)</f>
        <v>0</v>
      </c>
      <c r="AF53" s="107">
        <f>SUMIFS('caseload data'!P:P,'caseload data'!$D:$D,"PSO",'caseload data'!$C:$C,'divisional &amp; regional caseload'!$T$50)</f>
        <v>0</v>
      </c>
      <c r="AG53" s="107">
        <f>SUMIFS('caseload data'!Q:Q,'caseload data'!$D:$D,"PSO",'caseload data'!$C:$C,'divisional &amp; regional caseload'!$T$50)</f>
        <v>0</v>
      </c>
      <c r="AH53" s="107">
        <f>SUMIFS('caseload data'!R:R,'caseload data'!$D:$D,"PSO",'caseload data'!$C:$C,'divisional &amp; regional caseload'!$T$50)</f>
        <v>0</v>
      </c>
      <c r="AI53" s="107">
        <f>SUMIFS('caseload data'!S:S,'caseload data'!$D:$D,"PSO",'caseload data'!$C:$C,'divisional &amp; regional caseload'!$T$50)</f>
        <v>0</v>
      </c>
      <c r="AJ53" s="107">
        <f>SUMIFS('caseload data'!T:T,'caseload data'!$D:$D,"PSO",'caseload data'!$C:$C,'divisional &amp; regional caseload'!$T$50)</f>
        <v>0</v>
      </c>
    </row>
    <row r="54" spans="2:36" x14ac:dyDescent="0.15">
      <c r="B54" s="110" t="s">
        <v>1039</v>
      </c>
      <c r="C54" s="107">
        <f>SUMIFS('caseload data'!E:E,'caseload data'!$D:$D,"TPO",'caseload data'!$C:$C,'divisional &amp; regional caseload'!$B$50)</f>
        <v>0</v>
      </c>
      <c r="D54" s="107">
        <f>SUMIFS('caseload data'!F:F,'caseload data'!$D:$D,"TPO",'caseload data'!$C:$C,'divisional &amp; regional caseload'!$B$50)</f>
        <v>0</v>
      </c>
      <c r="E54" s="107">
        <f>SUMIFS('caseload data'!G:G,'caseload data'!$D:$D,"TPO",'caseload data'!$C:$C,'divisional &amp; regional caseload'!$B$50)</f>
        <v>0</v>
      </c>
      <c r="F54" s="107">
        <f>SUMIFS('caseload data'!H:H,'caseload data'!$D:$D,"TPO",'caseload data'!$C:$C,'divisional &amp; regional caseload'!$B$50)</f>
        <v>0</v>
      </c>
      <c r="G54" s="107">
        <f>SUMIFS('caseload data'!I:I,'caseload data'!$D:$D,"TPO",'caseload data'!$C:$C,'divisional &amp; regional caseload'!$B$50)</f>
        <v>0</v>
      </c>
      <c r="H54" s="107">
        <f>SUMIFS('caseload data'!J:J,'caseload data'!$D:$D,"TPO",'caseload data'!$C:$C,'divisional &amp; regional caseload'!$B$50)</f>
        <v>0</v>
      </c>
      <c r="I54" s="107">
        <f>SUMIFS('caseload data'!K:K,'caseload data'!$D:$D,"TPO",'caseload data'!$C:$C,'divisional &amp; regional caseload'!$B$50)</f>
        <v>0</v>
      </c>
      <c r="J54" s="107">
        <f>SUMIFS('caseload data'!L:L,'caseload data'!$D:$D,"TPO",'caseload data'!$C:$C,'divisional &amp; regional caseload'!$B$50)</f>
        <v>0</v>
      </c>
      <c r="K54" s="107">
        <f>SUMIFS('caseload data'!M:M,'caseload data'!$D:$D,"TPO",'caseload data'!$C:$C,'divisional &amp; regional caseload'!$B$50)</f>
        <v>0</v>
      </c>
      <c r="L54" s="107">
        <f>SUMIFS('caseload data'!N:N,'caseload data'!$D:$D,"TPO",'caseload data'!$C:$C,'divisional &amp; regional caseload'!$B$50)</f>
        <v>0</v>
      </c>
      <c r="M54" s="107">
        <f>SUMIFS('caseload data'!O:O,'caseload data'!$D:$D,"TPO",'caseload data'!$C:$C,'divisional &amp; regional caseload'!$B$50)</f>
        <v>0</v>
      </c>
      <c r="N54" s="107">
        <f>SUMIFS('caseload data'!P:P,'caseload data'!$D:$D,"TPO",'caseload data'!$C:$C,'divisional &amp; regional caseload'!$B$50)</f>
        <v>0</v>
      </c>
      <c r="O54" s="107">
        <f>SUMIFS('caseload data'!Q:Q,'caseload data'!$D:$D,"TPO",'caseload data'!$C:$C,'divisional &amp; regional caseload'!$B$50)</f>
        <v>0</v>
      </c>
      <c r="P54" s="107">
        <f>SUMIFS('caseload data'!R:R,'caseload data'!$D:$D,"TPO",'caseload data'!$C:$C,'divisional &amp; regional caseload'!$B$50)</f>
        <v>0</v>
      </c>
      <c r="Q54" s="107">
        <f>SUMIFS('caseload data'!S:S,'caseload data'!$D:$D,"TPO",'caseload data'!$C:$C,'divisional &amp; regional caseload'!$B$50)</f>
        <v>0</v>
      </c>
      <c r="R54" s="107">
        <f>SUMIFS('caseload data'!T:T,'caseload data'!$D:$D,"TPO",'caseload data'!$C:$C,'divisional &amp; regional caseload'!$B$50)</f>
        <v>0</v>
      </c>
      <c r="S54" s="104"/>
      <c r="T54" s="110" t="s">
        <v>1039</v>
      </c>
      <c r="U54" s="107">
        <f>SUMIFS('caseload data'!E:E,'caseload data'!$D:$D,"TPO",'caseload data'!$C:$C,'divisional &amp; regional caseload'!$T$50)</f>
        <v>0</v>
      </c>
      <c r="V54" s="107">
        <f>SUMIFS('caseload data'!F:F,'caseload data'!$D:$D,"TPO",'caseload data'!$C:$C,'divisional &amp; regional caseload'!$T$50)</f>
        <v>0</v>
      </c>
      <c r="W54" s="107">
        <f>SUMIFS('caseload data'!G:G,'caseload data'!$D:$D,"TPO",'caseload data'!$C:$C,'divisional &amp; regional caseload'!$T$50)</f>
        <v>0</v>
      </c>
      <c r="X54" s="107">
        <f>SUMIFS('caseload data'!H:H,'caseload data'!$D:$D,"TPO",'caseload data'!$C:$C,'divisional &amp; regional caseload'!$T$50)</f>
        <v>0</v>
      </c>
      <c r="Y54" s="107">
        <f>SUMIFS('caseload data'!I:I,'caseload data'!$D:$D,"TPO",'caseload data'!$C:$C,'divisional &amp; regional caseload'!$T$50)</f>
        <v>0</v>
      </c>
      <c r="Z54" s="107">
        <f>SUMIFS('caseload data'!J:J,'caseload data'!$D:$D,"TPO",'caseload data'!$C:$C,'divisional &amp; regional caseload'!$T$50)</f>
        <v>0</v>
      </c>
      <c r="AA54" s="107">
        <f>SUMIFS('caseload data'!K:K,'caseload data'!$D:$D,"TPO",'caseload data'!$C:$C,'divisional &amp; regional caseload'!$T$50)</f>
        <v>0</v>
      </c>
      <c r="AB54" s="107">
        <f>SUMIFS('caseload data'!L:L,'caseload data'!$D:$D,"TPO",'caseload data'!$C:$C,'divisional &amp; regional caseload'!$T$50)</f>
        <v>0</v>
      </c>
      <c r="AC54" s="107">
        <f>SUMIFS('caseload data'!M:M,'caseload data'!$D:$D,"TPO",'caseload data'!$C:$C,'divisional &amp; regional caseload'!$T$50)</f>
        <v>0</v>
      </c>
      <c r="AD54" s="107">
        <f>SUMIFS('caseload data'!N:N,'caseload data'!$D:$D,"TPO",'caseload data'!$C:$C,'divisional &amp; regional caseload'!$T$50)</f>
        <v>0</v>
      </c>
      <c r="AE54" s="107">
        <f>SUMIFS('caseload data'!O:O,'caseload data'!$D:$D,"TPO",'caseload data'!$C:$C,'divisional &amp; regional caseload'!$T$50)</f>
        <v>0</v>
      </c>
      <c r="AF54" s="107">
        <f>SUMIFS('caseload data'!P:P,'caseload data'!$D:$D,"TPO",'caseload data'!$C:$C,'divisional &amp; regional caseload'!$T$50)</f>
        <v>0</v>
      </c>
      <c r="AG54" s="107">
        <f>SUMIFS('caseload data'!Q:Q,'caseload data'!$D:$D,"TPO",'caseload data'!$C:$C,'divisional &amp; regional caseload'!$T$50)</f>
        <v>0</v>
      </c>
      <c r="AH54" s="107">
        <f>SUMIFS('caseload data'!R:R,'caseload data'!$D:$D,"TPO",'caseload data'!$C:$C,'divisional &amp; regional caseload'!$T$50)</f>
        <v>0</v>
      </c>
      <c r="AI54" s="107">
        <f>SUMIFS('caseload data'!S:S,'caseload data'!$D:$D,"TPO",'caseload data'!$C:$C,'divisional &amp; regional caseload'!$T$50)</f>
        <v>0</v>
      </c>
      <c r="AJ54" s="107">
        <f>SUMIFS('caseload data'!T:T,'caseload data'!$D:$D,"TPO",'caseload data'!$C:$C,'divisional &amp; regional caseload'!$T$50)</f>
        <v>0</v>
      </c>
    </row>
    <row r="55" spans="2:36" x14ac:dyDescent="0.15">
      <c r="B55" s="111" t="s">
        <v>1040</v>
      </c>
      <c r="C55" s="107">
        <f>SUMIFS('caseload data'!E:E,'caseload data'!$D:$D,"SPO",'caseload data'!$C:$C,'divisional &amp; regional caseload'!$B$50)</f>
        <v>0</v>
      </c>
      <c r="D55" s="107">
        <f>SUMIFS('caseload data'!F:F,'caseload data'!$D:$D,"SPO",'caseload data'!$C:$C,'divisional &amp; regional caseload'!$B$50)</f>
        <v>0</v>
      </c>
      <c r="E55" s="107">
        <f>SUMIFS('caseload data'!G:G,'caseload data'!$D:$D,"SPO",'caseload data'!$C:$C,'divisional &amp; regional caseload'!$B$50)</f>
        <v>0</v>
      </c>
      <c r="F55" s="107">
        <f>SUMIFS('caseload data'!H:H,'caseload data'!$D:$D,"SPO",'caseload data'!$C:$C,'divisional &amp; regional caseload'!$B$50)</f>
        <v>0</v>
      </c>
      <c r="G55" s="107">
        <f>SUMIFS('caseload data'!I:I,'caseload data'!$D:$D,"SPO",'caseload data'!$C:$C,'divisional &amp; regional caseload'!$B$50)</f>
        <v>0</v>
      </c>
      <c r="H55" s="107">
        <f>SUMIFS('caseload data'!J:J,'caseload data'!$D:$D,"SPO",'caseload data'!$C:$C,'divisional &amp; regional caseload'!$B$50)</f>
        <v>0</v>
      </c>
      <c r="I55" s="107">
        <f>SUMIFS('caseload data'!K:K,'caseload data'!$D:$D,"SPO",'caseload data'!$C:$C,'divisional &amp; regional caseload'!$B$50)</f>
        <v>0</v>
      </c>
      <c r="J55" s="107">
        <f>SUMIFS('caseload data'!L:L,'caseload data'!$D:$D,"SPO",'caseload data'!$C:$C,'divisional &amp; regional caseload'!$B$50)</f>
        <v>0</v>
      </c>
      <c r="K55" s="107">
        <f>SUMIFS('caseload data'!M:M,'caseload data'!$D:$D,"SPO",'caseload data'!$C:$C,'divisional &amp; regional caseload'!$B$50)</f>
        <v>0</v>
      </c>
      <c r="L55" s="107">
        <f>SUMIFS('caseload data'!N:N,'caseload data'!$D:$D,"SPO",'caseload data'!$C:$C,'divisional &amp; regional caseload'!$B$50)</f>
        <v>0</v>
      </c>
      <c r="M55" s="107">
        <f>SUMIFS('caseload data'!O:O,'caseload data'!$D:$D,"SPO",'caseload data'!$C:$C,'divisional &amp; regional caseload'!$B$50)</f>
        <v>0</v>
      </c>
      <c r="N55" s="107">
        <f>SUMIFS('caseload data'!P:P,'caseload data'!$D:$D,"SPO",'caseload data'!$C:$C,'divisional &amp; regional caseload'!$B$50)</f>
        <v>0</v>
      </c>
      <c r="O55" s="107">
        <f>SUMIFS('caseload data'!Q:Q,'caseload data'!$D:$D,"SPO",'caseload data'!$C:$C,'divisional &amp; regional caseload'!$B$50)</f>
        <v>0</v>
      </c>
      <c r="P55" s="107">
        <f>SUMIFS('caseload data'!R:R,'caseload data'!$D:$D,"SPO",'caseload data'!$C:$C,'divisional &amp; regional caseload'!$B$50)</f>
        <v>0</v>
      </c>
      <c r="Q55" s="107">
        <f>SUMIFS('caseload data'!S:S,'caseload data'!$D:$D,"SPO",'caseload data'!$C:$C,'divisional &amp; regional caseload'!$B$50)</f>
        <v>0</v>
      </c>
      <c r="R55" s="107">
        <f>SUMIFS('caseload data'!T:T,'caseload data'!$D:$D,"SPO",'caseload data'!$C:$C,'divisional &amp; regional caseload'!$B$50)</f>
        <v>0</v>
      </c>
      <c r="S55" s="104"/>
      <c r="T55" s="111" t="s">
        <v>1040</v>
      </c>
      <c r="U55" s="107">
        <f>SUMIFS('caseload data'!E:E,'caseload data'!$D:$D,"SPO",'caseload data'!$C:$C,'divisional &amp; regional caseload'!$T$50)</f>
        <v>0</v>
      </c>
      <c r="V55" s="107">
        <f>SUMIFS('caseload data'!F:F,'caseload data'!$D:$D,"SPO",'caseload data'!$C:$C,'divisional &amp; regional caseload'!$T$50)</f>
        <v>0</v>
      </c>
      <c r="W55" s="107">
        <f>SUMIFS('caseload data'!G:G,'caseload data'!$D:$D,"SPO",'caseload data'!$C:$C,'divisional &amp; regional caseload'!$T$50)</f>
        <v>0</v>
      </c>
      <c r="X55" s="107">
        <f>SUMIFS('caseload data'!H:H,'caseload data'!$D:$D,"SPO",'caseload data'!$C:$C,'divisional &amp; regional caseload'!$T$50)</f>
        <v>0</v>
      </c>
      <c r="Y55" s="107">
        <f>SUMIFS('caseload data'!I:I,'caseload data'!$D:$D,"SPO",'caseload data'!$C:$C,'divisional &amp; regional caseload'!$T$50)</f>
        <v>0</v>
      </c>
      <c r="Z55" s="107">
        <f>SUMIFS('caseload data'!J:J,'caseload data'!$D:$D,"SPO",'caseload data'!$C:$C,'divisional &amp; regional caseload'!$T$50)</f>
        <v>0</v>
      </c>
      <c r="AA55" s="107">
        <f>SUMIFS('caseload data'!K:K,'caseload data'!$D:$D,"SPO",'caseload data'!$C:$C,'divisional &amp; regional caseload'!$T$50)</f>
        <v>0</v>
      </c>
      <c r="AB55" s="107">
        <f>SUMIFS('caseload data'!L:L,'caseload data'!$D:$D,"SPO",'caseload data'!$C:$C,'divisional &amp; regional caseload'!$T$50)</f>
        <v>0</v>
      </c>
      <c r="AC55" s="107">
        <f>SUMIFS('caseload data'!M:M,'caseload data'!$D:$D,"SPO",'caseload data'!$C:$C,'divisional &amp; regional caseload'!$T$50)</f>
        <v>0</v>
      </c>
      <c r="AD55" s="107">
        <f>SUMIFS('caseload data'!N:N,'caseload data'!$D:$D,"SPO",'caseload data'!$C:$C,'divisional &amp; regional caseload'!$T$50)</f>
        <v>0</v>
      </c>
      <c r="AE55" s="107">
        <f>SUMIFS('caseload data'!O:O,'caseload data'!$D:$D,"SPO",'caseload data'!$C:$C,'divisional &amp; regional caseload'!$T$50)</f>
        <v>0</v>
      </c>
      <c r="AF55" s="107">
        <f>SUMIFS('caseload data'!P:P,'caseload data'!$D:$D,"SPO",'caseload data'!$C:$C,'divisional &amp; regional caseload'!$T$50)</f>
        <v>0</v>
      </c>
      <c r="AG55" s="107">
        <f>SUMIFS('caseload data'!Q:Q,'caseload data'!$D:$D,"SPO",'caseload data'!$C:$C,'divisional &amp; regional caseload'!$T$50)</f>
        <v>0</v>
      </c>
      <c r="AH55" s="107">
        <f>SUMIFS('caseload data'!R:R,'caseload data'!$D:$D,"SPO",'caseload data'!$C:$C,'divisional &amp; regional caseload'!$T$50)</f>
        <v>0</v>
      </c>
      <c r="AI55" s="107">
        <f>SUMIFS('caseload data'!S:S,'caseload data'!$D:$D,"SPO",'caseload data'!$C:$C,'divisional &amp; regional caseload'!$T$50)</f>
        <v>0</v>
      </c>
      <c r="AJ55" s="107">
        <f>SUMIFS('caseload data'!T:T,'caseload data'!$D:$D,"SPO",'caseload data'!$C:$C,'divisional &amp; regional caseload'!$T$50)</f>
        <v>0</v>
      </c>
    </row>
    <row r="56" spans="2:36" x14ac:dyDescent="0.15"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</row>
    <row r="57" spans="2:36" ht="28.5" customHeight="1" x14ac:dyDescent="0.15">
      <c r="B57" s="162" t="str">
        <f>HLOOKUP($B$5,Region_Table,16,0)</f>
        <v>Headquarters - N07</v>
      </c>
      <c r="C57" s="333" t="s">
        <v>1257</v>
      </c>
      <c r="D57" s="334"/>
      <c r="E57" s="334"/>
      <c r="F57" s="334"/>
      <c r="G57" s="334"/>
      <c r="H57" s="334"/>
      <c r="I57" s="334"/>
      <c r="J57" s="334"/>
      <c r="K57" s="334"/>
      <c r="L57" s="334"/>
      <c r="M57" s="335"/>
      <c r="N57" s="335"/>
      <c r="O57" s="336"/>
      <c r="P57" s="337">
        <f>SUMIF('caseload data'!$C:$C,'divisional &amp; regional caseload'!B57,'caseload data'!V:V)</f>
        <v>0</v>
      </c>
      <c r="Q57" s="338"/>
      <c r="R57" s="339"/>
      <c r="S57" s="104"/>
      <c r="T57" s="162" t="str">
        <f>HLOOKUP($B$5,Region_Table,17,0)</f>
        <v>Inactive Level 2(N07)</v>
      </c>
      <c r="U57" s="333" t="s">
        <v>1257</v>
      </c>
      <c r="V57" s="335"/>
      <c r="W57" s="335"/>
      <c r="X57" s="336"/>
      <c r="Y57" s="337">
        <f>SUMIF('caseload data'!$C:$C,'divisional &amp; regional caseload'!T57,'caseload data'!V:V)</f>
        <v>0</v>
      </c>
      <c r="Z57" s="338"/>
      <c r="AA57" s="339"/>
    </row>
    <row r="58" spans="2:36" x14ac:dyDescent="0.15">
      <c r="B58" s="108" t="s">
        <v>1199</v>
      </c>
      <c r="C58" s="42" t="s">
        <v>1019</v>
      </c>
      <c r="D58" s="42" t="s">
        <v>1020</v>
      </c>
      <c r="E58" s="42" t="s">
        <v>1021</v>
      </c>
      <c r="F58" s="42" t="s">
        <v>1022</v>
      </c>
      <c r="G58" s="42" t="s">
        <v>1023</v>
      </c>
      <c r="H58" s="42" t="s">
        <v>1024</v>
      </c>
      <c r="I58" s="42" t="s">
        <v>1025</v>
      </c>
      <c r="J58" s="42" t="s">
        <v>1026</v>
      </c>
      <c r="K58" s="42" t="s">
        <v>1027</v>
      </c>
      <c r="L58" s="42" t="s">
        <v>1028</v>
      </c>
      <c r="M58" s="42" t="s">
        <v>1029</v>
      </c>
      <c r="N58" s="42" t="s">
        <v>1030</v>
      </c>
      <c r="O58" s="42" t="s">
        <v>1031</v>
      </c>
      <c r="P58" s="42" t="s">
        <v>1032</v>
      </c>
      <c r="Q58" s="42" t="s">
        <v>1033</v>
      </c>
      <c r="R58" s="42" t="s">
        <v>1034</v>
      </c>
      <c r="S58" s="104"/>
      <c r="T58" s="108" t="s">
        <v>1199</v>
      </c>
      <c r="U58" s="42" t="s">
        <v>1019</v>
      </c>
      <c r="V58" s="42" t="s">
        <v>1020</v>
      </c>
      <c r="W58" s="42" t="s">
        <v>1021</v>
      </c>
      <c r="X58" s="42" t="s">
        <v>1022</v>
      </c>
      <c r="Y58" s="42" t="s">
        <v>1023</v>
      </c>
      <c r="Z58" s="42" t="s">
        <v>1024</v>
      </c>
      <c r="AA58" s="42" t="s">
        <v>1025</v>
      </c>
      <c r="AB58" s="42" t="s">
        <v>1026</v>
      </c>
      <c r="AC58" s="42" t="s">
        <v>1027</v>
      </c>
      <c r="AD58" s="42" t="s">
        <v>1028</v>
      </c>
      <c r="AE58" s="42" t="s">
        <v>1029</v>
      </c>
      <c r="AF58" s="42" t="s">
        <v>1030</v>
      </c>
      <c r="AG58" s="42" t="s">
        <v>1031</v>
      </c>
      <c r="AH58" s="42" t="s">
        <v>1032</v>
      </c>
      <c r="AI58" s="42" t="s">
        <v>1033</v>
      </c>
      <c r="AJ58" s="42" t="s">
        <v>1034</v>
      </c>
    </row>
    <row r="59" spans="2:36" x14ac:dyDescent="0.15">
      <c r="B59" s="109" t="s">
        <v>1037</v>
      </c>
      <c r="C59" s="107">
        <f>SUMIFS('caseload data'!E:E,'caseload data'!$D:$D,"PO",'caseload data'!$C:$C,'divisional &amp; regional caseload'!$B$57)</f>
        <v>0</v>
      </c>
      <c r="D59" s="107">
        <f>SUMIFS('caseload data'!F:F,'caseload data'!$D:$D,"PO",'caseload data'!$C:$C,'divisional &amp; regional caseload'!$B$57)</f>
        <v>0</v>
      </c>
      <c r="E59" s="107">
        <f>SUMIFS('caseload data'!G:G,'caseload data'!$D:$D,"PO",'caseload data'!$C:$C,'divisional &amp; regional caseload'!$B$57)</f>
        <v>0</v>
      </c>
      <c r="F59" s="107">
        <f>SUMIFS('caseload data'!H:H,'caseload data'!$D:$D,"PO",'caseload data'!$C:$C,'divisional &amp; regional caseload'!$B$57)</f>
        <v>0</v>
      </c>
      <c r="G59" s="107">
        <f>SUMIFS('caseload data'!I:I,'caseload data'!$D:$D,"PO",'caseload data'!$C:$C,'divisional &amp; regional caseload'!$B$57)</f>
        <v>0</v>
      </c>
      <c r="H59" s="107">
        <f>SUMIFS('caseload data'!J:J,'caseload data'!$D:$D,"PO",'caseload data'!$C:$C,'divisional &amp; regional caseload'!$B$57)</f>
        <v>0</v>
      </c>
      <c r="I59" s="107">
        <f>SUMIFS('caseload data'!K:K,'caseload data'!$D:$D,"PO",'caseload data'!$C:$C,'divisional &amp; regional caseload'!$B$57)</f>
        <v>0</v>
      </c>
      <c r="J59" s="107">
        <f>SUMIFS('caseload data'!L:L,'caseload data'!$D:$D,"PO",'caseload data'!$C:$C,'divisional &amp; regional caseload'!$B$57)</f>
        <v>0</v>
      </c>
      <c r="K59" s="107">
        <f>SUMIFS('caseload data'!M:M,'caseload data'!$D:$D,"PO",'caseload data'!$C:$C,'divisional &amp; regional caseload'!$B$57)</f>
        <v>0</v>
      </c>
      <c r="L59" s="107">
        <f>SUMIFS('caseload data'!N:N,'caseload data'!$D:$D,"PO",'caseload data'!$C:$C,'divisional &amp; regional caseload'!$B$57)</f>
        <v>0</v>
      </c>
      <c r="M59" s="107">
        <f>SUMIFS('caseload data'!O:O,'caseload data'!$D:$D,"PO",'caseload data'!$C:$C,'divisional &amp; regional caseload'!$B$57)</f>
        <v>0</v>
      </c>
      <c r="N59" s="107">
        <f>SUMIFS('caseload data'!P:P,'caseload data'!$D:$D,"PO",'caseload data'!$C:$C,'divisional &amp; regional caseload'!$B$57)</f>
        <v>0</v>
      </c>
      <c r="O59" s="107">
        <f>SUMIFS('caseload data'!Q:Q,'caseload data'!$D:$D,"PO",'caseload data'!$C:$C,'divisional &amp; regional caseload'!$B$57)</f>
        <v>0</v>
      </c>
      <c r="P59" s="107">
        <f>SUMIFS('caseload data'!R:R,'caseload data'!$D:$D,"PO",'caseload data'!$C:$C,'divisional &amp; regional caseload'!$B$57)</f>
        <v>0</v>
      </c>
      <c r="Q59" s="107">
        <f>SUMIFS('caseload data'!S:S,'caseload data'!$D:$D,"PO",'caseload data'!$C:$C,'divisional &amp; regional caseload'!$B$57)</f>
        <v>0</v>
      </c>
      <c r="R59" s="107">
        <f>SUMIFS('caseload data'!T:T,'caseload data'!$D:$D,"PO",'caseload data'!$C:$C,'divisional &amp; regional caseload'!$B$57)</f>
        <v>0</v>
      </c>
      <c r="S59" s="104"/>
      <c r="T59" s="109" t="s">
        <v>1037</v>
      </c>
      <c r="U59" s="107">
        <f>SUMIFS('caseload data'!E:E,'caseload data'!$D:$D,"PO",'caseload data'!$C:$C,'divisional &amp; regional caseload'!$T$57)</f>
        <v>0</v>
      </c>
      <c r="V59" s="107">
        <f>SUMIFS('caseload data'!F:F,'caseload data'!$D:$D,"PO",'caseload data'!$C:$C,'divisional &amp; regional caseload'!$T$57)</f>
        <v>0</v>
      </c>
      <c r="W59" s="107">
        <f>SUMIFS('caseload data'!G:G,'caseload data'!$D:$D,"PO",'caseload data'!$C:$C,'divisional &amp; regional caseload'!$T$57)</f>
        <v>0</v>
      </c>
      <c r="X59" s="107">
        <f>SUMIFS('caseload data'!H:H,'caseload data'!$D:$D,"PO",'caseload data'!$C:$C,'divisional &amp; regional caseload'!$T$57)</f>
        <v>0</v>
      </c>
      <c r="Y59" s="107">
        <f>SUMIFS('caseload data'!I:I,'caseload data'!$D:$D,"PO",'caseload data'!$C:$C,'divisional &amp; regional caseload'!$T$57)</f>
        <v>0</v>
      </c>
      <c r="Z59" s="107">
        <f>SUMIFS('caseload data'!J:J,'caseload data'!$D:$D,"PO",'caseload data'!$C:$C,'divisional &amp; regional caseload'!$T$57)</f>
        <v>0</v>
      </c>
      <c r="AA59" s="107">
        <f>SUMIFS('caseload data'!K:K,'caseload data'!$D:$D,"PO",'caseload data'!$C:$C,'divisional &amp; regional caseload'!$T$57)</f>
        <v>0</v>
      </c>
      <c r="AB59" s="107">
        <f>SUMIFS('caseload data'!L:L,'caseload data'!$D:$D,"PO",'caseload data'!$C:$C,'divisional &amp; regional caseload'!$T$57)</f>
        <v>0</v>
      </c>
      <c r="AC59" s="107">
        <f>SUMIFS('caseload data'!M:M,'caseload data'!$D:$D,"PO",'caseload data'!$C:$C,'divisional &amp; regional caseload'!$T$57)</f>
        <v>0</v>
      </c>
      <c r="AD59" s="107">
        <f>SUMIFS('caseload data'!N:N,'caseload data'!$D:$D,"PO",'caseload data'!$C:$C,'divisional &amp; regional caseload'!$T$57)</f>
        <v>0</v>
      </c>
      <c r="AE59" s="107">
        <f>SUMIFS('caseload data'!O:O,'caseload data'!$D:$D,"PO",'caseload data'!$C:$C,'divisional &amp; regional caseload'!$T$57)</f>
        <v>0</v>
      </c>
      <c r="AF59" s="107">
        <f>SUMIFS('caseload data'!P:P,'caseload data'!$D:$D,"PO",'caseload data'!$C:$C,'divisional &amp; regional caseload'!$T$57)</f>
        <v>0</v>
      </c>
      <c r="AG59" s="107">
        <f>SUMIFS('caseload data'!Q:Q,'caseload data'!$D:$D,"PO",'caseload data'!$C:$C,'divisional &amp; regional caseload'!$T$57)</f>
        <v>0</v>
      </c>
      <c r="AH59" s="107">
        <f>SUMIFS('caseload data'!R:R,'caseload data'!$D:$D,"PO",'caseload data'!$C:$C,'divisional &amp; regional caseload'!$T$57)</f>
        <v>0</v>
      </c>
      <c r="AI59" s="107">
        <f>SUMIFS('caseload data'!S:S,'caseload data'!$D:$D,"PO",'caseload data'!$C:$C,'divisional &amp; regional caseload'!$T$57)</f>
        <v>0</v>
      </c>
      <c r="AJ59" s="107">
        <f>SUMIFS('caseload data'!T:T,'caseload data'!$D:$D,"PO",'caseload data'!$C:$C,'divisional &amp; regional caseload'!$T$57)</f>
        <v>0</v>
      </c>
    </row>
    <row r="60" spans="2:36" x14ac:dyDescent="0.15">
      <c r="B60" s="110" t="s">
        <v>1038</v>
      </c>
      <c r="C60" s="107">
        <f>SUMIFS('caseload data'!E:E,'caseload data'!$D:$D,"PSO",'caseload data'!$C:$C,'divisional &amp; regional caseload'!$B$57)</f>
        <v>0</v>
      </c>
      <c r="D60" s="107">
        <f>SUMIFS('caseload data'!F:F,'caseload data'!$D:$D,"PSO",'caseload data'!$C:$C,'divisional &amp; regional caseload'!$B$57)</f>
        <v>0</v>
      </c>
      <c r="E60" s="107">
        <f>SUMIFS('caseload data'!G:G,'caseload data'!$D:$D,"PSO",'caseload data'!$C:$C,'divisional &amp; regional caseload'!$B$57)</f>
        <v>0</v>
      </c>
      <c r="F60" s="107">
        <f>SUMIFS('caseload data'!H:H,'caseload data'!$D:$D,"PSO",'caseload data'!$C:$C,'divisional &amp; regional caseload'!$B$57)</f>
        <v>0</v>
      </c>
      <c r="G60" s="107">
        <f>SUMIFS('caseload data'!I:I,'caseload data'!$D:$D,"PSO",'caseload data'!$C:$C,'divisional &amp; regional caseload'!$B$57)</f>
        <v>0</v>
      </c>
      <c r="H60" s="107">
        <f>SUMIFS('caseload data'!J:J,'caseload data'!$D:$D,"PSO",'caseload data'!$C:$C,'divisional &amp; regional caseload'!$B$57)</f>
        <v>0</v>
      </c>
      <c r="I60" s="107">
        <f>SUMIFS('caseload data'!K:K,'caseload data'!$D:$D,"PSO",'caseload data'!$C:$C,'divisional &amp; regional caseload'!$B$57)</f>
        <v>0</v>
      </c>
      <c r="J60" s="107">
        <f>SUMIFS('caseload data'!L:L,'caseload data'!$D:$D,"PSO",'caseload data'!$C:$C,'divisional &amp; regional caseload'!$B$57)</f>
        <v>0</v>
      </c>
      <c r="K60" s="107">
        <f>SUMIFS('caseload data'!M:M,'caseload data'!$D:$D,"PSO",'caseload data'!$C:$C,'divisional &amp; regional caseload'!$B$57)</f>
        <v>0</v>
      </c>
      <c r="L60" s="107">
        <f>SUMIFS('caseload data'!N:N,'caseload data'!$D:$D,"PSO",'caseload data'!$C:$C,'divisional &amp; regional caseload'!$B$57)</f>
        <v>0</v>
      </c>
      <c r="M60" s="107">
        <f>SUMIFS('caseload data'!O:O,'caseload data'!$D:$D,"PSO",'caseload data'!$C:$C,'divisional &amp; regional caseload'!$B$57)</f>
        <v>0</v>
      </c>
      <c r="N60" s="107">
        <f>SUMIFS('caseload data'!P:P,'caseload data'!$D:$D,"PSO",'caseload data'!$C:$C,'divisional &amp; regional caseload'!$B$57)</f>
        <v>0</v>
      </c>
      <c r="O60" s="107">
        <f>SUMIFS('caseload data'!Q:Q,'caseload data'!$D:$D,"PSO",'caseload data'!$C:$C,'divisional &amp; regional caseload'!$B$57)</f>
        <v>0</v>
      </c>
      <c r="P60" s="107">
        <f>SUMIFS('caseload data'!R:R,'caseload data'!$D:$D,"PSO",'caseload data'!$C:$C,'divisional &amp; regional caseload'!$B$57)</f>
        <v>0</v>
      </c>
      <c r="Q60" s="107">
        <f>SUMIFS('caseload data'!S:S,'caseload data'!$D:$D,"PSO",'caseload data'!$C:$C,'divisional &amp; regional caseload'!$B$57)</f>
        <v>0</v>
      </c>
      <c r="R60" s="107">
        <f>SUMIFS('caseload data'!T:T,'caseload data'!$D:$D,"PSO",'caseload data'!$C:$C,'divisional &amp; regional caseload'!$B$57)</f>
        <v>0</v>
      </c>
      <c r="S60" s="104"/>
      <c r="T60" s="110" t="s">
        <v>1038</v>
      </c>
      <c r="U60" s="107">
        <f>SUMIFS('caseload data'!E:E,'caseload data'!$D:$D,"PSO",'caseload data'!$C:$C,'divisional &amp; regional caseload'!$T$57)</f>
        <v>0</v>
      </c>
      <c r="V60" s="107">
        <f>SUMIFS('caseload data'!F:F,'caseload data'!$D:$D,"PSO",'caseload data'!$C:$C,'divisional &amp; regional caseload'!$T$57)</f>
        <v>0</v>
      </c>
      <c r="W60" s="107">
        <f>SUMIFS('caseload data'!G:G,'caseload data'!$D:$D,"PSO",'caseload data'!$C:$C,'divisional &amp; regional caseload'!$T$57)</f>
        <v>0</v>
      </c>
      <c r="X60" s="107">
        <f>SUMIFS('caseload data'!H:H,'caseload data'!$D:$D,"PSO",'caseload data'!$C:$C,'divisional &amp; regional caseload'!$T$57)</f>
        <v>0</v>
      </c>
      <c r="Y60" s="107">
        <f>SUMIFS('caseload data'!I:I,'caseload data'!$D:$D,"PSO",'caseload data'!$C:$C,'divisional &amp; regional caseload'!$T$57)</f>
        <v>0</v>
      </c>
      <c r="Z60" s="107">
        <f>SUMIFS('caseload data'!J:J,'caseload data'!$D:$D,"PSO",'caseload data'!$C:$C,'divisional &amp; regional caseload'!$T$57)</f>
        <v>0</v>
      </c>
      <c r="AA60" s="107">
        <f>SUMIFS('caseload data'!K:K,'caseload data'!$D:$D,"PSO",'caseload data'!$C:$C,'divisional &amp; regional caseload'!$T$57)</f>
        <v>0</v>
      </c>
      <c r="AB60" s="107">
        <f>SUMIFS('caseload data'!L:L,'caseload data'!$D:$D,"PSO",'caseload data'!$C:$C,'divisional &amp; regional caseload'!$T$57)</f>
        <v>0</v>
      </c>
      <c r="AC60" s="107">
        <f>SUMIFS('caseload data'!M:M,'caseload data'!$D:$D,"PSO",'caseload data'!$C:$C,'divisional &amp; regional caseload'!$T$57)</f>
        <v>0</v>
      </c>
      <c r="AD60" s="107">
        <f>SUMIFS('caseload data'!N:N,'caseload data'!$D:$D,"PSO",'caseload data'!$C:$C,'divisional &amp; regional caseload'!$T$57)</f>
        <v>0</v>
      </c>
      <c r="AE60" s="107">
        <f>SUMIFS('caseload data'!O:O,'caseload data'!$D:$D,"PSO",'caseload data'!$C:$C,'divisional &amp; regional caseload'!$T$57)</f>
        <v>0</v>
      </c>
      <c r="AF60" s="107">
        <f>SUMIFS('caseload data'!P:P,'caseload data'!$D:$D,"PSO",'caseload data'!$C:$C,'divisional &amp; regional caseload'!$T$57)</f>
        <v>0</v>
      </c>
      <c r="AG60" s="107">
        <f>SUMIFS('caseload data'!Q:Q,'caseload data'!$D:$D,"PSO",'caseload data'!$C:$C,'divisional &amp; regional caseload'!$T$57)</f>
        <v>0</v>
      </c>
      <c r="AH60" s="107">
        <f>SUMIFS('caseload data'!R:R,'caseload data'!$D:$D,"PSO",'caseload data'!$C:$C,'divisional &amp; regional caseload'!$T$57)</f>
        <v>0</v>
      </c>
      <c r="AI60" s="107">
        <f>SUMIFS('caseload data'!S:S,'caseload data'!$D:$D,"PSO",'caseload data'!$C:$C,'divisional &amp; regional caseload'!$T$57)</f>
        <v>0</v>
      </c>
      <c r="AJ60" s="107">
        <f>SUMIFS('caseload data'!T:T,'caseload data'!$D:$D,"PSO",'caseload data'!$C:$C,'divisional &amp; regional caseload'!$T$57)</f>
        <v>0</v>
      </c>
    </row>
    <row r="61" spans="2:36" x14ac:dyDescent="0.15">
      <c r="B61" s="110" t="s">
        <v>1039</v>
      </c>
      <c r="C61" s="107">
        <f>SUMIFS('caseload data'!E:E,'caseload data'!$D:$D,"TPO",'caseload data'!$C:$C,'divisional &amp; regional caseload'!$B$57)</f>
        <v>0</v>
      </c>
      <c r="D61" s="107">
        <f>SUMIFS('caseload data'!F:F,'caseload data'!$D:$D,"TPO",'caseload data'!$C:$C,'divisional &amp; regional caseload'!$B$57)</f>
        <v>0</v>
      </c>
      <c r="E61" s="107">
        <f>SUMIFS('caseload data'!G:G,'caseload data'!$D:$D,"TPO",'caseload data'!$C:$C,'divisional &amp; regional caseload'!$B$57)</f>
        <v>0</v>
      </c>
      <c r="F61" s="107">
        <f>SUMIFS('caseload data'!H:H,'caseload data'!$D:$D,"TPO",'caseload data'!$C:$C,'divisional &amp; regional caseload'!$B$57)</f>
        <v>0</v>
      </c>
      <c r="G61" s="107">
        <f>SUMIFS('caseload data'!I:I,'caseload data'!$D:$D,"TPO",'caseload data'!$C:$C,'divisional &amp; regional caseload'!$B$57)</f>
        <v>0</v>
      </c>
      <c r="H61" s="107">
        <f>SUMIFS('caseload data'!J:J,'caseload data'!$D:$D,"TPO",'caseload data'!$C:$C,'divisional &amp; regional caseload'!$B$57)</f>
        <v>0</v>
      </c>
      <c r="I61" s="107">
        <f>SUMIFS('caseload data'!K:K,'caseload data'!$D:$D,"TPO",'caseload data'!$C:$C,'divisional &amp; regional caseload'!$B$57)</f>
        <v>0</v>
      </c>
      <c r="J61" s="107">
        <f>SUMIFS('caseload data'!L:L,'caseload data'!$D:$D,"TPO",'caseload data'!$C:$C,'divisional &amp; regional caseload'!$B$57)</f>
        <v>0</v>
      </c>
      <c r="K61" s="107">
        <f>SUMIFS('caseload data'!M:M,'caseload data'!$D:$D,"TPO",'caseload data'!$C:$C,'divisional &amp; regional caseload'!$B$57)</f>
        <v>0</v>
      </c>
      <c r="L61" s="107">
        <f>SUMIFS('caseload data'!N:N,'caseload data'!$D:$D,"TPO",'caseload data'!$C:$C,'divisional &amp; regional caseload'!$B$57)</f>
        <v>0</v>
      </c>
      <c r="M61" s="107">
        <f>SUMIFS('caseload data'!O:O,'caseload data'!$D:$D,"TPO",'caseload data'!$C:$C,'divisional &amp; regional caseload'!$B$57)</f>
        <v>0</v>
      </c>
      <c r="N61" s="107">
        <f>SUMIFS('caseload data'!P:P,'caseload data'!$D:$D,"TPO",'caseload data'!$C:$C,'divisional &amp; regional caseload'!$B$57)</f>
        <v>0</v>
      </c>
      <c r="O61" s="107">
        <f>SUMIFS('caseload data'!Q:Q,'caseload data'!$D:$D,"TPO",'caseload data'!$C:$C,'divisional &amp; regional caseload'!$B$57)</f>
        <v>0</v>
      </c>
      <c r="P61" s="107">
        <f>SUMIFS('caseload data'!R:R,'caseload data'!$D:$D,"TPO",'caseload data'!$C:$C,'divisional &amp; regional caseload'!$B$57)</f>
        <v>0</v>
      </c>
      <c r="Q61" s="107">
        <f>SUMIFS('caseload data'!S:S,'caseload data'!$D:$D,"TPO",'caseload data'!$C:$C,'divisional &amp; regional caseload'!$B$57)</f>
        <v>0</v>
      </c>
      <c r="R61" s="107">
        <f>SUMIFS('caseload data'!T:T,'caseload data'!$D:$D,"TPO",'caseload data'!$C:$C,'divisional &amp; regional caseload'!$B$57)</f>
        <v>0</v>
      </c>
      <c r="S61" s="104"/>
      <c r="T61" s="110" t="s">
        <v>1039</v>
      </c>
      <c r="U61" s="107">
        <f>SUMIFS('caseload data'!E:E,'caseload data'!$D:$D,"TPO",'caseload data'!$C:$C,'divisional &amp; regional caseload'!$T$57)</f>
        <v>0</v>
      </c>
      <c r="V61" s="107">
        <f>SUMIFS('caseload data'!F:F,'caseload data'!$D:$D,"TPO",'caseload data'!$C:$C,'divisional &amp; regional caseload'!$T$57)</f>
        <v>0</v>
      </c>
      <c r="W61" s="107">
        <f>SUMIFS('caseload data'!G:G,'caseload data'!$D:$D,"TPO",'caseload data'!$C:$C,'divisional &amp; regional caseload'!$T$57)</f>
        <v>0</v>
      </c>
      <c r="X61" s="107">
        <f>SUMIFS('caseload data'!H:H,'caseload data'!$D:$D,"TPO",'caseload data'!$C:$C,'divisional &amp; regional caseload'!$T$57)</f>
        <v>0</v>
      </c>
      <c r="Y61" s="107">
        <f>SUMIFS('caseload data'!I:I,'caseload data'!$D:$D,"TPO",'caseload data'!$C:$C,'divisional &amp; regional caseload'!$T$57)</f>
        <v>0</v>
      </c>
      <c r="Z61" s="107">
        <f>SUMIFS('caseload data'!J:J,'caseload data'!$D:$D,"TPO",'caseload data'!$C:$C,'divisional &amp; regional caseload'!$T$57)</f>
        <v>0</v>
      </c>
      <c r="AA61" s="107">
        <f>SUMIFS('caseload data'!K:K,'caseload data'!$D:$D,"TPO",'caseload data'!$C:$C,'divisional &amp; regional caseload'!$T$57)</f>
        <v>0</v>
      </c>
      <c r="AB61" s="107">
        <f>SUMIFS('caseload data'!L:L,'caseload data'!$D:$D,"TPO",'caseload data'!$C:$C,'divisional &amp; regional caseload'!$T$57)</f>
        <v>0</v>
      </c>
      <c r="AC61" s="107">
        <f>SUMIFS('caseload data'!M:M,'caseload data'!$D:$D,"TPO",'caseload data'!$C:$C,'divisional &amp; regional caseload'!$T$57)</f>
        <v>0</v>
      </c>
      <c r="AD61" s="107">
        <f>SUMIFS('caseload data'!N:N,'caseload data'!$D:$D,"TPO",'caseload data'!$C:$C,'divisional &amp; regional caseload'!$T$57)</f>
        <v>0</v>
      </c>
      <c r="AE61" s="107">
        <f>SUMIFS('caseload data'!O:O,'caseload data'!$D:$D,"TPO",'caseload data'!$C:$C,'divisional &amp; regional caseload'!$T$57)</f>
        <v>0</v>
      </c>
      <c r="AF61" s="107">
        <f>SUMIFS('caseload data'!P:P,'caseload data'!$D:$D,"TPO",'caseload data'!$C:$C,'divisional &amp; regional caseload'!$T$57)</f>
        <v>0</v>
      </c>
      <c r="AG61" s="107">
        <f>SUMIFS('caseload data'!Q:Q,'caseload data'!$D:$D,"TPO",'caseload data'!$C:$C,'divisional &amp; regional caseload'!$T$57)</f>
        <v>0</v>
      </c>
      <c r="AH61" s="107">
        <f>SUMIFS('caseload data'!R:R,'caseload data'!$D:$D,"TPO",'caseload data'!$C:$C,'divisional &amp; regional caseload'!$T$57)</f>
        <v>0</v>
      </c>
      <c r="AI61" s="107">
        <f>SUMIFS('caseload data'!S:S,'caseload data'!$D:$D,"TPO",'caseload data'!$C:$C,'divisional &amp; regional caseload'!$T$57)</f>
        <v>0</v>
      </c>
      <c r="AJ61" s="107">
        <f>SUMIFS('caseload data'!T:T,'caseload data'!$D:$D,"TPO",'caseload data'!$C:$C,'divisional &amp; regional caseload'!$T$57)</f>
        <v>0</v>
      </c>
    </row>
    <row r="62" spans="2:36" x14ac:dyDescent="0.15">
      <c r="B62" s="111" t="s">
        <v>1040</v>
      </c>
      <c r="C62" s="107">
        <f>SUMIFS('caseload data'!E:E,'caseload data'!$D:$D,"SPO",'caseload data'!$C:$C,'divisional &amp; regional caseload'!$B$57)</f>
        <v>0</v>
      </c>
      <c r="D62" s="107">
        <f>SUMIFS('caseload data'!F:F,'caseload data'!$D:$D,"SPO",'caseload data'!$C:$C,'divisional &amp; regional caseload'!$B$57)</f>
        <v>0</v>
      </c>
      <c r="E62" s="107">
        <f>SUMIFS('caseload data'!G:G,'caseload data'!$D:$D,"SPO",'caseload data'!$C:$C,'divisional &amp; regional caseload'!$B$57)</f>
        <v>0</v>
      </c>
      <c r="F62" s="107">
        <f>SUMIFS('caseload data'!H:H,'caseload data'!$D:$D,"SPO",'caseload data'!$C:$C,'divisional &amp; regional caseload'!$B$57)</f>
        <v>0</v>
      </c>
      <c r="G62" s="107">
        <f>SUMIFS('caseload data'!I:I,'caseload data'!$D:$D,"SPO",'caseload data'!$C:$C,'divisional &amp; regional caseload'!$B$57)</f>
        <v>0</v>
      </c>
      <c r="H62" s="107">
        <f>SUMIFS('caseload data'!J:J,'caseload data'!$D:$D,"SPO",'caseload data'!$C:$C,'divisional &amp; regional caseload'!$B$57)</f>
        <v>0</v>
      </c>
      <c r="I62" s="107">
        <f>SUMIFS('caseload data'!K:K,'caseload data'!$D:$D,"SPO",'caseload data'!$C:$C,'divisional &amp; regional caseload'!$B$57)</f>
        <v>0</v>
      </c>
      <c r="J62" s="107">
        <f>SUMIFS('caseload data'!L:L,'caseload data'!$D:$D,"SPO",'caseload data'!$C:$C,'divisional &amp; regional caseload'!$B$57)</f>
        <v>0</v>
      </c>
      <c r="K62" s="107">
        <f>SUMIFS('caseload data'!M:M,'caseload data'!$D:$D,"SPO",'caseload data'!$C:$C,'divisional &amp; regional caseload'!$B$57)</f>
        <v>0</v>
      </c>
      <c r="L62" s="107">
        <f>SUMIFS('caseload data'!N:N,'caseload data'!$D:$D,"SPO",'caseload data'!$C:$C,'divisional &amp; regional caseload'!$B$57)</f>
        <v>0</v>
      </c>
      <c r="M62" s="107">
        <f>SUMIFS('caseload data'!O:O,'caseload data'!$D:$D,"SPO",'caseload data'!$C:$C,'divisional &amp; regional caseload'!$B$57)</f>
        <v>0</v>
      </c>
      <c r="N62" s="107">
        <f>SUMIFS('caseload data'!P:P,'caseload data'!$D:$D,"SPO",'caseload data'!$C:$C,'divisional &amp; regional caseload'!$B$57)</f>
        <v>0</v>
      </c>
      <c r="O62" s="107">
        <f>SUMIFS('caseload data'!Q:Q,'caseload data'!$D:$D,"SPO",'caseload data'!$C:$C,'divisional &amp; regional caseload'!$B$57)</f>
        <v>0</v>
      </c>
      <c r="P62" s="107">
        <f>SUMIFS('caseload data'!R:R,'caseload data'!$D:$D,"SPO",'caseload data'!$C:$C,'divisional &amp; regional caseload'!$B$57)</f>
        <v>0</v>
      </c>
      <c r="Q62" s="107">
        <f>SUMIFS('caseload data'!S:S,'caseload data'!$D:$D,"SPO",'caseload data'!$C:$C,'divisional &amp; regional caseload'!$B$57)</f>
        <v>0</v>
      </c>
      <c r="R62" s="107">
        <f>SUMIFS('caseload data'!T:T,'caseload data'!$D:$D,"SPO",'caseload data'!$C:$C,'divisional &amp; regional caseload'!$B$57)</f>
        <v>0</v>
      </c>
      <c r="S62" s="104"/>
      <c r="T62" s="111" t="s">
        <v>1040</v>
      </c>
      <c r="U62" s="107">
        <f>SUMIFS('caseload data'!E:E,'caseload data'!$D:$D,"SPO",'caseload data'!$C:$C,'divisional &amp; regional caseload'!$T$57)</f>
        <v>0</v>
      </c>
      <c r="V62" s="107">
        <f>SUMIFS('caseload data'!F:F,'caseload data'!$D:$D,"SPO",'caseload data'!$C:$C,'divisional &amp; regional caseload'!$T$57)</f>
        <v>0</v>
      </c>
      <c r="W62" s="107">
        <f>SUMIFS('caseload data'!G:G,'caseload data'!$D:$D,"SPO",'caseload data'!$C:$C,'divisional &amp; regional caseload'!$T$57)</f>
        <v>0</v>
      </c>
      <c r="X62" s="107">
        <f>SUMIFS('caseload data'!H:H,'caseload data'!$D:$D,"SPO",'caseload data'!$C:$C,'divisional &amp; regional caseload'!$T$57)</f>
        <v>0</v>
      </c>
      <c r="Y62" s="107">
        <f>SUMIFS('caseload data'!I:I,'caseload data'!$D:$D,"SPO",'caseload data'!$C:$C,'divisional &amp; regional caseload'!$T$57)</f>
        <v>0</v>
      </c>
      <c r="Z62" s="107">
        <f>SUMIFS('caseload data'!J:J,'caseload data'!$D:$D,"SPO",'caseload data'!$C:$C,'divisional &amp; regional caseload'!$T$57)</f>
        <v>0</v>
      </c>
      <c r="AA62" s="107">
        <f>SUMIFS('caseload data'!K:K,'caseload data'!$D:$D,"SPO",'caseload data'!$C:$C,'divisional &amp; regional caseload'!$T$57)</f>
        <v>0</v>
      </c>
      <c r="AB62" s="107">
        <f>SUMIFS('caseload data'!L:L,'caseload data'!$D:$D,"SPO",'caseload data'!$C:$C,'divisional &amp; regional caseload'!$T$57)</f>
        <v>0</v>
      </c>
      <c r="AC62" s="107">
        <f>SUMIFS('caseload data'!M:M,'caseload data'!$D:$D,"SPO",'caseload data'!$C:$C,'divisional &amp; regional caseload'!$T$57)</f>
        <v>0</v>
      </c>
      <c r="AD62" s="107">
        <f>SUMIFS('caseload data'!N:N,'caseload data'!$D:$D,"SPO",'caseload data'!$C:$C,'divisional &amp; regional caseload'!$T$57)</f>
        <v>0</v>
      </c>
      <c r="AE62" s="107">
        <f>SUMIFS('caseload data'!O:O,'caseload data'!$D:$D,"SPO",'caseload data'!$C:$C,'divisional &amp; regional caseload'!$T$57)</f>
        <v>0</v>
      </c>
      <c r="AF62" s="107">
        <f>SUMIFS('caseload data'!P:P,'caseload data'!$D:$D,"SPO",'caseload data'!$C:$C,'divisional &amp; regional caseload'!$T$57)</f>
        <v>0</v>
      </c>
      <c r="AG62" s="107">
        <f>SUMIFS('caseload data'!Q:Q,'caseload data'!$D:$D,"SPO",'caseload data'!$C:$C,'divisional &amp; regional caseload'!$T$57)</f>
        <v>0</v>
      </c>
      <c r="AH62" s="107">
        <f>SUMIFS('caseload data'!R:R,'caseload data'!$D:$D,"SPO",'caseload data'!$C:$C,'divisional &amp; regional caseload'!$T$57)</f>
        <v>0</v>
      </c>
      <c r="AI62" s="107">
        <f>SUMIFS('caseload data'!S:S,'caseload data'!$D:$D,"SPO",'caseload data'!$C:$C,'divisional &amp; regional caseload'!$T$57)</f>
        <v>0</v>
      </c>
      <c r="AJ62" s="107">
        <f>SUMIFS('caseload data'!T:T,'caseload data'!$D:$D,"SPO",'caseload data'!$C:$C,'divisional &amp; regional caseload'!$T$57)</f>
        <v>0</v>
      </c>
    </row>
    <row r="64" spans="2:36" ht="32.25" customHeight="1" x14ac:dyDescent="0.15">
      <c r="B64" s="162" t="str">
        <f>HLOOKUP($B$5,Region_Table,18,0)</f>
        <v>Kingston, Richmond and Hounslow</v>
      </c>
      <c r="C64" s="333" t="s">
        <v>1257</v>
      </c>
      <c r="D64" s="334"/>
      <c r="E64" s="334"/>
      <c r="F64" s="334"/>
      <c r="G64" s="334"/>
      <c r="H64" s="334"/>
      <c r="I64" s="334"/>
      <c r="J64" s="334"/>
      <c r="K64" s="334"/>
      <c r="L64" s="334"/>
      <c r="M64" s="335"/>
      <c r="N64" s="335"/>
      <c r="O64" s="336"/>
      <c r="P64" s="337">
        <f>SUMIF('caseload data'!$C:$C,'divisional &amp; regional caseload'!B64,'caseload data'!V:V)</f>
        <v>0</v>
      </c>
      <c r="Q64" s="338"/>
      <c r="R64" s="339"/>
      <c r="S64" s="104"/>
      <c r="T64" s="162" t="str">
        <f>HLOOKUP($B$5,Region_Table,19,0)</f>
        <v>Lambeth - N07</v>
      </c>
      <c r="U64" s="333" t="s">
        <v>1257</v>
      </c>
      <c r="V64" s="335"/>
      <c r="W64" s="335"/>
      <c r="X64" s="336"/>
      <c r="Y64" s="337">
        <f>SUMIF('caseload data'!$C:$C,'divisional &amp; regional caseload'!T64,'caseload data'!V:V)</f>
        <v>0</v>
      </c>
      <c r="Z64" s="338"/>
      <c r="AA64" s="339"/>
    </row>
    <row r="65" spans="2:36" x14ac:dyDescent="0.15">
      <c r="B65" s="108" t="s">
        <v>1199</v>
      </c>
      <c r="C65" s="42" t="s">
        <v>1019</v>
      </c>
      <c r="D65" s="42" t="s">
        <v>1020</v>
      </c>
      <c r="E65" s="42" t="s">
        <v>1021</v>
      </c>
      <c r="F65" s="42" t="s">
        <v>1022</v>
      </c>
      <c r="G65" s="42" t="s">
        <v>1023</v>
      </c>
      <c r="H65" s="42" t="s">
        <v>1024</v>
      </c>
      <c r="I65" s="42" t="s">
        <v>1025</v>
      </c>
      <c r="J65" s="42" t="s">
        <v>1026</v>
      </c>
      <c r="K65" s="42" t="s">
        <v>1027</v>
      </c>
      <c r="L65" s="42" t="s">
        <v>1028</v>
      </c>
      <c r="M65" s="42" t="s">
        <v>1029</v>
      </c>
      <c r="N65" s="42" t="s">
        <v>1030</v>
      </c>
      <c r="O65" s="42" t="s">
        <v>1031</v>
      </c>
      <c r="P65" s="42" t="s">
        <v>1032</v>
      </c>
      <c r="Q65" s="42" t="s">
        <v>1033</v>
      </c>
      <c r="R65" s="42" t="s">
        <v>1034</v>
      </c>
      <c r="S65" s="104"/>
      <c r="T65" s="108" t="s">
        <v>1199</v>
      </c>
      <c r="U65" s="42" t="s">
        <v>1019</v>
      </c>
      <c r="V65" s="42" t="s">
        <v>1020</v>
      </c>
      <c r="W65" s="42" t="s">
        <v>1021</v>
      </c>
      <c r="X65" s="42" t="s">
        <v>1022</v>
      </c>
      <c r="Y65" s="42" t="s">
        <v>1023</v>
      </c>
      <c r="Z65" s="42" t="s">
        <v>1024</v>
      </c>
      <c r="AA65" s="42" t="s">
        <v>1025</v>
      </c>
      <c r="AB65" s="42" t="s">
        <v>1026</v>
      </c>
      <c r="AC65" s="42" t="s">
        <v>1027</v>
      </c>
      <c r="AD65" s="42" t="s">
        <v>1028</v>
      </c>
      <c r="AE65" s="42" t="s">
        <v>1029</v>
      </c>
      <c r="AF65" s="42" t="s">
        <v>1030</v>
      </c>
      <c r="AG65" s="42" t="s">
        <v>1031</v>
      </c>
      <c r="AH65" s="42" t="s">
        <v>1032</v>
      </c>
      <c r="AI65" s="42" t="s">
        <v>1033</v>
      </c>
      <c r="AJ65" s="42" t="s">
        <v>1034</v>
      </c>
    </row>
    <row r="66" spans="2:36" x14ac:dyDescent="0.15">
      <c r="B66" s="109" t="s">
        <v>1037</v>
      </c>
      <c r="C66" s="107">
        <f>SUMIFS('caseload data'!E:E,'caseload data'!$D:$D,"PO",'caseload data'!$C:$C,'divisional &amp; regional caseload'!$B$64)</f>
        <v>0</v>
      </c>
      <c r="D66" s="107">
        <f>SUMIFS('caseload data'!F:F,'caseload data'!$D:$D,"PO",'caseload data'!$C:$C,'divisional &amp; regional caseload'!$B$64)</f>
        <v>0</v>
      </c>
      <c r="E66" s="107">
        <f>SUMIFS('caseload data'!G:G,'caseload data'!$D:$D,"PO",'caseload data'!$C:$C,'divisional &amp; regional caseload'!$B$64)</f>
        <v>0</v>
      </c>
      <c r="F66" s="107">
        <f>SUMIFS('caseload data'!H:H,'caseload data'!$D:$D,"PO",'caseload data'!$C:$C,'divisional &amp; regional caseload'!$B$64)</f>
        <v>0</v>
      </c>
      <c r="G66" s="107">
        <f>SUMIFS('caseload data'!I:I,'caseload data'!$D:$D,"PO",'caseload data'!$C:$C,'divisional &amp; regional caseload'!$B$64)</f>
        <v>0</v>
      </c>
      <c r="H66" s="107">
        <f>SUMIFS('caseload data'!J:J,'caseload data'!$D:$D,"PO",'caseload data'!$C:$C,'divisional &amp; regional caseload'!$B$64)</f>
        <v>0</v>
      </c>
      <c r="I66" s="107">
        <f>SUMIFS('caseload data'!K:K,'caseload data'!$D:$D,"PO",'caseload data'!$C:$C,'divisional &amp; regional caseload'!$B$64)</f>
        <v>0</v>
      </c>
      <c r="J66" s="107">
        <f>SUMIFS('caseload data'!L:L,'caseload data'!$D:$D,"PO",'caseload data'!$C:$C,'divisional &amp; regional caseload'!$B$64)</f>
        <v>0</v>
      </c>
      <c r="K66" s="107">
        <f>SUMIFS('caseload data'!M:M,'caseload data'!$D:$D,"PO",'caseload data'!$C:$C,'divisional &amp; regional caseload'!$B$64)</f>
        <v>0</v>
      </c>
      <c r="L66" s="107">
        <f>SUMIFS('caseload data'!N:N,'caseload data'!$D:$D,"PO",'caseload data'!$C:$C,'divisional &amp; regional caseload'!$B$64)</f>
        <v>0</v>
      </c>
      <c r="M66" s="107">
        <f>SUMIFS('caseload data'!O:O,'caseload data'!$D:$D,"PO",'caseload data'!$C:$C,'divisional &amp; regional caseload'!$B$64)</f>
        <v>0</v>
      </c>
      <c r="N66" s="107">
        <f>SUMIFS('caseload data'!P:P,'caseload data'!$D:$D,"PO",'caseload data'!$C:$C,'divisional &amp; regional caseload'!$B$64)</f>
        <v>0</v>
      </c>
      <c r="O66" s="107">
        <f>SUMIFS('caseload data'!Q:Q,'caseload data'!$D:$D,"PO",'caseload data'!$C:$C,'divisional &amp; regional caseload'!$B$64)</f>
        <v>0</v>
      </c>
      <c r="P66" s="107">
        <f>SUMIFS('caseload data'!R:R,'caseload data'!$D:$D,"PO",'caseload data'!$C:$C,'divisional &amp; regional caseload'!$B$64)</f>
        <v>0</v>
      </c>
      <c r="Q66" s="107">
        <f>SUMIFS('caseload data'!S:S,'caseload data'!$D:$D,"PO",'caseload data'!$C:$C,'divisional &amp; regional caseload'!$B$64)</f>
        <v>0</v>
      </c>
      <c r="R66" s="107">
        <f>SUMIFS('caseload data'!T:T,'caseload data'!$D:$D,"PO",'caseload data'!$C:$C,'divisional &amp; regional caseload'!$B$64)</f>
        <v>0</v>
      </c>
      <c r="S66" s="104"/>
      <c r="T66" s="109" t="s">
        <v>1037</v>
      </c>
      <c r="U66" s="107">
        <f>SUMIFS('caseload data'!E:E,'caseload data'!$D:$D,"PO",'caseload data'!$C:$C,'divisional &amp; regional caseload'!$T$64)</f>
        <v>0</v>
      </c>
      <c r="V66" s="107">
        <f>SUMIFS('caseload data'!F:F,'caseload data'!$D:$D,"PO",'caseload data'!$C:$C,'divisional &amp; regional caseload'!$T$64)</f>
        <v>0</v>
      </c>
      <c r="W66" s="107">
        <f>SUMIFS('caseload data'!G:G,'caseload data'!$D:$D,"PO",'caseload data'!$C:$C,'divisional &amp; regional caseload'!$T$64)</f>
        <v>0</v>
      </c>
      <c r="X66" s="107">
        <f>SUMIFS('caseload data'!H:H,'caseload data'!$D:$D,"PO",'caseload data'!$C:$C,'divisional &amp; regional caseload'!$T$64)</f>
        <v>0</v>
      </c>
      <c r="Y66" s="107">
        <f>SUMIFS('caseload data'!I:I,'caseload data'!$D:$D,"PO",'caseload data'!$C:$C,'divisional &amp; regional caseload'!$T$64)</f>
        <v>0</v>
      </c>
      <c r="Z66" s="107">
        <f>SUMIFS('caseload data'!J:J,'caseload data'!$D:$D,"PO",'caseload data'!$C:$C,'divisional &amp; regional caseload'!$T$64)</f>
        <v>0</v>
      </c>
      <c r="AA66" s="107">
        <f>SUMIFS('caseload data'!K:K,'caseload data'!$D:$D,"PO",'caseload data'!$C:$C,'divisional &amp; regional caseload'!$T$64)</f>
        <v>0</v>
      </c>
      <c r="AB66" s="107">
        <f>SUMIFS('caseload data'!L:L,'caseload data'!$D:$D,"PO",'caseload data'!$C:$C,'divisional &amp; regional caseload'!$T$64)</f>
        <v>0</v>
      </c>
      <c r="AC66" s="107">
        <f>SUMIFS('caseload data'!M:M,'caseload data'!$D:$D,"PO",'caseload data'!$C:$C,'divisional &amp; regional caseload'!$T$64)</f>
        <v>0</v>
      </c>
      <c r="AD66" s="107">
        <f>SUMIFS('caseload data'!N:N,'caseload data'!$D:$D,"PO",'caseload data'!$C:$C,'divisional &amp; regional caseload'!$T$64)</f>
        <v>0</v>
      </c>
      <c r="AE66" s="107">
        <f>SUMIFS('caseload data'!O:O,'caseload data'!$D:$D,"PO",'caseload data'!$C:$C,'divisional &amp; regional caseload'!$T$64)</f>
        <v>0</v>
      </c>
      <c r="AF66" s="107">
        <f>SUMIFS('caseload data'!P:P,'caseload data'!$D:$D,"PO",'caseload data'!$C:$C,'divisional &amp; regional caseload'!$T$64)</f>
        <v>0</v>
      </c>
      <c r="AG66" s="107">
        <f>SUMIFS('caseload data'!Q:Q,'caseload data'!$D:$D,"PO",'caseload data'!$C:$C,'divisional &amp; regional caseload'!$T$64)</f>
        <v>0</v>
      </c>
      <c r="AH66" s="107">
        <f>SUMIFS('caseload data'!R:R,'caseload data'!$D:$D,"PO",'caseload data'!$C:$C,'divisional &amp; regional caseload'!$T$64)</f>
        <v>0</v>
      </c>
      <c r="AI66" s="107">
        <f>SUMIFS('caseload data'!S:S,'caseload data'!$D:$D,"PO",'caseload data'!$C:$C,'divisional &amp; regional caseload'!$T$64)</f>
        <v>0</v>
      </c>
      <c r="AJ66" s="107">
        <f>SUMIFS('caseload data'!T:T,'caseload data'!$D:$D,"PO",'caseload data'!$C:$C,'divisional &amp; regional caseload'!$T$64)</f>
        <v>0</v>
      </c>
    </row>
    <row r="67" spans="2:36" x14ac:dyDescent="0.15">
      <c r="B67" s="110" t="s">
        <v>1038</v>
      </c>
      <c r="C67" s="107">
        <f>SUMIFS('caseload data'!E:E,'caseload data'!$D:$D,"PSO",'caseload data'!$C:$C,'divisional &amp; regional caseload'!$B$64)</f>
        <v>0</v>
      </c>
      <c r="D67" s="107">
        <f>SUMIFS('caseload data'!F:F,'caseload data'!$D:$D,"PSO",'caseload data'!$C:$C,'divisional &amp; regional caseload'!$B$64)</f>
        <v>0</v>
      </c>
      <c r="E67" s="107">
        <f>SUMIFS('caseload data'!G:G,'caseload data'!$D:$D,"PSO",'caseload data'!$C:$C,'divisional &amp; regional caseload'!$B$64)</f>
        <v>0</v>
      </c>
      <c r="F67" s="107">
        <f>SUMIFS('caseload data'!H:H,'caseload data'!$D:$D,"PSO",'caseload data'!$C:$C,'divisional &amp; regional caseload'!$B$64)</f>
        <v>0</v>
      </c>
      <c r="G67" s="107">
        <f>SUMIFS('caseload data'!I:I,'caseload data'!$D:$D,"PSO",'caseload data'!$C:$C,'divisional &amp; regional caseload'!$B$64)</f>
        <v>0</v>
      </c>
      <c r="H67" s="107">
        <f>SUMIFS('caseload data'!J:J,'caseload data'!$D:$D,"PSO",'caseload data'!$C:$C,'divisional &amp; regional caseload'!$B$64)</f>
        <v>0</v>
      </c>
      <c r="I67" s="107">
        <f>SUMIFS('caseload data'!K:K,'caseload data'!$D:$D,"PSO",'caseload data'!$C:$C,'divisional &amp; regional caseload'!$B$64)</f>
        <v>0</v>
      </c>
      <c r="J67" s="107">
        <f>SUMIFS('caseload data'!L:L,'caseload data'!$D:$D,"PSO",'caseload data'!$C:$C,'divisional &amp; regional caseload'!$B$64)</f>
        <v>0</v>
      </c>
      <c r="K67" s="107">
        <f>SUMIFS('caseload data'!M:M,'caseload data'!$D:$D,"PSO",'caseload data'!$C:$C,'divisional &amp; regional caseload'!$B$64)</f>
        <v>0</v>
      </c>
      <c r="L67" s="107">
        <f>SUMIFS('caseload data'!N:N,'caseload data'!$D:$D,"PSO",'caseload data'!$C:$C,'divisional &amp; regional caseload'!$B$64)</f>
        <v>0</v>
      </c>
      <c r="M67" s="107">
        <f>SUMIFS('caseload data'!O:O,'caseload data'!$D:$D,"PSO",'caseload data'!$C:$C,'divisional &amp; regional caseload'!$B$64)</f>
        <v>0</v>
      </c>
      <c r="N67" s="107">
        <f>SUMIFS('caseload data'!P:P,'caseload data'!$D:$D,"PSO",'caseload data'!$C:$C,'divisional &amp; regional caseload'!$B$64)</f>
        <v>0</v>
      </c>
      <c r="O67" s="107">
        <f>SUMIFS('caseload data'!Q:Q,'caseload data'!$D:$D,"PSO",'caseload data'!$C:$C,'divisional &amp; regional caseload'!$B$64)</f>
        <v>0</v>
      </c>
      <c r="P67" s="107">
        <f>SUMIFS('caseload data'!R:R,'caseload data'!$D:$D,"PSO",'caseload data'!$C:$C,'divisional &amp; regional caseload'!$B$64)</f>
        <v>0</v>
      </c>
      <c r="Q67" s="107">
        <f>SUMIFS('caseload data'!S:S,'caseload data'!$D:$D,"PSO",'caseload data'!$C:$C,'divisional &amp; regional caseload'!$B$64)</f>
        <v>0</v>
      </c>
      <c r="R67" s="107">
        <f>SUMIFS('caseload data'!T:T,'caseload data'!$D:$D,"PSO",'caseload data'!$C:$C,'divisional &amp; regional caseload'!$B$64)</f>
        <v>0</v>
      </c>
      <c r="S67" s="104"/>
      <c r="T67" s="110" t="s">
        <v>1038</v>
      </c>
      <c r="U67" s="107">
        <f>SUMIFS('caseload data'!E:E,'caseload data'!$D:$D,"PSO",'caseload data'!$C:$C,'divisional &amp; regional caseload'!$T$64)</f>
        <v>0</v>
      </c>
      <c r="V67" s="107">
        <f>SUMIFS('caseload data'!F:F,'caseload data'!$D:$D,"PSO",'caseload data'!$C:$C,'divisional &amp; regional caseload'!$T$64)</f>
        <v>0</v>
      </c>
      <c r="W67" s="107">
        <f>SUMIFS('caseload data'!G:G,'caseload data'!$D:$D,"PSO",'caseload data'!$C:$C,'divisional &amp; regional caseload'!$T$64)</f>
        <v>0</v>
      </c>
      <c r="X67" s="107">
        <f>SUMIFS('caseload data'!H:H,'caseload data'!$D:$D,"PSO",'caseload data'!$C:$C,'divisional &amp; regional caseload'!$T$64)</f>
        <v>0</v>
      </c>
      <c r="Y67" s="107">
        <f>SUMIFS('caseload data'!I:I,'caseload data'!$D:$D,"PSO",'caseload data'!$C:$C,'divisional &amp; regional caseload'!$T$64)</f>
        <v>0</v>
      </c>
      <c r="Z67" s="107">
        <f>SUMIFS('caseload data'!J:J,'caseload data'!$D:$D,"PSO",'caseload data'!$C:$C,'divisional &amp; regional caseload'!$T$64)</f>
        <v>0</v>
      </c>
      <c r="AA67" s="107">
        <f>SUMIFS('caseload data'!K:K,'caseload data'!$D:$D,"PSO",'caseload data'!$C:$C,'divisional &amp; regional caseload'!$T$64)</f>
        <v>0</v>
      </c>
      <c r="AB67" s="107">
        <f>SUMIFS('caseload data'!L:L,'caseload data'!$D:$D,"PSO",'caseload data'!$C:$C,'divisional &amp; regional caseload'!$T$64)</f>
        <v>0</v>
      </c>
      <c r="AC67" s="107">
        <f>SUMIFS('caseload data'!M:M,'caseload data'!$D:$D,"PSO",'caseload data'!$C:$C,'divisional &amp; regional caseload'!$T$64)</f>
        <v>0</v>
      </c>
      <c r="AD67" s="107">
        <f>SUMIFS('caseload data'!N:N,'caseload data'!$D:$D,"PSO",'caseload data'!$C:$C,'divisional &amp; regional caseload'!$T$64)</f>
        <v>0</v>
      </c>
      <c r="AE67" s="107">
        <f>SUMIFS('caseload data'!O:O,'caseload data'!$D:$D,"PSO",'caseload data'!$C:$C,'divisional &amp; regional caseload'!$T$64)</f>
        <v>0</v>
      </c>
      <c r="AF67" s="107">
        <f>SUMIFS('caseload data'!P:P,'caseload data'!$D:$D,"PSO",'caseload data'!$C:$C,'divisional &amp; regional caseload'!$T$64)</f>
        <v>0</v>
      </c>
      <c r="AG67" s="107">
        <f>SUMIFS('caseload data'!Q:Q,'caseload data'!$D:$D,"PSO",'caseload data'!$C:$C,'divisional &amp; regional caseload'!$T$64)</f>
        <v>0</v>
      </c>
      <c r="AH67" s="107">
        <f>SUMIFS('caseload data'!R:R,'caseload data'!$D:$D,"PSO",'caseload data'!$C:$C,'divisional &amp; regional caseload'!$T$64)</f>
        <v>0</v>
      </c>
      <c r="AI67" s="107">
        <f>SUMIFS('caseload data'!S:S,'caseload data'!$D:$D,"PSO",'caseload data'!$C:$C,'divisional &amp; regional caseload'!$T$64)</f>
        <v>0</v>
      </c>
      <c r="AJ67" s="107">
        <f>SUMIFS('caseload data'!T:T,'caseload data'!$D:$D,"PSO",'caseload data'!$C:$C,'divisional &amp; regional caseload'!$T$64)</f>
        <v>0</v>
      </c>
    </row>
    <row r="68" spans="2:36" x14ac:dyDescent="0.15">
      <c r="B68" s="110" t="s">
        <v>1039</v>
      </c>
      <c r="C68" s="107">
        <f>SUMIFS('caseload data'!E:E,'caseload data'!$D:$D,"TPO",'caseload data'!$C:$C,'divisional &amp; regional caseload'!$B$64)</f>
        <v>0</v>
      </c>
      <c r="D68" s="107">
        <f>SUMIFS('caseload data'!F:F,'caseload data'!$D:$D,"TPO",'caseload data'!$C:$C,'divisional &amp; regional caseload'!$B$64)</f>
        <v>0</v>
      </c>
      <c r="E68" s="107">
        <f>SUMIFS('caseload data'!G:G,'caseload data'!$D:$D,"TPO",'caseload data'!$C:$C,'divisional &amp; regional caseload'!$B$64)</f>
        <v>0</v>
      </c>
      <c r="F68" s="107">
        <f>SUMIFS('caseload data'!H:H,'caseload data'!$D:$D,"TPO",'caseload data'!$C:$C,'divisional &amp; regional caseload'!$B$64)</f>
        <v>0</v>
      </c>
      <c r="G68" s="107">
        <f>SUMIFS('caseload data'!I:I,'caseload data'!$D:$D,"TPO",'caseload data'!$C:$C,'divisional &amp; regional caseload'!$B$64)</f>
        <v>0</v>
      </c>
      <c r="H68" s="107">
        <f>SUMIFS('caseload data'!J:J,'caseload data'!$D:$D,"TPO",'caseload data'!$C:$C,'divisional &amp; regional caseload'!$B$64)</f>
        <v>0</v>
      </c>
      <c r="I68" s="107">
        <f>SUMIFS('caseload data'!K:K,'caseload data'!$D:$D,"TPO",'caseload data'!$C:$C,'divisional &amp; regional caseload'!$B$64)</f>
        <v>0</v>
      </c>
      <c r="J68" s="107">
        <f>SUMIFS('caseload data'!L:L,'caseload data'!$D:$D,"TPO",'caseload data'!$C:$C,'divisional &amp; regional caseload'!$B$64)</f>
        <v>0</v>
      </c>
      <c r="K68" s="107">
        <f>SUMIFS('caseload data'!M:M,'caseload data'!$D:$D,"TPO",'caseload data'!$C:$C,'divisional &amp; regional caseload'!$B$64)</f>
        <v>0</v>
      </c>
      <c r="L68" s="107">
        <f>SUMIFS('caseload data'!N:N,'caseload data'!$D:$D,"TPO",'caseload data'!$C:$C,'divisional &amp; regional caseload'!$B$64)</f>
        <v>0</v>
      </c>
      <c r="M68" s="107">
        <f>SUMIFS('caseload data'!O:O,'caseload data'!$D:$D,"TPO",'caseload data'!$C:$C,'divisional &amp; regional caseload'!$B$64)</f>
        <v>0</v>
      </c>
      <c r="N68" s="107">
        <f>SUMIFS('caseload data'!P:P,'caseload data'!$D:$D,"TPO",'caseload data'!$C:$C,'divisional &amp; regional caseload'!$B$64)</f>
        <v>0</v>
      </c>
      <c r="O68" s="107">
        <f>SUMIFS('caseload data'!Q:Q,'caseload data'!$D:$D,"TPO",'caseload data'!$C:$C,'divisional &amp; regional caseload'!$B$64)</f>
        <v>0</v>
      </c>
      <c r="P68" s="107">
        <f>SUMIFS('caseload data'!R:R,'caseload data'!$D:$D,"TPO",'caseload data'!$C:$C,'divisional &amp; regional caseload'!$B$64)</f>
        <v>0</v>
      </c>
      <c r="Q68" s="107">
        <f>SUMIFS('caseload data'!S:S,'caseload data'!$D:$D,"TPO",'caseload data'!$C:$C,'divisional &amp; regional caseload'!$B$64)</f>
        <v>0</v>
      </c>
      <c r="R68" s="107">
        <f>SUMIFS('caseload data'!T:T,'caseload data'!$D:$D,"TPO",'caseload data'!$C:$C,'divisional &amp; regional caseload'!$B$64)</f>
        <v>0</v>
      </c>
      <c r="S68" s="104"/>
      <c r="T68" s="110" t="s">
        <v>1039</v>
      </c>
      <c r="U68" s="107">
        <f>SUMIFS('caseload data'!E:E,'caseload data'!$D:$D,"TPO",'caseload data'!$C:$C,'divisional &amp; regional caseload'!$T$64)</f>
        <v>0</v>
      </c>
      <c r="V68" s="107">
        <f>SUMIFS('caseload data'!F:F,'caseload data'!$D:$D,"TPO",'caseload data'!$C:$C,'divisional &amp; regional caseload'!$T$64)</f>
        <v>0</v>
      </c>
      <c r="W68" s="107">
        <f>SUMIFS('caseload data'!G:G,'caseload data'!$D:$D,"TPO",'caseload data'!$C:$C,'divisional &amp; regional caseload'!$T$64)</f>
        <v>0</v>
      </c>
      <c r="X68" s="107">
        <f>SUMIFS('caseload data'!H:H,'caseload data'!$D:$D,"TPO",'caseload data'!$C:$C,'divisional &amp; regional caseload'!$T$64)</f>
        <v>0</v>
      </c>
      <c r="Y68" s="107">
        <f>SUMIFS('caseload data'!I:I,'caseload data'!$D:$D,"TPO",'caseload data'!$C:$C,'divisional &amp; regional caseload'!$T$64)</f>
        <v>0</v>
      </c>
      <c r="Z68" s="107">
        <f>SUMIFS('caseload data'!J:J,'caseload data'!$D:$D,"TPO",'caseload data'!$C:$C,'divisional &amp; regional caseload'!$T$64)</f>
        <v>0</v>
      </c>
      <c r="AA68" s="107">
        <f>SUMIFS('caseload data'!K:K,'caseload data'!$D:$D,"TPO",'caseload data'!$C:$C,'divisional &amp; regional caseload'!$T$64)</f>
        <v>0</v>
      </c>
      <c r="AB68" s="107">
        <f>SUMIFS('caseload data'!L:L,'caseload data'!$D:$D,"TPO",'caseload data'!$C:$C,'divisional &amp; regional caseload'!$T$64)</f>
        <v>0</v>
      </c>
      <c r="AC68" s="107">
        <f>SUMIFS('caseload data'!M:M,'caseload data'!$D:$D,"TPO",'caseload data'!$C:$C,'divisional &amp; regional caseload'!$T$64)</f>
        <v>0</v>
      </c>
      <c r="AD68" s="107">
        <f>SUMIFS('caseload data'!N:N,'caseload data'!$D:$D,"TPO",'caseload data'!$C:$C,'divisional &amp; regional caseload'!$T$64)</f>
        <v>0</v>
      </c>
      <c r="AE68" s="107">
        <f>SUMIFS('caseload data'!O:O,'caseload data'!$D:$D,"TPO",'caseload data'!$C:$C,'divisional &amp; regional caseload'!$T$64)</f>
        <v>0</v>
      </c>
      <c r="AF68" s="107">
        <f>SUMIFS('caseload data'!P:P,'caseload data'!$D:$D,"TPO",'caseload data'!$C:$C,'divisional &amp; regional caseload'!$T$64)</f>
        <v>0</v>
      </c>
      <c r="AG68" s="107">
        <f>SUMIFS('caseload data'!Q:Q,'caseload data'!$D:$D,"TPO",'caseload data'!$C:$C,'divisional &amp; regional caseload'!$T$64)</f>
        <v>0</v>
      </c>
      <c r="AH68" s="107">
        <f>SUMIFS('caseload data'!R:R,'caseload data'!$D:$D,"TPO",'caseload data'!$C:$C,'divisional &amp; regional caseload'!$T$64)</f>
        <v>0</v>
      </c>
      <c r="AI68" s="107">
        <f>SUMIFS('caseload data'!S:S,'caseload data'!$D:$D,"TPO",'caseload data'!$C:$C,'divisional &amp; regional caseload'!$T$64)</f>
        <v>0</v>
      </c>
      <c r="AJ68" s="107">
        <f>SUMIFS('caseload data'!T:T,'caseload data'!$D:$D,"TPO",'caseload data'!$C:$C,'divisional &amp; regional caseload'!$T$64)</f>
        <v>0</v>
      </c>
    </row>
    <row r="69" spans="2:36" x14ac:dyDescent="0.15">
      <c r="B69" s="111" t="s">
        <v>1040</v>
      </c>
      <c r="C69" s="107">
        <f>SUMIFS('caseload data'!E:E,'caseload data'!$D:$D,"SPO",'caseload data'!$C:$C,'divisional &amp; regional caseload'!$B$64)</f>
        <v>0</v>
      </c>
      <c r="D69" s="107">
        <f>SUMIFS('caseload data'!F:F,'caseload data'!$D:$D,"SPO",'caseload data'!$C:$C,'divisional &amp; regional caseload'!$B$64)</f>
        <v>0</v>
      </c>
      <c r="E69" s="107">
        <f>SUMIFS('caseload data'!G:G,'caseload data'!$D:$D,"SPO",'caseload data'!$C:$C,'divisional &amp; regional caseload'!$B$64)</f>
        <v>0</v>
      </c>
      <c r="F69" s="107">
        <f>SUMIFS('caseload data'!H:H,'caseload data'!$D:$D,"SPO",'caseload data'!$C:$C,'divisional &amp; regional caseload'!$B$64)</f>
        <v>0</v>
      </c>
      <c r="G69" s="107">
        <f>SUMIFS('caseload data'!I:I,'caseload data'!$D:$D,"SPO",'caseload data'!$C:$C,'divisional &amp; regional caseload'!$B$64)</f>
        <v>0</v>
      </c>
      <c r="H69" s="107">
        <f>SUMIFS('caseload data'!J:J,'caseload data'!$D:$D,"SPO",'caseload data'!$C:$C,'divisional &amp; regional caseload'!$B$64)</f>
        <v>0</v>
      </c>
      <c r="I69" s="107">
        <f>SUMIFS('caseload data'!K:K,'caseload data'!$D:$D,"SPO",'caseload data'!$C:$C,'divisional &amp; regional caseload'!$B$64)</f>
        <v>0</v>
      </c>
      <c r="J69" s="107">
        <f>SUMIFS('caseload data'!L:L,'caseload data'!$D:$D,"SPO",'caseload data'!$C:$C,'divisional &amp; regional caseload'!$B$64)</f>
        <v>0</v>
      </c>
      <c r="K69" s="107">
        <f>SUMIFS('caseload data'!M:M,'caseload data'!$D:$D,"SPO",'caseload data'!$C:$C,'divisional &amp; regional caseload'!$B$64)</f>
        <v>0</v>
      </c>
      <c r="L69" s="107">
        <f>SUMIFS('caseload data'!N:N,'caseload data'!$D:$D,"SPO",'caseload data'!$C:$C,'divisional &amp; regional caseload'!$B$64)</f>
        <v>0</v>
      </c>
      <c r="M69" s="107">
        <f>SUMIFS('caseload data'!O:O,'caseload data'!$D:$D,"SPO",'caseload data'!$C:$C,'divisional &amp; regional caseload'!$B$64)</f>
        <v>0</v>
      </c>
      <c r="N69" s="107">
        <f>SUMIFS('caseload data'!P:P,'caseload data'!$D:$D,"SPO",'caseload data'!$C:$C,'divisional &amp; regional caseload'!$B$64)</f>
        <v>0</v>
      </c>
      <c r="O69" s="107">
        <f>SUMIFS('caseload data'!Q:Q,'caseload data'!$D:$D,"SPO",'caseload data'!$C:$C,'divisional &amp; regional caseload'!$B$64)</f>
        <v>0</v>
      </c>
      <c r="P69" s="107">
        <f>SUMIFS('caseload data'!R:R,'caseload data'!$D:$D,"SPO",'caseload data'!$C:$C,'divisional &amp; regional caseload'!$B$64)</f>
        <v>0</v>
      </c>
      <c r="Q69" s="107">
        <f>SUMIFS('caseload data'!S:S,'caseload data'!$D:$D,"SPO",'caseload data'!$C:$C,'divisional &amp; regional caseload'!$B$64)</f>
        <v>0</v>
      </c>
      <c r="R69" s="107">
        <f>SUMIFS('caseload data'!T:T,'caseload data'!$D:$D,"SPO",'caseload data'!$C:$C,'divisional &amp; regional caseload'!$B$64)</f>
        <v>0</v>
      </c>
      <c r="S69" s="104"/>
      <c r="T69" s="111" t="s">
        <v>1040</v>
      </c>
      <c r="U69" s="107">
        <f>SUMIFS('caseload data'!E:E,'caseload data'!$D:$D,"SPO",'caseload data'!$C:$C,'divisional &amp; regional caseload'!$T$64)</f>
        <v>0</v>
      </c>
      <c r="V69" s="107">
        <f>SUMIFS('caseload data'!F:F,'caseload data'!$D:$D,"SPO",'caseload data'!$C:$C,'divisional &amp; regional caseload'!$T$64)</f>
        <v>0</v>
      </c>
      <c r="W69" s="107">
        <f>SUMIFS('caseload data'!G:G,'caseload data'!$D:$D,"SPO",'caseload data'!$C:$C,'divisional &amp; regional caseload'!$T$64)</f>
        <v>0</v>
      </c>
      <c r="X69" s="107">
        <f>SUMIFS('caseload data'!H:H,'caseload data'!$D:$D,"SPO",'caseload data'!$C:$C,'divisional &amp; regional caseload'!$T$64)</f>
        <v>0</v>
      </c>
      <c r="Y69" s="107">
        <f>SUMIFS('caseload data'!I:I,'caseload data'!$D:$D,"SPO",'caseload data'!$C:$C,'divisional &amp; regional caseload'!$T$64)</f>
        <v>0</v>
      </c>
      <c r="Z69" s="107">
        <f>SUMIFS('caseload data'!J:J,'caseload data'!$D:$D,"SPO",'caseload data'!$C:$C,'divisional &amp; regional caseload'!$T$64)</f>
        <v>0</v>
      </c>
      <c r="AA69" s="107">
        <f>SUMIFS('caseload data'!K:K,'caseload data'!$D:$D,"SPO",'caseload data'!$C:$C,'divisional &amp; regional caseload'!$T$64)</f>
        <v>0</v>
      </c>
      <c r="AB69" s="107">
        <f>SUMIFS('caseload data'!L:L,'caseload data'!$D:$D,"SPO",'caseload data'!$C:$C,'divisional &amp; regional caseload'!$T$64)</f>
        <v>0</v>
      </c>
      <c r="AC69" s="107">
        <f>SUMIFS('caseload data'!M:M,'caseload data'!$D:$D,"SPO",'caseload data'!$C:$C,'divisional &amp; regional caseload'!$T$64)</f>
        <v>0</v>
      </c>
      <c r="AD69" s="107">
        <f>SUMIFS('caseload data'!N:N,'caseload data'!$D:$D,"SPO",'caseload data'!$C:$C,'divisional &amp; regional caseload'!$T$64)</f>
        <v>0</v>
      </c>
      <c r="AE69" s="107">
        <f>SUMIFS('caseload data'!O:O,'caseload data'!$D:$D,"SPO",'caseload data'!$C:$C,'divisional &amp; regional caseload'!$T$64)</f>
        <v>0</v>
      </c>
      <c r="AF69" s="107">
        <f>SUMIFS('caseload data'!P:P,'caseload data'!$D:$D,"SPO",'caseload data'!$C:$C,'divisional &amp; regional caseload'!$T$64)</f>
        <v>0</v>
      </c>
      <c r="AG69" s="107">
        <f>SUMIFS('caseload data'!Q:Q,'caseload data'!$D:$D,"SPO",'caseload data'!$C:$C,'divisional &amp; regional caseload'!$T$64)</f>
        <v>0</v>
      </c>
      <c r="AH69" s="107">
        <f>SUMIFS('caseload data'!R:R,'caseload data'!$D:$D,"SPO",'caseload data'!$C:$C,'divisional &amp; regional caseload'!$T$64)</f>
        <v>0</v>
      </c>
      <c r="AI69" s="107">
        <f>SUMIFS('caseload data'!S:S,'caseload data'!$D:$D,"SPO",'caseload data'!$C:$C,'divisional &amp; regional caseload'!$T$64)</f>
        <v>0</v>
      </c>
      <c r="AJ69" s="107">
        <f>SUMIFS('caseload data'!T:T,'caseload data'!$D:$D,"SPO",'caseload data'!$C:$C,'divisional &amp; regional caseload'!$T$64)</f>
        <v>0</v>
      </c>
    </row>
    <row r="71" spans="2:36" ht="41.25" customHeight="1" x14ac:dyDescent="0.15">
      <c r="B71" s="162" t="str">
        <f>HLOOKUP($B$5,Region_Table,20,0)</f>
        <v>Lewisham and Bromley</v>
      </c>
      <c r="C71" s="333" t="s">
        <v>1257</v>
      </c>
      <c r="D71" s="334"/>
      <c r="E71" s="334"/>
      <c r="F71" s="334"/>
      <c r="G71" s="334"/>
      <c r="H71" s="334"/>
      <c r="I71" s="334"/>
      <c r="J71" s="334"/>
      <c r="K71" s="334"/>
      <c r="L71" s="334"/>
      <c r="M71" s="335"/>
      <c r="N71" s="335"/>
      <c r="O71" s="336"/>
      <c r="P71" s="337">
        <f>SUMIF('caseload data'!$C:$C,'divisional &amp; regional caseload'!B71,'caseload data'!V:V)</f>
        <v>0</v>
      </c>
      <c r="Q71" s="338"/>
      <c r="R71" s="339"/>
      <c r="T71" s="162" t="str">
        <f>HLOOKUP($B$5,Region_Table,21,0)</f>
        <v>Newham - N07</v>
      </c>
      <c r="U71" s="333" t="s">
        <v>1257</v>
      </c>
      <c r="V71" s="334"/>
      <c r="W71" s="334"/>
      <c r="X71" s="340"/>
      <c r="Y71" s="337">
        <f>SUMIF('caseload data'!$C:$C,'divisional &amp; regional caseload'!T71,'caseload data'!V:V)</f>
        <v>0</v>
      </c>
      <c r="Z71" s="341"/>
      <c r="AA71" s="342"/>
    </row>
    <row r="72" spans="2:36" x14ac:dyDescent="0.15">
      <c r="B72" s="108" t="s">
        <v>1199</v>
      </c>
      <c r="C72" s="42" t="s">
        <v>1019</v>
      </c>
      <c r="D72" s="42" t="s">
        <v>1020</v>
      </c>
      <c r="E72" s="42" t="s">
        <v>1021</v>
      </c>
      <c r="F72" s="42" t="s">
        <v>1022</v>
      </c>
      <c r="G72" s="42" t="s">
        <v>1023</v>
      </c>
      <c r="H72" s="42" t="s">
        <v>1024</v>
      </c>
      <c r="I72" s="42" t="s">
        <v>1025</v>
      </c>
      <c r="J72" s="42" t="s">
        <v>1026</v>
      </c>
      <c r="K72" s="42" t="s">
        <v>1027</v>
      </c>
      <c r="L72" s="42" t="s">
        <v>1028</v>
      </c>
      <c r="M72" s="42" t="s">
        <v>1029</v>
      </c>
      <c r="N72" s="42" t="s">
        <v>1030</v>
      </c>
      <c r="O72" s="42" t="s">
        <v>1031</v>
      </c>
      <c r="P72" s="42" t="s">
        <v>1032</v>
      </c>
      <c r="Q72" s="42" t="s">
        <v>1033</v>
      </c>
      <c r="R72" s="42" t="s">
        <v>1034</v>
      </c>
      <c r="T72" s="108" t="s">
        <v>1199</v>
      </c>
      <c r="U72" s="257" t="s">
        <v>1019</v>
      </c>
      <c r="V72" s="257" t="s">
        <v>1020</v>
      </c>
      <c r="W72" s="257" t="s">
        <v>1021</v>
      </c>
      <c r="X72" s="257" t="s">
        <v>1022</v>
      </c>
      <c r="Y72" s="257" t="s">
        <v>1023</v>
      </c>
      <c r="Z72" s="257" t="s">
        <v>1024</v>
      </c>
      <c r="AA72" s="257" t="s">
        <v>1025</v>
      </c>
      <c r="AB72" s="257" t="s">
        <v>1026</v>
      </c>
      <c r="AC72" s="257" t="s">
        <v>1027</v>
      </c>
      <c r="AD72" s="257" t="s">
        <v>1028</v>
      </c>
      <c r="AE72" s="257" t="s">
        <v>1029</v>
      </c>
      <c r="AF72" s="257" t="s">
        <v>1030</v>
      </c>
      <c r="AG72" s="257" t="s">
        <v>1031</v>
      </c>
      <c r="AH72" s="257" t="s">
        <v>1032</v>
      </c>
      <c r="AI72" s="257" t="s">
        <v>1033</v>
      </c>
      <c r="AJ72" s="257" t="s">
        <v>1034</v>
      </c>
    </row>
    <row r="73" spans="2:36" x14ac:dyDescent="0.15">
      <c r="B73" s="109" t="s">
        <v>1037</v>
      </c>
      <c r="C73" s="107">
        <f>SUMIFS('caseload data'!E:E,'caseload data'!$D:$D,"PO",'caseload data'!$C:$C,'divisional &amp; regional caseload'!$B$71)</f>
        <v>0</v>
      </c>
      <c r="D73" s="107">
        <f>SUMIFS('caseload data'!F:F,'caseload data'!$D:$D,"PO",'caseload data'!$C:$C,'divisional &amp; regional caseload'!$B$71)</f>
        <v>0</v>
      </c>
      <c r="E73" s="107">
        <f>SUMIFS('caseload data'!G:G,'caseload data'!$D:$D,"PO",'caseload data'!$C:$C,'divisional &amp; regional caseload'!$B$71)</f>
        <v>0</v>
      </c>
      <c r="F73" s="107">
        <f>SUMIFS('caseload data'!H:H,'caseload data'!$D:$D,"PO",'caseload data'!$C:$C,'divisional &amp; regional caseload'!$B$71)</f>
        <v>0</v>
      </c>
      <c r="G73" s="107">
        <f>SUMIFS('caseload data'!I:I,'caseload data'!$D:$D,"PO",'caseload data'!$C:$C,'divisional &amp; regional caseload'!$B$71)</f>
        <v>0</v>
      </c>
      <c r="H73" s="107">
        <f>SUMIFS('caseload data'!J:J,'caseload data'!$D:$D,"PO",'caseload data'!$C:$C,'divisional &amp; regional caseload'!$B$71)</f>
        <v>0</v>
      </c>
      <c r="I73" s="107">
        <f>SUMIFS('caseload data'!K:K,'caseload data'!$D:$D,"PO",'caseload data'!$C:$C,'divisional &amp; regional caseload'!$B$71)</f>
        <v>0</v>
      </c>
      <c r="J73" s="107">
        <f>SUMIFS('caseload data'!L:L,'caseload data'!$D:$D,"PO",'caseload data'!$C:$C,'divisional &amp; regional caseload'!$B$71)</f>
        <v>0</v>
      </c>
      <c r="K73" s="107">
        <f>SUMIFS('caseload data'!M:M,'caseload data'!$D:$D,"PO",'caseload data'!$C:$C,'divisional &amp; regional caseload'!$B$71)</f>
        <v>0</v>
      </c>
      <c r="L73" s="107">
        <f>SUMIFS('caseload data'!N:N,'caseload data'!$D:$D,"PO",'caseload data'!$C:$C,'divisional &amp; regional caseload'!$B$71)</f>
        <v>0</v>
      </c>
      <c r="M73" s="107">
        <f>SUMIFS('caseload data'!O:O,'caseload data'!$D:$D,"PO",'caseload data'!$C:$C,'divisional &amp; regional caseload'!$B$71)</f>
        <v>0</v>
      </c>
      <c r="N73" s="107">
        <f>SUMIFS('caseload data'!P:P,'caseload data'!$D:$D,"PO",'caseload data'!$C:$C,'divisional &amp; regional caseload'!$B$71)</f>
        <v>0</v>
      </c>
      <c r="O73" s="107">
        <f>SUMIFS('caseload data'!Q:Q,'caseload data'!$D:$D,"PO",'caseload data'!$C:$C,'divisional &amp; regional caseload'!$B$71)</f>
        <v>0</v>
      </c>
      <c r="P73" s="107">
        <f>SUMIFS('caseload data'!R:R,'caseload data'!$D:$D,"PO",'caseload data'!$C:$C,'divisional &amp; regional caseload'!$B$71)</f>
        <v>0</v>
      </c>
      <c r="Q73" s="107">
        <f>SUMIFS('caseload data'!S:S,'caseload data'!$D:$D,"PO",'caseload data'!$C:$C,'divisional &amp; regional caseload'!$B$71)</f>
        <v>0</v>
      </c>
      <c r="R73" s="107">
        <f>SUMIFS('caseload data'!T:T,'caseload data'!$D:$D,"PO",'caseload data'!$C:$C,'divisional &amp; regional caseload'!$B$71)</f>
        <v>0</v>
      </c>
      <c r="T73" s="109" t="s">
        <v>1037</v>
      </c>
      <c r="U73" s="107">
        <f>SUMIFS('caseload data'!E:E,'caseload data'!$D:$D,"PO",'caseload data'!$C:$C,'divisional &amp; regional caseload'!$T$71)</f>
        <v>0</v>
      </c>
      <c r="V73" s="107">
        <f>SUMIFS('caseload data'!F:F,'caseload data'!$D:$D,"PO",'caseload data'!$C:$C,'divisional &amp; regional caseload'!$T$71)</f>
        <v>0</v>
      </c>
      <c r="W73" s="107">
        <f>SUMIFS('caseload data'!G:G,'caseload data'!$D:$D,"PO",'caseload data'!$C:$C,'divisional &amp; regional caseload'!$T$71)</f>
        <v>0</v>
      </c>
      <c r="X73" s="107">
        <f>SUMIFS('caseload data'!H:H,'caseload data'!$D:$D,"PO",'caseload data'!$C:$C,'divisional &amp; regional caseload'!$T$71)</f>
        <v>0</v>
      </c>
      <c r="Y73" s="107">
        <f>SUMIFS('caseload data'!I:I,'caseload data'!$D:$D,"PO",'caseload data'!$C:$C,'divisional &amp; regional caseload'!$T$71)</f>
        <v>0</v>
      </c>
      <c r="Z73" s="107">
        <f>SUMIFS('caseload data'!J:J,'caseload data'!$D:$D,"PO",'caseload data'!$C:$C,'divisional &amp; regional caseload'!$T$71)</f>
        <v>0</v>
      </c>
      <c r="AA73" s="107">
        <f>SUMIFS('caseload data'!K:K,'caseload data'!$D:$D,"PO",'caseload data'!$C:$C,'divisional &amp; regional caseload'!$T$71)</f>
        <v>0</v>
      </c>
      <c r="AB73" s="107">
        <f>SUMIFS('caseload data'!L:L,'caseload data'!$D:$D,"PO",'caseload data'!$C:$C,'divisional &amp; regional caseload'!$T$71)</f>
        <v>0</v>
      </c>
      <c r="AC73" s="107">
        <f>SUMIFS('caseload data'!M:M,'caseload data'!$D:$D,"PO",'caseload data'!$C:$C,'divisional &amp; regional caseload'!$T$71)</f>
        <v>0</v>
      </c>
      <c r="AD73" s="107">
        <f>SUMIFS('caseload data'!N:N,'caseload data'!$D:$D,"PO",'caseload data'!$C:$C,'divisional &amp; regional caseload'!$T$71)</f>
        <v>0</v>
      </c>
      <c r="AE73" s="107">
        <f>SUMIFS('caseload data'!O:O,'caseload data'!$D:$D,"PO",'caseload data'!$C:$C,'divisional &amp; regional caseload'!$T$71)</f>
        <v>0</v>
      </c>
      <c r="AF73" s="107">
        <f>SUMIFS('caseload data'!P:P,'caseload data'!$D:$D,"PO",'caseload data'!$C:$C,'divisional &amp; regional caseload'!$T$71)</f>
        <v>0</v>
      </c>
      <c r="AG73" s="107">
        <f>SUMIFS('caseload data'!Q:Q,'caseload data'!$D:$D,"PO",'caseload data'!$C:$C,'divisional &amp; regional caseload'!$T$71)</f>
        <v>0</v>
      </c>
      <c r="AH73" s="107">
        <f>SUMIFS('caseload data'!R:R,'caseload data'!$D:$D,"PO",'caseload data'!$C:$C,'divisional &amp; regional caseload'!$T$71)</f>
        <v>0</v>
      </c>
      <c r="AI73" s="107">
        <f>SUMIFS('caseload data'!S:S,'caseload data'!$D:$D,"PO",'caseload data'!$C:$C,'divisional &amp; regional caseload'!$T$71)</f>
        <v>0</v>
      </c>
      <c r="AJ73" s="107">
        <f>SUMIFS('caseload data'!T:T,'caseload data'!$D:$D,"PO",'caseload data'!$C:$C,'divisional &amp; regional caseload'!$T$71)</f>
        <v>0</v>
      </c>
    </row>
    <row r="74" spans="2:36" x14ac:dyDescent="0.15">
      <c r="B74" s="110" t="s">
        <v>1038</v>
      </c>
      <c r="C74" s="107">
        <f>SUMIFS('caseload data'!E:E,'caseload data'!$D:$D,"PSO",'caseload data'!$C:$C,'divisional &amp; regional caseload'!$B$71)</f>
        <v>0</v>
      </c>
      <c r="D74" s="107">
        <f>SUMIFS('caseload data'!F:F,'caseload data'!$D:$D,"PSO",'caseload data'!$C:$C,'divisional &amp; regional caseload'!$B$71)</f>
        <v>0</v>
      </c>
      <c r="E74" s="107">
        <f>SUMIFS('caseload data'!G:G,'caseload data'!$D:$D,"PSO",'caseload data'!$C:$C,'divisional &amp; regional caseload'!$B$71)</f>
        <v>0</v>
      </c>
      <c r="F74" s="107">
        <f>SUMIFS('caseload data'!H:H,'caseload data'!$D:$D,"PSO",'caseload data'!$C:$C,'divisional &amp; regional caseload'!$B$71)</f>
        <v>0</v>
      </c>
      <c r="G74" s="107">
        <f>SUMIFS('caseload data'!I:I,'caseload data'!$D:$D,"PSO",'caseload data'!$C:$C,'divisional &amp; regional caseload'!$B$71)</f>
        <v>0</v>
      </c>
      <c r="H74" s="107">
        <f>SUMIFS('caseload data'!J:J,'caseload data'!$D:$D,"PSO",'caseload data'!$C:$C,'divisional &amp; regional caseload'!$B$71)</f>
        <v>0</v>
      </c>
      <c r="I74" s="107">
        <f>SUMIFS('caseload data'!K:K,'caseload data'!$D:$D,"PSO",'caseload data'!$C:$C,'divisional &amp; regional caseload'!$B$71)</f>
        <v>0</v>
      </c>
      <c r="J74" s="107">
        <f>SUMIFS('caseload data'!L:L,'caseload data'!$D:$D,"PSO",'caseload data'!$C:$C,'divisional &amp; regional caseload'!$B$71)</f>
        <v>0</v>
      </c>
      <c r="K74" s="107">
        <f>SUMIFS('caseload data'!M:M,'caseload data'!$D:$D,"PSO",'caseload data'!$C:$C,'divisional &amp; regional caseload'!$B$71)</f>
        <v>0</v>
      </c>
      <c r="L74" s="107">
        <f>SUMIFS('caseload data'!N:N,'caseload data'!$D:$D,"PSO",'caseload data'!$C:$C,'divisional &amp; regional caseload'!$B$71)</f>
        <v>0</v>
      </c>
      <c r="M74" s="107">
        <f>SUMIFS('caseload data'!O:O,'caseload data'!$D:$D,"PSO",'caseload data'!$C:$C,'divisional &amp; regional caseload'!$B$71)</f>
        <v>0</v>
      </c>
      <c r="N74" s="107">
        <f>SUMIFS('caseload data'!P:P,'caseload data'!$D:$D,"PSO",'caseload data'!$C:$C,'divisional &amp; regional caseload'!$B$71)</f>
        <v>0</v>
      </c>
      <c r="O74" s="107">
        <f>SUMIFS('caseload data'!Q:Q,'caseload data'!$D:$D,"PSO",'caseload data'!$C:$C,'divisional &amp; regional caseload'!$B$71)</f>
        <v>0</v>
      </c>
      <c r="P74" s="107">
        <f>SUMIFS('caseload data'!R:R,'caseload data'!$D:$D,"PSO",'caseload data'!$C:$C,'divisional &amp; regional caseload'!$B$71)</f>
        <v>0</v>
      </c>
      <c r="Q74" s="107">
        <f>SUMIFS('caseload data'!S:S,'caseload data'!$D:$D,"PSO",'caseload data'!$C:$C,'divisional &amp; regional caseload'!$B$71)</f>
        <v>0</v>
      </c>
      <c r="R74" s="107">
        <f>SUMIFS('caseload data'!T:T,'caseload data'!$D:$D,"PSO",'caseload data'!$C:$C,'divisional &amp; regional caseload'!$B$71)</f>
        <v>0</v>
      </c>
      <c r="T74" s="110" t="s">
        <v>1038</v>
      </c>
      <c r="U74" s="107">
        <f>SUMIFS('caseload data'!E:E,'caseload data'!$D:$D,"PSO",'caseload data'!$C:$C,'divisional &amp; regional caseload'!$T$71)</f>
        <v>0</v>
      </c>
      <c r="V74" s="107">
        <f>SUMIFS('caseload data'!F:F,'caseload data'!$D:$D,"PSO",'caseload data'!$C:$C,'divisional &amp; regional caseload'!$T$71)</f>
        <v>0</v>
      </c>
      <c r="W74" s="107">
        <f>SUMIFS('caseload data'!G:G,'caseload data'!$D:$D,"PSO",'caseload data'!$C:$C,'divisional &amp; regional caseload'!$T$71)</f>
        <v>0</v>
      </c>
      <c r="X74" s="107">
        <f>SUMIFS('caseload data'!H:H,'caseload data'!$D:$D,"PSO",'caseload data'!$C:$C,'divisional &amp; regional caseload'!$T$71)</f>
        <v>0</v>
      </c>
      <c r="Y74" s="107">
        <f>SUMIFS('caseload data'!I:I,'caseload data'!$D:$D,"PSO",'caseload data'!$C:$C,'divisional &amp; regional caseload'!$T$71)</f>
        <v>0</v>
      </c>
      <c r="Z74" s="107">
        <f>SUMIFS('caseload data'!J:J,'caseload data'!$D:$D,"PSO",'caseload data'!$C:$C,'divisional &amp; regional caseload'!$T$71)</f>
        <v>0</v>
      </c>
      <c r="AA74" s="107">
        <f>SUMIFS('caseload data'!K:K,'caseload data'!$D:$D,"PSO",'caseload data'!$C:$C,'divisional &amp; regional caseload'!$T$71)</f>
        <v>0</v>
      </c>
      <c r="AB74" s="107">
        <f>SUMIFS('caseload data'!L:L,'caseload data'!$D:$D,"PSO",'caseload data'!$C:$C,'divisional &amp; regional caseload'!$T$71)</f>
        <v>0</v>
      </c>
      <c r="AC74" s="107">
        <f>SUMIFS('caseload data'!M:M,'caseload data'!$D:$D,"PSO",'caseload data'!$C:$C,'divisional &amp; regional caseload'!$T$71)</f>
        <v>0</v>
      </c>
      <c r="AD74" s="107">
        <f>SUMIFS('caseload data'!N:N,'caseload data'!$D:$D,"PSO",'caseload data'!$C:$C,'divisional &amp; regional caseload'!$T$71)</f>
        <v>0</v>
      </c>
      <c r="AE74" s="107">
        <f>SUMIFS('caseload data'!O:O,'caseload data'!$D:$D,"PSO",'caseload data'!$C:$C,'divisional &amp; regional caseload'!$T$71)</f>
        <v>0</v>
      </c>
      <c r="AF74" s="107">
        <f>SUMIFS('caseload data'!P:P,'caseload data'!$D:$D,"PSO",'caseload data'!$C:$C,'divisional &amp; regional caseload'!$T$71)</f>
        <v>0</v>
      </c>
      <c r="AG74" s="107">
        <f>SUMIFS('caseload data'!Q:Q,'caseload data'!$D:$D,"PSO",'caseload data'!$C:$C,'divisional &amp; regional caseload'!$T$71)</f>
        <v>0</v>
      </c>
      <c r="AH74" s="107">
        <f>SUMIFS('caseload data'!R:R,'caseload data'!$D:$D,"PSO",'caseload data'!$C:$C,'divisional &amp; regional caseload'!$T$71)</f>
        <v>0</v>
      </c>
      <c r="AI74" s="107">
        <f>SUMIFS('caseload data'!S:S,'caseload data'!$D:$D,"PSO",'caseload data'!$C:$C,'divisional &amp; regional caseload'!$T$71)</f>
        <v>0</v>
      </c>
      <c r="AJ74" s="107">
        <f>SUMIFS('caseload data'!T:T,'caseload data'!$D:$D,"PSO",'caseload data'!$C:$C,'divisional &amp; regional caseload'!$T$71)</f>
        <v>0</v>
      </c>
    </row>
    <row r="75" spans="2:36" x14ac:dyDescent="0.15">
      <c r="B75" s="110" t="s">
        <v>1039</v>
      </c>
      <c r="C75" s="107">
        <f>SUMIFS('caseload data'!E:E,'caseload data'!$D:$D,"TPO",'caseload data'!$C:$C,'divisional &amp; regional caseload'!$B$71)</f>
        <v>0</v>
      </c>
      <c r="D75" s="107">
        <f>SUMIFS('caseload data'!F:F,'caseload data'!$D:$D,"TPO",'caseload data'!$C:$C,'divisional &amp; regional caseload'!$B$71)</f>
        <v>0</v>
      </c>
      <c r="E75" s="107">
        <f>SUMIFS('caseload data'!G:G,'caseload data'!$D:$D,"TPO",'caseload data'!$C:$C,'divisional &amp; regional caseload'!$B$71)</f>
        <v>0</v>
      </c>
      <c r="F75" s="107">
        <f>SUMIFS('caseload data'!H:H,'caseload data'!$D:$D,"TPO",'caseload data'!$C:$C,'divisional &amp; regional caseload'!$B$71)</f>
        <v>0</v>
      </c>
      <c r="G75" s="107">
        <f>SUMIFS('caseload data'!I:I,'caseload data'!$D:$D,"TPO",'caseload data'!$C:$C,'divisional &amp; regional caseload'!$B$71)</f>
        <v>0</v>
      </c>
      <c r="H75" s="107">
        <f>SUMIFS('caseload data'!J:J,'caseload data'!$D:$D,"TPO",'caseload data'!$C:$C,'divisional &amp; regional caseload'!$B$71)</f>
        <v>0</v>
      </c>
      <c r="I75" s="107">
        <f>SUMIFS('caseload data'!K:K,'caseload data'!$D:$D,"TPO",'caseload data'!$C:$C,'divisional &amp; regional caseload'!$B$71)</f>
        <v>0</v>
      </c>
      <c r="J75" s="107">
        <f>SUMIFS('caseload data'!L:L,'caseload data'!$D:$D,"TPO",'caseload data'!$C:$C,'divisional &amp; regional caseload'!$B$71)</f>
        <v>0</v>
      </c>
      <c r="K75" s="107">
        <f>SUMIFS('caseload data'!M:M,'caseload data'!$D:$D,"TPO",'caseload data'!$C:$C,'divisional &amp; regional caseload'!$B$71)</f>
        <v>0</v>
      </c>
      <c r="L75" s="107">
        <f>SUMIFS('caseload data'!N:N,'caseload data'!$D:$D,"TPO",'caseload data'!$C:$C,'divisional &amp; regional caseload'!$B$71)</f>
        <v>0</v>
      </c>
      <c r="M75" s="107">
        <f>SUMIFS('caseload data'!O:O,'caseload data'!$D:$D,"TPO",'caseload data'!$C:$C,'divisional &amp; regional caseload'!$B$71)</f>
        <v>0</v>
      </c>
      <c r="N75" s="107">
        <f>SUMIFS('caseload data'!P:P,'caseload data'!$D:$D,"TPO",'caseload data'!$C:$C,'divisional &amp; regional caseload'!$B$71)</f>
        <v>0</v>
      </c>
      <c r="O75" s="107">
        <f>SUMIFS('caseload data'!Q:Q,'caseload data'!$D:$D,"TPO",'caseload data'!$C:$C,'divisional &amp; regional caseload'!$B$71)</f>
        <v>0</v>
      </c>
      <c r="P75" s="107">
        <f>SUMIFS('caseload data'!R:R,'caseload data'!$D:$D,"TPO",'caseload data'!$C:$C,'divisional &amp; regional caseload'!$B$71)</f>
        <v>0</v>
      </c>
      <c r="Q75" s="107">
        <f>SUMIFS('caseload data'!S:S,'caseload data'!$D:$D,"TPO",'caseload data'!$C:$C,'divisional &amp; regional caseload'!$B$71)</f>
        <v>0</v>
      </c>
      <c r="R75" s="107">
        <f>SUMIFS('caseload data'!T:T,'caseload data'!$D:$D,"TPO",'caseload data'!$C:$C,'divisional &amp; regional caseload'!$B$71)</f>
        <v>0</v>
      </c>
      <c r="T75" s="110" t="s">
        <v>1039</v>
      </c>
      <c r="U75" s="107">
        <f>SUMIFS('caseload data'!E:E,'caseload data'!$D:$D,"TPO",'caseload data'!$C:$C,'divisional &amp; regional caseload'!$T$71)</f>
        <v>0</v>
      </c>
      <c r="V75" s="107">
        <f>SUMIFS('caseload data'!F:F,'caseload data'!$D:$D,"TPO",'caseload data'!$C:$C,'divisional &amp; regional caseload'!$T$71)</f>
        <v>0</v>
      </c>
      <c r="W75" s="107">
        <f>SUMIFS('caseload data'!G:G,'caseload data'!$D:$D,"TPO",'caseload data'!$C:$C,'divisional &amp; regional caseload'!$T$71)</f>
        <v>0</v>
      </c>
      <c r="X75" s="107">
        <f>SUMIFS('caseload data'!H:H,'caseload data'!$D:$D,"TPO",'caseload data'!$C:$C,'divisional &amp; regional caseload'!$T$71)</f>
        <v>0</v>
      </c>
      <c r="Y75" s="107">
        <f>SUMIFS('caseload data'!I:I,'caseload data'!$D:$D,"TPO",'caseload data'!$C:$C,'divisional &amp; regional caseload'!$T$71)</f>
        <v>0</v>
      </c>
      <c r="Z75" s="107">
        <f>SUMIFS('caseload data'!J:J,'caseload data'!$D:$D,"TPO",'caseload data'!$C:$C,'divisional &amp; regional caseload'!$T$71)</f>
        <v>0</v>
      </c>
      <c r="AA75" s="107">
        <f>SUMIFS('caseload data'!K:K,'caseload data'!$D:$D,"TPO",'caseload data'!$C:$C,'divisional &amp; regional caseload'!$T$71)</f>
        <v>0</v>
      </c>
      <c r="AB75" s="107">
        <f>SUMIFS('caseload data'!L:L,'caseload data'!$D:$D,"TPO",'caseload data'!$C:$C,'divisional &amp; regional caseload'!$T$71)</f>
        <v>0</v>
      </c>
      <c r="AC75" s="107">
        <f>SUMIFS('caseload data'!M:M,'caseload data'!$D:$D,"TPO",'caseload data'!$C:$C,'divisional &amp; regional caseload'!$T$71)</f>
        <v>0</v>
      </c>
      <c r="AD75" s="107">
        <f>SUMIFS('caseload data'!N:N,'caseload data'!$D:$D,"TPO",'caseload data'!$C:$C,'divisional &amp; regional caseload'!$T$71)</f>
        <v>0</v>
      </c>
      <c r="AE75" s="107">
        <f>SUMIFS('caseload data'!O:O,'caseload data'!$D:$D,"TPO",'caseload data'!$C:$C,'divisional &amp; regional caseload'!$T$71)</f>
        <v>0</v>
      </c>
      <c r="AF75" s="107">
        <f>SUMIFS('caseload data'!P:P,'caseload data'!$D:$D,"TPO",'caseload data'!$C:$C,'divisional &amp; regional caseload'!$T$71)</f>
        <v>0</v>
      </c>
      <c r="AG75" s="107">
        <f>SUMIFS('caseload data'!Q:Q,'caseload data'!$D:$D,"TPO",'caseload data'!$C:$C,'divisional &amp; regional caseload'!$T$71)</f>
        <v>0</v>
      </c>
      <c r="AH75" s="107">
        <f>SUMIFS('caseload data'!R:R,'caseload data'!$D:$D,"TPO",'caseload data'!$C:$C,'divisional &amp; regional caseload'!$T$71)</f>
        <v>0</v>
      </c>
      <c r="AI75" s="107">
        <f>SUMIFS('caseload data'!S:S,'caseload data'!$D:$D,"TPO",'caseload data'!$C:$C,'divisional &amp; regional caseload'!$T$71)</f>
        <v>0</v>
      </c>
      <c r="AJ75" s="107">
        <f>SUMIFS('caseload data'!T:T,'caseload data'!$D:$D,"TPO",'caseload data'!$C:$C,'divisional &amp; regional caseload'!$T$71)</f>
        <v>0</v>
      </c>
    </row>
    <row r="76" spans="2:36" x14ac:dyDescent="0.15">
      <c r="B76" s="111" t="s">
        <v>1040</v>
      </c>
      <c r="C76" s="107">
        <f>SUMIFS('caseload data'!E:E,'caseload data'!$D:$D,"SPO",'caseload data'!$C:$C,'divisional &amp; regional caseload'!$B$71)</f>
        <v>0</v>
      </c>
      <c r="D76" s="107">
        <f>SUMIFS('caseload data'!F:F,'caseload data'!$D:$D,"SPO",'caseload data'!$C:$C,'divisional &amp; regional caseload'!$B$71)</f>
        <v>0</v>
      </c>
      <c r="E76" s="107">
        <f>SUMIFS('caseload data'!G:G,'caseload data'!$D:$D,"SPO",'caseload data'!$C:$C,'divisional &amp; regional caseload'!$B$71)</f>
        <v>0</v>
      </c>
      <c r="F76" s="107">
        <f>SUMIFS('caseload data'!H:H,'caseload data'!$D:$D,"SPO",'caseload data'!$C:$C,'divisional &amp; regional caseload'!$B$71)</f>
        <v>0</v>
      </c>
      <c r="G76" s="107">
        <f>SUMIFS('caseload data'!I:I,'caseload data'!$D:$D,"SPO",'caseload data'!$C:$C,'divisional &amp; regional caseload'!$B$71)</f>
        <v>0</v>
      </c>
      <c r="H76" s="107">
        <f>SUMIFS('caseload data'!J:J,'caseload data'!$D:$D,"SPO",'caseload data'!$C:$C,'divisional &amp; regional caseload'!$B$71)</f>
        <v>0</v>
      </c>
      <c r="I76" s="107">
        <f>SUMIFS('caseload data'!K:K,'caseload data'!$D:$D,"SPO",'caseload data'!$C:$C,'divisional &amp; regional caseload'!$B$71)</f>
        <v>0</v>
      </c>
      <c r="J76" s="107">
        <f>SUMIFS('caseload data'!L:L,'caseload data'!$D:$D,"SPO",'caseload data'!$C:$C,'divisional &amp; regional caseload'!$B$71)</f>
        <v>0</v>
      </c>
      <c r="K76" s="107">
        <f>SUMIFS('caseload data'!M:M,'caseload data'!$D:$D,"SPO",'caseload data'!$C:$C,'divisional &amp; regional caseload'!$B$71)</f>
        <v>0</v>
      </c>
      <c r="L76" s="107">
        <f>SUMIFS('caseload data'!N:N,'caseload data'!$D:$D,"SPO",'caseload data'!$C:$C,'divisional &amp; regional caseload'!$B$71)</f>
        <v>0</v>
      </c>
      <c r="M76" s="107">
        <f>SUMIFS('caseload data'!O:O,'caseload data'!$D:$D,"SPO",'caseload data'!$C:$C,'divisional &amp; regional caseload'!$B$71)</f>
        <v>0</v>
      </c>
      <c r="N76" s="107">
        <f>SUMIFS('caseload data'!P:P,'caseload data'!$D:$D,"SPO",'caseload data'!$C:$C,'divisional &amp; regional caseload'!$B$71)</f>
        <v>0</v>
      </c>
      <c r="O76" s="107">
        <f>SUMIFS('caseload data'!Q:Q,'caseload data'!$D:$D,"SPO",'caseload data'!$C:$C,'divisional &amp; regional caseload'!$B$71)</f>
        <v>0</v>
      </c>
      <c r="P76" s="107">
        <f>SUMIFS('caseload data'!R:R,'caseload data'!$D:$D,"SPO",'caseload data'!$C:$C,'divisional &amp; regional caseload'!$B$71)</f>
        <v>0</v>
      </c>
      <c r="Q76" s="107">
        <f>SUMIFS('caseload data'!S:S,'caseload data'!$D:$D,"SPO",'caseload data'!$C:$C,'divisional &amp; regional caseload'!$B$71)</f>
        <v>0</v>
      </c>
      <c r="R76" s="107">
        <f>SUMIFS('caseload data'!T:T,'caseload data'!$D:$D,"SPO",'caseload data'!$C:$C,'divisional &amp; regional caseload'!$B$71)</f>
        <v>0</v>
      </c>
      <c r="T76" s="111" t="s">
        <v>1040</v>
      </c>
      <c r="U76" s="107">
        <f>SUMIFS('caseload data'!E:E,'caseload data'!$D:$D,"SPO",'caseload data'!$C:$C,'divisional &amp; regional caseload'!$T$71)</f>
        <v>0</v>
      </c>
      <c r="V76" s="107">
        <f>SUMIFS('caseload data'!F:F,'caseload data'!$D:$D,"SPO",'caseload data'!$C:$C,'divisional &amp; regional caseload'!$T$71)</f>
        <v>0</v>
      </c>
      <c r="W76" s="107">
        <f>SUMIFS('caseload data'!G:G,'caseload data'!$D:$D,"SPO",'caseload data'!$C:$C,'divisional &amp; regional caseload'!$T$71)</f>
        <v>0</v>
      </c>
      <c r="X76" s="107">
        <f>SUMIFS('caseload data'!H:H,'caseload data'!$D:$D,"SPO",'caseload data'!$C:$C,'divisional &amp; regional caseload'!$T$71)</f>
        <v>0</v>
      </c>
      <c r="Y76" s="107">
        <f>SUMIFS('caseload data'!I:I,'caseload data'!$D:$D,"SPO",'caseload data'!$C:$C,'divisional &amp; regional caseload'!$T$71)</f>
        <v>0</v>
      </c>
      <c r="Z76" s="107">
        <f>SUMIFS('caseload data'!J:J,'caseload data'!$D:$D,"SPO",'caseload data'!$C:$C,'divisional &amp; regional caseload'!$T$71)</f>
        <v>0</v>
      </c>
      <c r="AA76" s="107">
        <f>SUMIFS('caseload data'!K:K,'caseload data'!$D:$D,"SPO",'caseload data'!$C:$C,'divisional &amp; regional caseload'!$T$71)</f>
        <v>0</v>
      </c>
      <c r="AB76" s="107">
        <f>SUMIFS('caseload data'!L:L,'caseload data'!$D:$D,"SPO",'caseload data'!$C:$C,'divisional &amp; regional caseload'!$T$71)</f>
        <v>0</v>
      </c>
      <c r="AC76" s="107">
        <f>SUMIFS('caseload data'!M:M,'caseload data'!$D:$D,"SPO",'caseload data'!$C:$C,'divisional &amp; regional caseload'!$T$71)</f>
        <v>0</v>
      </c>
      <c r="AD76" s="107">
        <f>SUMIFS('caseload data'!N:N,'caseload data'!$D:$D,"SPO",'caseload data'!$C:$C,'divisional &amp; regional caseload'!$T$71)</f>
        <v>0</v>
      </c>
      <c r="AE76" s="107">
        <f>SUMIFS('caseload data'!O:O,'caseload data'!$D:$D,"SPO",'caseload data'!$C:$C,'divisional &amp; regional caseload'!$T$71)</f>
        <v>0</v>
      </c>
      <c r="AF76" s="107">
        <f>SUMIFS('caseload data'!P:P,'caseload data'!$D:$D,"SPO",'caseload data'!$C:$C,'divisional &amp; regional caseload'!$T$71)</f>
        <v>0</v>
      </c>
      <c r="AG76" s="107">
        <f>SUMIFS('caseload data'!Q:Q,'caseload data'!$D:$D,"SPO",'caseload data'!$C:$C,'divisional &amp; regional caseload'!$T$71)</f>
        <v>0</v>
      </c>
      <c r="AH76" s="107">
        <f>SUMIFS('caseload data'!R:R,'caseload data'!$D:$D,"SPO",'caseload data'!$C:$C,'divisional &amp; regional caseload'!$T$71)</f>
        <v>0</v>
      </c>
      <c r="AI76" s="107">
        <f>SUMIFS('caseload data'!S:S,'caseload data'!$D:$D,"SPO",'caseload data'!$C:$C,'divisional &amp; regional caseload'!$T$71)</f>
        <v>0</v>
      </c>
      <c r="AJ76" s="107">
        <f>SUMIFS('caseload data'!T:T,'caseload data'!$D:$D,"SPO",'caseload data'!$C:$C,'divisional &amp; regional caseload'!$T$71)</f>
        <v>0</v>
      </c>
    </row>
    <row r="78" spans="2:36" x14ac:dyDescent="0.15">
      <c r="B78" s="162" t="str">
        <f>HLOOKUP($B$5,Region_Table,22,0)</f>
        <v>Public Protection Community - N07</v>
      </c>
      <c r="C78" s="333" t="s">
        <v>1257</v>
      </c>
      <c r="D78" s="334"/>
      <c r="E78" s="334"/>
      <c r="F78" s="334"/>
      <c r="G78" s="334"/>
      <c r="H78" s="334"/>
      <c r="I78" s="334"/>
      <c r="J78" s="334"/>
      <c r="K78" s="334"/>
      <c r="L78" s="334"/>
      <c r="M78" s="335"/>
      <c r="N78" s="335"/>
      <c r="O78" s="336"/>
      <c r="P78" s="337">
        <f>SUMIF('caseload data'!$C:$C,'divisional &amp; regional caseload'!B78,'caseload data'!V:V)</f>
        <v>0</v>
      </c>
      <c r="Q78" s="338"/>
      <c r="R78" s="339"/>
      <c r="T78" s="162" t="str">
        <f>HLOOKUP($B$5,Region_Table,23,0)</f>
        <v>Public Protection London</v>
      </c>
      <c r="U78" s="333" t="s">
        <v>1257</v>
      </c>
      <c r="V78" s="334"/>
      <c r="W78" s="334"/>
      <c r="X78" s="340"/>
      <c r="Y78" s="337">
        <f>SUMIF('caseload data'!$C:$C,'divisional &amp; regional caseload'!T78,'caseload data'!V:V)</f>
        <v>0</v>
      </c>
      <c r="Z78" s="341"/>
      <c r="AA78" s="342"/>
    </row>
    <row r="79" spans="2:36" x14ac:dyDescent="0.15">
      <c r="B79" s="108" t="s">
        <v>1199</v>
      </c>
      <c r="C79" s="257" t="s">
        <v>1019</v>
      </c>
      <c r="D79" s="257" t="s">
        <v>1020</v>
      </c>
      <c r="E79" s="257" t="s">
        <v>1021</v>
      </c>
      <c r="F79" s="257" t="s">
        <v>1022</v>
      </c>
      <c r="G79" s="257" t="s">
        <v>1023</v>
      </c>
      <c r="H79" s="257" t="s">
        <v>1024</v>
      </c>
      <c r="I79" s="257" t="s">
        <v>1025</v>
      </c>
      <c r="J79" s="257" t="s">
        <v>1026</v>
      </c>
      <c r="K79" s="257" t="s">
        <v>1027</v>
      </c>
      <c r="L79" s="257" t="s">
        <v>1028</v>
      </c>
      <c r="M79" s="257" t="s">
        <v>1029</v>
      </c>
      <c r="N79" s="257" t="s">
        <v>1030</v>
      </c>
      <c r="O79" s="257" t="s">
        <v>1031</v>
      </c>
      <c r="P79" s="257" t="s">
        <v>1032</v>
      </c>
      <c r="Q79" s="257" t="s">
        <v>1033</v>
      </c>
      <c r="R79" s="257" t="s">
        <v>1034</v>
      </c>
      <c r="T79" s="108" t="s">
        <v>1199</v>
      </c>
      <c r="U79" s="257" t="s">
        <v>1019</v>
      </c>
      <c r="V79" s="257" t="s">
        <v>1020</v>
      </c>
      <c r="W79" s="257" t="s">
        <v>1021</v>
      </c>
      <c r="X79" s="257" t="s">
        <v>1022</v>
      </c>
      <c r="Y79" s="257" t="s">
        <v>1023</v>
      </c>
      <c r="Z79" s="257" t="s">
        <v>1024</v>
      </c>
      <c r="AA79" s="257" t="s">
        <v>1025</v>
      </c>
      <c r="AB79" s="257" t="s">
        <v>1026</v>
      </c>
      <c r="AC79" s="257" t="s">
        <v>1027</v>
      </c>
      <c r="AD79" s="257" t="s">
        <v>1028</v>
      </c>
      <c r="AE79" s="257" t="s">
        <v>1029</v>
      </c>
      <c r="AF79" s="257" t="s">
        <v>1030</v>
      </c>
      <c r="AG79" s="257" t="s">
        <v>1031</v>
      </c>
      <c r="AH79" s="257" t="s">
        <v>1032</v>
      </c>
      <c r="AI79" s="257" t="s">
        <v>1033</v>
      </c>
      <c r="AJ79" s="257" t="s">
        <v>1034</v>
      </c>
    </row>
    <row r="80" spans="2:36" x14ac:dyDescent="0.15">
      <c r="B80" s="109" t="s">
        <v>1037</v>
      </c>
      <c r="C80" s="107">
        <f>SUMIFS('caseload data'!E:E,'caseload data'!$D:$D,"PO",'caseload data'!$C:$C,'divisional &amp; regional caseload'!$B$78)</f>
        <v>0</v>
      </c>
      <c r="D80" s="107">
        <f>SUMIFS('caseload data'!F:F,'caseload data'!$D:$D,"PO",'caseload data'!$C:$C,'divisional &amp; regional caseload'!$B$78)</f>
        <v>0</v>
      </c>
      <c r="E80" s="107">
        <f>SUMIFS('caseload data'!G:G,'caseload data'!$D:$D,"PO",'caseload data'!$C:$C,'divisional &amp; regional caseload'!$B$78)</f>
        <v>0</v>
      </c>
      <c r="F80" s="107">
        <f>SUMIFS('caseload data'!H:H,'caseload data'!$D:$D,"PO",'caseload data'!$C:$C,'divisional &amp; regional caseload'!$B$78)</f>
        <v>0</v>
      </c>
      <c r="G80" s="107">
        <f>SUMIFS('caseload data'!I:I,'caseload data'!$D:$D,"PO",'caseload data'!$C:$C,'divisional &amp; regional caseload'!$B$78)</f>
        <v>0</v>
      </c>
      <c r="H80" s="107">
        <f>SUMIFS('caseload data'!J:J,'caseload data'!$D:$D,"PO",'caseload data'!$C:$C,'divisional &amp; regional caseload'!$B$78)</f>
        <v>0</v>
      </c>
      <c r="I80" s="107">
        <f>SUMIFS('caseload data'!K:K,'caseload data'!$D:$D,"PO",'caseload data'!$C:$C,'divisional &amp; regional caseload'!$B$78)</f>
        <v>0</v>
      </c>
      <c r="J80" s="107">
        <f>SUMIFS('caseload data'!L:L,'caseload data'!$D:$D,"PO",'caseload data'!$C:$C,'divisional &amp; regional caseload'!$B$78)</f>
        <v>0</v>
      </c>
      <c r="K80" s="107">
        <f>SUMIFS('caseload data'!M:M,'caseload data'!$D:$D,"PO",'caseload data'!$C:$C,'divisional &amp; regional caseload'!$B$78)</f>
        <v>0</v>
      </c>
      <c r="L80" s="107">
        <f>SUMIFS('caseload data'!N:N,'caseload data'!$D:$D,"PO",'caseload data'!$C:$C,'divisional &amp; regional caseload'!$B$78)</f>
        <v>0</v>
      </c>
      <c r="M80" s="107">
        <f>SUMIFS('caseload data'!O:O,'caseload data'!$D:$D,"PO",'caseload data'!$C:$C,'divisional &amp; regional caseload'!$B$78)</f>
        <v>0</v>
      </c>
      <c r="N80" s="107">
        <f>SUMIFS('caseload data'!P:P,'caseload data'!$D:$D,"PO",'caseload data'!$C:$C,'divisional &amp; regional caseload'!$B$78)</f>
        <v>0</v>
      </c>
      <c r="O80" s="107">
        <f>SUMIFS('caseload data'!Q:Q,'caseload data'!$D:$D,"PO",'caseload data'!$C:$C,'divisional &amp; regional caseload'!$B$78)</f>
        <v>0</v>
      </c>
      <c r="P80" s="107">
        <f>SUMIFS('caseload data'!R:R,'caseload data'!$D:$D,"PO",'caseload data'!$C:$C,'divisional &amp; regional caseload'!$B$78)</f>
        <v>0</v>
      </c>
      <c r="Q80" s="107">
        <f>SUMIFS('caseload data'!S:S,'caseload data'!$D:$D,"PO",'caseload data'!$C:$C,'divisional &amp; regional caseload'!$B$78)</f>
        <v>0</v>
      </c>
      <c r="R80" s="107">
        <f>SUMIFS('caseload data'!T:T,'caseload data'!$D:$D,"PO",'caseload data'!$C:$C,'divisional &amp; regional caseload'!$B$78)</f>
        <v>0</v>
      </c>
      <c r="T80" s="109" t="s">
        <v>1037</v>
      </c>
      <c r="U80" s="107">
        <f>SUMIFS('caseload data'!E:E,'caseload data'!$D:$D,"PO",'caseload data'!$C:$C,'divisional &amp; regional caseload'!$T$64)</f>
        <v>0</v>
      </c>
      <c r="V80" s="107">
        <f>SUMIFS('caseload data'!F:F,'caseload data'!$D:$D,"PO",'caseload data'!$C:$C,'divisional &amp; regional caseload'!$T$64)</f>
        <v>0</v>
      </c>
      <c r="W80" s="107">
        <f>SUMIFS('caseload data'!G:G,'caseload data'!$D:$D,"PO",'caseload data'!$C:$C,'divisional &amp; regional caseload'!$T$64)</f>
        <v>0</v>
      </c>
      <c r="X80" s="107">
        <f>SUMIFS('caseload data'!H:H,'caseload data'!$D:$D,"PO",'caseload data'!$C:$C,'divisional &amp; regional caseload'!$T$64)</f>
        <v>0</v>
      </c>
      <c r="Y80" s="107">
        <f>SUMIFS('caseload data'!I:I,'caseload data'!$D:$D,"PO",'caseload data'!$C:$C,'divisional &amp; regional caseload'!$T$64)</f>
        <v>0</v>
      </c>
      <c r="Z80" s="107">
        <f>SUMIFS('caseload data'!J:J,'caseload data'!$D:$D,"PO",'caseload data'!$C:$C,'divisional &amp; regional caseload'!$T$64)</f>
        <v>0</v>
      </c>
      <c r="AA80" s="107">
        <f>SUMIFS('caseload data'!K:K,'caseload data'!$D:$D,"PO",'caseload data'!$C:$C,'divisional &amp; regional caseload'!$T$64)</f>
        <v>0</v>
      </c>
      <c r="AB80" s="107">
        <f>SUMIFS('caseload data'!L:L,'caseload data'!$D:$D,"PO",'caseload data'!$C:$C,'divisional &amp; regional caseload'!$T$64)</f>
        <v>0</v>
      </c>
      <c r="AC80" s="107">
        <f>SUMIFS('caseload data'!M:M,'caseload data'!$D:$D,"PO",'caseload data'!$C:$C,'divisional &amp; regional caseload'!$T$64)</f>
        <v>0</v>
      </c>
      <c r="AD80" s="107">
        <f>SUMIFS('caseload data'!N:N,'caseload data'!$D:$D,"PO",'caseload data'!$C:$C,'divisional &amp; regional caseload'!$T$64)</f>
        <v>0</v>
      </c>
      <c r="AE80" s="107">
        <f>SUMIFS('caseload data'!O:O,'caseload data'!$D:$D,"PO",'caseload data'!$C:$C,'divisional &amp; regional caseload'!$T$64)</f>
        <v>0</v>
      </c>
      <c r="AF80" s="107">
        <f>SUMIFS('caseload data'!P:P,'caseload data'!$D:$D,"PO",'caseload data'!$C:$C,'divisional &amp; regional caseload'!$T$64)</f>
        <v>0</v>
      </c>
      <c r="AG80" s="107">
        <f>SUMIFS('caseload data'!Q:Q,'caseload data'!$D:$D,"PO",'caseload data'!$C:$C,'divisional &amp; regional caseload'!$T$64)</f>
        <v>0</v>
      </c>
      <c r="AH80" s="107">
        <f>SUMIFS('caseload data'!R:R,'caseload data'!$D:$D,"PO",'caseload data'!$C:$C,'divisional &amp; regional caseload'!$T$64)</f>
        <v>0</v>
      </c>
      <c r="AI80" s="107">
        <f>SUMIFS('caseload data'!S:S,'caseload data'!$D:$D,"PO",'caseload data'!$C:$C,'divisional &amp; regional caseload'!$T$64)</f>
        <v>0</v>
      </c>
      <c r="AJ80" s="107">
        <f>SUMIFS('caseload data'!T:T,'caseload data'!$D:$D,"PO",'caseload data'!$C:$C,'divisional &amp; regional caseload'!$T$64)</f>
        <v>0</v>
      </c>
    </row>
    <row r="81" spans="2:36" x14ac:dyDescent="0.15">
      <c r="B81" s="110" t="s">
        <v>1038</v>
      </c>
      <c r="C81" s="107">
        <f>SUMIFS('caseload data'!E:E,'caseload data'!$D:$D,"PSO",'caseload data'!$C:$C,'divisional &amp; regional caseload'!$B$78)</f>
        <v>0</v>
      </c>
      <c r="D81" s="107">
        <f>SUMIFS('caseload data'!F:F,'caseload data'!$D:$D,"PSO",'caseload data'!$C:$C,'divisional &amp; regional caseload'!$B$78)</f>
        <v>0</v>
      </c>
      <c r="E81" s="107">
        <f>SUMIFS('caseload data'!G:G,'caseload data'!$D:$D,"PSO",'caseload data'!$C:$C,'divisional &amp; regional caseload'!$B$78)</f>
        <v>0</v>
      </c>
      <c r="F81" s="107">
        <f>SUMIFS('caseload data'!H:H,'caseload data'!$D:$D,"PSO",'caseload data'!$C:$C,'divisional &amp; regional caseload'!$B$78)</f>
        <v>0</v>
      </c>
      <c r="G81" s="107">
        <f>SUMIFS('caseload data'!I:I,'caseload data'!$D:$D,"PSO",'caseload data'!$C:$C,'divisional &amp; regional caseload'!$B$78)</f>
        <v>0</v>
      </c>
      <c r="H81" s="107">
        <f>SUMIFS('caseload data'!J:J,'caseload data'!$D:$D,"PSO",'caseload data'!$C:$C,'divisional &amp; regional caseload'!$B$78)</f>
        <v>0</v>
      </c>
      <c r="I81" s="107">
        <f>SUMIFS('caseload data'!K:K,'caseload data'!$D:$D,"PSO",'caseload data'!$C:$C,'divisional &amp; regional caseload'!$B$78)</f>
        <v>0</v>
      </c>
      <c r="J81" s="107">
        <f>SUMIFS('caseload data'!L:L,'caseload data'!$D:$D,"PSO",'caseload data'!$C:$C,'divisional &amp; regional caseload'!$B$78)</f>
        <v>0</v>
      </c>
      <c r="K81" s="107">
        <f>SUMIFS('caseload data'!M:M,'caseload data'!$D:$D,"PSO",'caseload data'!$C:$C,'divisional &amp; regional caseload'!$B$78)</f>
        <v>0</v>
      </c>
      <c r="L81" s="107">
        <f>SUMIFS('caseload data'!N:N,'caseload data'!$D:$D,"PSO",'caseload data'!$C:$C,'divisional &amp; regional caseload'!$B$78)</f>
        <v>0</v>
      </c>
      <c r="M81" s="107">
        <f>SUMIFS('caseload data'!O:O,'caseload data'!$D:$D,"PSO",'caseload data'!$C:$C,'divisional &amp; regional caseload'!$B$78)</f>
        <v>0</v>
      </c>
      <c r="N81" s="107">
        <f>SUMIFS('caseload data'!P:P,'caseload data'!$D:$D,"PSO",'caseload data'!$C:$C,'divisional &amp; regional caseload'!$B$78)</f>
        <v>0</v>
      </c>
      <c r="O81" s="107">
        <f>SUMIFS('caseload data'!Q:Q,'caseload data'!$D:$D,"PSO",'caseload data'!$C:$C,'divisional &amp; regional caseload'!$B$78)</f>
        <v>0</v>
      </c>
      <c r="P81" s="107">
        <f>SUMIFS('caseload data'!R:R,'caseload data'!$D:$D,"PSO",'caseload data'!$C:$C,'divisional &amp; regional caseload'!$B$78)</f>
        <v>0</v>
      </c>
      <c r="Q81" s="107">
        <f>SUMIFS('caseload data'!S:S,'caseload data'!$D:$D,"PSO",'caseload data'!$C:$C,'divisional &amp; regional caseload'!$B$78)</f>
        <v>0</v>
      </c>
      <c r="R81" s="107">
        <f>SUMIFS('caseload data'!T:T,'caseload data'!$D:$D,"PSO",'caseload data'!$C:$C,'divisional &amp; regional caseload'!$B$78)</f>
        <v>0</v>
      </c>
      <c r="T81" s="110" t="s">
        <v>1038</v>
      </c>
      <c r="U81" s="107">
        <f>SUMIFS('caseload data'!E:E,'caseload data'!$D:$D,"PSO",'caseload data'!$C:$C,'divisional &amp; regional caseload'!$T$64)</f>
        <v>0</v>
      </c>
      <c r="V81" s="107">
        <f>SUMIFS('caseload data'!F:F,'caseload data'!$D:$D,"PSO",'caseload data'!$C:$C,'divisional &amp; regional caseload'!$T$64)</f>
        <v>0</v>
      </c>
      <c r="W81" s="107">
        <f>SUMIFS('caseload data'!G:G,'caseload data'!$D:$D,"PSO",'caseload data'!$C:$C,'divisional &amp; regional caseload'!$T$64)</f>
        <v>0</v>
      </c>
      <c r="X81" s="107">
        <f>SUMIFS('caseload data'!H:H,'caseload data'!$D:$D,"PSO",'caseload data'!$C:$C,'divisional &amp; regional caseload'!$T$64)</f>
        <v>0</v>
      </c>
      <c r="Y81" s="107">
        <f>SUMIFS('caseload data'!I:I,'caseload data'!$D:$D,"PSO",'caseload data'!$C:$C,'divisional &amp; regional caseload'!$T$64)</f>
        <v>0</v>
      </c>
      <c r="Z81" s="107">
        <f>SUMIFS('caseload data'!J:J,'caseload data'!$D:$D,"PSO",'caseload data'!$C:$C,'divisional &amp; regional caseload'!$T$64)</f>
        <v>0</v>
      </c>
      <c r="AA81" s="107">
        <f>SUMIFS('caseload data'!K:K,'caseload data'!$D:$D,"PSO",'caseload data'!$C:$C,'divisional &amp; regional caseload'!$T$64)</f>
        <v>0</v>
      </c>
      <c r="AB81" s="107">
        <f>SUMIFS('caseload data'!L:L,'caseload data'!$D:$D,"PSO",'caseload data'!$C:$C,'divisional &amp; regional caseload'!$T$64)</f>
        <v>0</v>
      </c>
      <c r="AC81" s="107">
        <f>SUMIFS('caseload data'!M:M,'caseload data'!$D:$D,"PSO",'caseload data'!$C:$C,'divisional &amp; regional caseload'!$T$64)</f>
        <v>0</v>
      </c>
      <c r="AD81" s="107">
        <f>SUMIFS('caseload data'!N:N,'caseload data'!$D:$D,"PSO",'caseload data'!$C:$C,'divisional &amp; regional caseload'!$T$64)</f>
        <v>0</v>
      </c>
      <c r="AE81" s="107">
        <f>SUMIFS('caseload data'!O:O,'caseload data'!$D:$D,"PSO",'caseload data'!$C:$C,'divisional &amp; regional caseload'!$T$64)</f>
        <v>0</v>
      </c>
      <c r="AF81" s="107">
        <f>SUMIFS('caseload data'!P:P,'caseload data'!$D:$D,"PSO",'caseload data'!$C:$C,'divisional &amp; regional caseload'!$T$64)</f>
        <v>0</v>
      </c>
      <c r="AG81" s="107">
        <f>SUMIFS('caseload data'!Q:Q,'caseload data'!$D:$D,"PSO",'caseload data'!$C:$C,'divisional &amp; regional caseload'!$T$64)</f>
        <v>0</v>
      </c>
      <c r="AH81" s="107">
        <f>SUMIFS('caseload data'!R:R,'caseload data'!$D:$D,"PSO",'caseload data'!$C:$C,'divisional &amp; regional caseload'!$T$64)</f>
        <v>0</v>
      </c>
      <c r="AI81" s="107">
        <f>SUMIFS('caseload data'!S:S,'caseload data'!$D:$D,"PSO",'caseload data'!$C:$C,'divisional &amp; regional caseload'!$T$64)</f>
        <v>0</v>
      </c>
      <c r="AJ81" s="107">
        <f>SUMIFS('caseload data'!T:T,'caseload data'!$D:$D,"PSO",'caseload data'!$C:$C,'divisional &amp; regional caseload'!$T$64)</f>
        <v>0</v>
      </c>
    </row>
    <row r="82" spans="2:36" x14ac:dyDescent="0.15">
      <c r="B82" s="110" t="s">
        <v>1039</v>
      </c>
      <c r="C82" s="107">
        <f>SUMIFS('caseload data'!E:E,'caseload data'!$D:$D,"TPO",'caseload data'!$C:$C,'divisional &amp; regional caseload'!$B$78)</f>
        <v>0</v>
      </c>
      <c r="D82" s="107">
        <f>SUMIFS('caseload data'!F:F,'caseload data'!$D:$D,"TPO",'caseload data'!$C:$C,'divisional &amp; regional caseload'!$B$78)</f>
        <v>0</v>
      </c>
      <c r="E82" s="107">
        <f>SUMIFS('caseload data'!G:G,'caseload data'!$D:$D,"TPO",'caseload data'!$C:$C,'divisional &amp; regional caseload'!$B$78)</f>
        <v>0</v>
      </c>
      <c r="F82" s="107">
        <f>SUMIFS('caseload data'!H:H,'caseload data'!$D:$D,"TPO",'caseload data'!$C:$C,'divisional &amp; regional caseload'!$B$78)</f>
        <v>0</v>
      </c>
      <c r="G82" s="107">
        <f>SUMIFS('caseload data'!I:I,'caseload data'!$D:$D,"TPO",'caseload data'!$C:$C,'divisional &amp; regional caseload'!$B$78)</f>
        <v>0</v>
      </c>
      <c r="H82" s="107">
        <f>SUMIFS('caseload data'!J:J,'caseload data'!$D:$D,"TPO",'caseload data'!$C:$C,'divisional &amp; regional caseload'!$B$78)</f>
        <v>0</v>
      </c>
      <c r="I82" s="107">
        <f>SUMIFS('caseload data'!K:K,'caseload data'!$D:$D,"TPO",'caseload data'!$C:$C,'divisional &amp; regional caseload'!$B$78)</f>
        <v>0</v>
      </c>
      <c r="J82" s="107">
        <f>SUMIFS('caseload data'!L:L,'caseload data'!$D:$D,"TPO",'caseload data'!$C:$C,'divisional &amp; regional caseload'!$B$78)</f>
        <v>0</v>
      </c>
      <c r="K82" s="107">
        <f>SUMIFS('caseload data'!M:M,'caseload data'!$D:$D,"TPO",'caseload data'!$C:$C,'divisional &amp; regional caseload'!$B$78)</f>
        <v>0</v>
      </c>
      <c r="L82" s="107">
        <f>SUMIFS('caseload data'!N:N,'caseload data'!$D:$D,"TPO",'caseload data'!$C:$C,'divisional &amp; regional caseload'!$B$78)</f>
        <v>0</v>
      </c>
      <c r="M82" s="107">
        <f>SUMIFS('caseload data'!O:O,'caseload data'!$D:$D,"TPO",'caseload data'!$C:$C,'divisional &amp; regional caseload'!$B$78)</f>
        <v>0</v>
      </c>
      <c r="N82" s="107">
        <f>SUMIFS('caseload data'!P:P,'caseload data'!$D:$D,"TPO",'caseload data'!$C:$C,'divisional &amp; regional caseload'!$B$78)</f>
        <v>0</v>
      </c>
      <c r="O82" s="107">
        <f>SUMIFS('caseload data'!Q:Q,'caseload data'!$D:$D,"TPO",'caseload data'!$C:$C,'divisional &amp; regional caseload'!$B$78)</f>
        <v>0</v>
      </c>
      <c r="P82" s="107">
        <f>SUMIFS('caseload data'!R:R,'caseload data'!$D:$D,"TPO",'caseload data'!$C:$C,'divisional &amp; regional caseload'!$B$78)</f>
        <v>0</v>
      </c>
      <c r="Q82" s="107">
        <f>SUMIFS('caseload data'!S:S,'caseload data'!$D:$D,"TPO",'caseload data'!$C:$C,'divisional &amp; regional caseload'!$B$78)</f>
        <v>0</v>
      </c>
      <c r="R82" s="107">
        <f>SUMIFS('caseload data'!T:T,'caseload data'!$D:$D,"TPO",'caseload data'!$C:$C,'divisional &amp; regional caseload'!$B$78)</f>
        <v>0</v>
      </c>
      <c r="T82" s="110" t="s">
        <v>1039</v>
      </c>
      <c r="U82" s="107">
        <f>SUMIFS('caseload data'!E:E,'caseload data'!$D:$D,"TPO",'caseload data'!$C:$C,'divisional &amp; regional caseload'!$T$64)</f>
        <v>0</v>
      </c>
      <c r="V82" s="107">
        <f>SUMIFS('caseload data'!F:F,'caseload data'!$D:$D,"TPO",'caseload data'!$C:$C,'divisional &amp; regional caseload'!$T$64)</f>
        <v>0</v>
      </c>
      <c r="W82" s="107">
        <f>SUMIFS('caseload data'!G:G,'caseload data'!$D:$D,"TPO",'caseload data'!$C:$C,'divisional &amp; regional caseload'!$T$64)</f>
        <v>0</v>
      </c>
      <c r="X82" s="107">
        <f>SUMIFS('caseload data'!H:H,'caseload data'!$D:$D,"TPO",'caseload data'!$C:$C,'divisional &amp; regional caseload'!$T$64)</f>
        <v>0</v>
      </c>
      <c r="Y82" s="107">
        <f>SUMIFS('caseload data'!I:I,'caseload data'!$D:$D,"TPO",'caseload data'!$C:$C,'divisional &amp; regional caseload'!$T$64)</f>
        <v>0</v>
      </c>
      <c r="Z82" s="107">
        <f>SUMIFS('caseload data'!J:J,'caseload data'!$D:$D,"TPO",'caseload data'!$C:$C,'divisional &amp; regional caseload'!$T$64)</f>
        <v>0</v>
      </c>
      <c r="AA82" s="107">
        <f>SUMIFS('caseload data'!K:K,'caseload data'!$D:$D,"TPO",'caseload data'!$C:$C,'divisional &amp; regional caseload'!$T$64)</f>
        <v>0</v>
      </c>
      <c r="AB82" s="107">
        <f>SUMIFS('caseload data'!L:L,'caseload data'!$D:$D,"TPO",'caseload data'!$C:$C,'divisional &amp; regional caseload'!$T$64)</f>
        <v>0</v>
      </c>
      <c r="AC82" s="107">
        <f>SUMIFS('caseload data'!M:M,'caseload data'!$D:$D,"TPO",'caseload data'!$C:$C,'divisional &amp; regional caseload'!$T$64)</f>
        <v>0</v>
      </c>
      <c r="AD82" s="107">
        <f>SUMIFS('caseload data'!N:N,'caseload data'!$D:$D,"TPO",'caseload data'!$C:$C,'divisional &amp; regional caseload'!$T$64)</f>
        <v>0</v>
      </c>
      <c r="AE82" s="107">
        <f>SUMIFS('caseload data'!O:O,'caseload data'!$D:$D,"TPO",'caseload data'!$C:$C,'divisional &amp; regional caseload'!$T$64)</f>
        <v>0</v>
      </c>
      <c r="AF82" s="107">
        <f>SUMIFS('caseload data'!P:P,'caseload data'!$D:$D,"TPO",'caseload data'!$C:$C,'divisional &amp; regional caseload'!$T$64)</f>
        <v>0</v>
      </c>
      <c r="AG82" s="107">
        <f>SUMIFS('caseload data'!Q:Q,'caseload data'!$D:$D,"TPO",'caseload data'!$C:$C,'divisional &amp; regional caseload'!$T$64)</f>
        <v>0</v>
      </c>
      <c r="AH82" s="107">
        <f>SUMIFS('caseload data'!R:R,'caseload data'!$D:$D,"TPO",'caseload data'!$C:$C,'divisional &amp; regional caseload'!$T$64)</f>
        <v>0</v>
      </c>
      <c r="AI82" s="107">
        <f>SUMIFS('caseload data'!S:S,'caseload data'!$D:$D,"TPO",'caseload data'!$C:$C,'divisional &amp; regional caseload'!$T$64)</f>
        <v>0</v>
      </c>
      <c r="AJ82" s="107">
        <f>SUMIFS('caseload data'!T:T,'caseload data'!$D:$D,"TPO",'caseload data'!$C:$C,'divisional &amp; regional caseload'!$T$64)</f>
        <v>0</v>
      </c>
    </row>
    <row r="83" spans="2:36" x14ac:dyDescent="0.15">
      <c r="B83" s="111" t="s">
        <v>1040</v>
      </c>
      <c r="C83" s="107">
        <f>SUMIFS('caseload data'!E:E,'caseload data'!$D:$D,"SPO",'caseload data'!$C:$C,'divisional &amp; regional caseload'!$B$78)</f>
        <v>0</v>
      </c>
      <c r="D83" s="107">
        <f>SUMIFS('caseload data'!F:F,'caseload data'!$D:$D,"SPO",'caseload data'!$C:$C,'divisional &amp; regional caseload'!$B$78)</f>
        <v>0</v>
      </c>
      <c r="E83" s="107">
        <f>SUMIFS('caseload data'!G:G,'caseload data'!$D:$D,"SPO",'caseload data'!$C:$C,'divisional &amp; regional caseload'!$B$78)</f>
        <v>0</v>
      </c>
      <c r="F83" s="107">
        <f>SUMIFS('caseload data'!H:H,'caseload data'!$D:$D,"SPO",'caseload data'!$C:$C,'divisional &amp; regional caseload'!$B$78)</f>
        <v>0</v>
      </c>
      <c r="G83" s="107">
        <f>SUMIFS('caseload data'!I:I,'caseload data'!$D:$D,"SPO",'caseload data'!$C:$C,'divisional &amp; regional caseload'!$B$78)</f>
        <v>0</v>
      </c>
      <c r="H83" s="107">
        <f>SUMIFS('caseload data'!J:J,'caseload data'!$D:$D,"SPO",'caseload data'!$C:$C,'divisional &amp; regional caseload'!$B$78)</f>
        <v>0</v>
      </c>
      <c r="I83" s="107">
        <f>SUMIFS('caseload data'!K:K,'caseload data'!$D:$D,"SPO",'caseload data'!$C:$C,'divisional &amp; regional caseload'!$B$78)</f>
        <v>0</v>
      </c>
      <c r="J83" s="107">
        <f>SUMIFS('caseload data'!L:L,'caseload data'!$D:$D,"SPO",'caseload data'!$C:$C,'divisional &amp; regional caseload'!$B$78)</f>
        <v>0</v>
      </c>
      <c r="K83" s="107">
        <f>SUMIFS('caseload data'!M:M,'caseload data'!$D:$D,"SPO",'caseload data'!$C:$C,'divisional &amp; regional caseload'!$B$78)</f>
        <v>0</v>
      </c>
      <c r="L83" s="107">
        <f>SUMIFS('caseload data'!N:N,'caseload data'!$D:$D,"SPO",'caseload data'!$C:$C,'divisional &amp; regional caseload'!$B$78)</f>
        <v>0</v>
      </c>
      <c r="M83" s="107">
        <f>SUMIFS('caseload data'!O:O,'caseload data'!$D:$D,"SPO",'caseload data'!$C:$C,'divisional &amp; regional caseload'!$B$78)</f>
        <v>0</v>
      </c>
      <c r="N83" s="107">
        <f>SUMIFS('caseload data'!P:P,'caseload data'!$D:$D,"SPO",'caseload data'!$C:$C,'divisional &amp; regional caseload'!$B$78)</f>
        <v>0</v>
      </c>
      <c r="O83" s="107">
        <f>SUMIFS('caseload data'!Q:Q,'caseload data'!$D:$D,"SPO",'caseload data'!$C:$C,'divisional &amp; regional caseload'!$B$78)</f>
        <v>0</v>
      </c>
      <c r="P83" s="107">
        <f>SUMIFS('caseload data'!R:R,'caseload data'!$D:$D,"SPO",'caseload data'!$C:$C,'divisional &amp; regional caseload'!$B$78)</f>
        <v>0</v>
      </c>
      <c r="Q83" s="107">
        <f>SUMIFS('caseload data'!S:S,'caseload data'!$D:$D,"SPO",'caseload data'!$C:$C,'divisional &amp; regional caseload'!$B$78)</f>
        <v>0</v>
      </c>
      <c r="R83" s="107">
        <f>SUMIFS('caseload data'!T:T,'caseload data'!$D:$D,"SPO",'caseload data'!$C:$C,'divisional &amp; regional caseload'!$B$78)</f>
        <v>0</v>
      </c>
      <c r="T83" s="111" t="s">
        <v>1040</v>
      </c>
      <c r="U83" s="107">
        <f>SUMIFS('caseload data'!E:E,'caseload data'!$D:$D,"SPO",'caseload data'!$C:$C,'divisional &amp; regional caseload'!$T$64)</f>
        <v>0</v>
      </c>
      <c r="V83" s="107">
        <f>SUMIFS('caseload data'!F:F,'caseload data'!$D:$D,"SPO",'caseload data'!$C:$C,'divisional &amp; regional caseload'!$T$64)</f>
        <v>0</v>
      </c>
      <c r="W83" s="107">
        <f>SUMIFS('caseload data'!G:G,'caseload data'!$D:$D,"SPO",'caseload data'!$C:$C,'divisional &amp; regional caseload'!$T$64)</f>
        <v>0</v>
      </c>
      <c r="X83" s="107">
        <f>SUMIFS('caseload data'!H:H,'caseload data'!$D:$D,"SPO",'caseload data'!$C:$C,'divisional &amp; regional caseload'!$T$64)</f>
        <v>0</v>
      </c>
      <c r="Y83" s="107">
        <f>SUMIFS('caseload data'!I:I,'caseload data'!$D:$D,"SPO",'caseload data'!$C:$C,'divisional &amp; regional caseload'!$T$64)</f>
        <v>0</v>
      </c>
      <c r="Z83" s="107">
        <f>SUMIFS('caseload data'!J:J,'caseload data'!$D:$D,"SPO",'caseload data'!$C:$C,'divisional &amp; regional caseload'!$T$64)</f>
        <v>0</v>
      </c>
      <c r="AA83" s="107">
        <f>SUMIFS('caseload data'!K:K,'caseload data'!$D:$D,"SPO",'caseload data'!$C:$C,'divisional &amp; regional caseload'!$T$64)</f>
        <v>0</v>
      </c>
      <c r="AB83" s="107">
        <f>SUMIFS('caseload data'!L:L,'caseload data'!$D:$D,"SPO",'caseload data'!$C:$C,'divisional &amp; regional caseload'!$T$64)</f>
        <v>0</v>
      </c>
      <c r="AC83" s="107">
        <f>SUMIFS('caseload data'!M:M,'caseload data'!$D:$D,"SPO",'caseload data'!$C:$C,'divisional &amp; regional caseload'!$T$64)</f>
        <v>0</v>
      </c>
      <c r="AD83" s="107">
        <f>SUMIFS('caseload data'!N:N,'caseload data'!$D:$D,"SPO",'caseload data'!$C:$C,'divisional &amp; regional caseload'!$T$64)</f>
        <v>0</v>
      </c>
      <c r="AE83" s="107">
        <f>SUMIFS('caseload data'!O:O,'caseload data'!$D:$D,"SPO",'caseload data'!$C:$C,'divisional &amp; regional caseload'!$T$64)</f>
        <v>0</v>
      </c>
      <c r="AF83" s="107">
        <f>SUMIFS('caseload data'!P:P,'caseload data'!$D:$D,"SPO",'caseload data'!$C:$C,'divisional &amp; regional caseload'!$T$64)</f>
        <v>0</v>
      </c>
      <c r="AG83" s="107">
        <f>SUMIFS('caseload data'!Q:Q,'caseload data'!$D:$D,"SPO",'caseload data'!$C:$C,'divisional &amp; regional caseload'!$T$64)</f>
        <v>0</v>
      </c>
      <c r="AH83" s="107">
        <f>SUMIFS('caseload data'!R:R,'caseload data'!$D:$D,"SPO",'caseload data'!$C:$C,'divisional &amp; regional caseload'!$T$64)</f>
        <v>0</v>
      </c>
      <c r="AI83" s="107">
        <f>SUMIFS('caseload data'!S:S,'caseload data'!$D:$D,"SPO",'caseload data'!$C:$C,'divisional &amp; regional caseload'!$T$64)</f>
        <v>0</v>
      </c>
      <c r="AJ83" s="107">
        <f>SUMIFS('caseload data'!T:T,'caseload data'!$D:$D,"SPO",'caseload data'!$C:$C,'divisional &amp; regional caseload'!$T$64)</f>
        <v>0</v>
      </c>
    </row>
    <row r="85" spans="2:36" x14ac:dyDescent="0.15">
      <c r="B85" s="162" t="str">
        <f>HLOOKUP($B$5,Region_Table,24,0)</f>
        <v>Redbridge and Waltham Forest</v>
      </c>
      <c r="C85" s="333" t="s">
        <v>1257</v>
      </c>
      <c r="D85" s="334"/>
      <c r="E85" s="334"/>
      <c r="F85" s="334"/>
      <c r="G85" s="334"/>
      <c r="H85" s="334"/>
      <c r="I85" s="334"/>
      <c r="J85" s="334"/>
      <c r="K85" s="334"/>
      <c r="L85" s="334"/>
      <c r="M85" s="335"/>
      <c r="N85" s="335"/>
      <c r="O85" s="336"/>
      <c r="P85" s="337">
        <f>SUMIF('caseload data'!$C:$C,'divisional &amp; regional caseload'!B85,'caseload data'!V:V)</f>
        <v>0</v>
      </c>
      <c r="Q85" s="338"/>
      <c r="R85" s="339"/>
      <c r="T85" s="162" t="str">
        <f>HLOOKUP($B$5,Region_Table,25,0)</f>
        <v>Southwark - N07</v>
      </c>
      <c r="U85" s="333" t="s">
        <v>1257</v>
      </c>
      <c r="V85" s="334"/>
      <c r="W85" s="334"/>
      <c r="X85" s="340"/>
      <c r="Y85" s="337">
        <f>SUMIF('caseload data'!$C:$C,'divisional &amp; regional caseload'!T85,'caseload data'!V:V)</f>
        <v>0</v>
      </c>
      <c r="Z85" s="341"/>
      <c r="AA85" s="342"/>
    </row>
    <row r="86" spans="2:36" x14ac:dyDescent="0.15">
      <c r="B86" s="108" t="s">
        <v>1199</v>
      </c>
      <c r="C86" s="257" t="s">
        <v>1019</v>
      </c>
      <c r="D86" s="257" t="s">
        <v>1020</v>
      </c>
      <c r="E86" s="257" t="s">
        <v>1021</v>
      </c>
      <c r="F86" s="257" t="s">
        <v>1022</v>
      </c>
      <c r="G86" s="257" t="s">
        <v>1023</v>
      </c>
      <c r="H86" s="257" t="s">
        <v>1024</v>
      </c>
      <c r="I86" s="257" t="s">
        <v>1025</v>
      </c>
      <c r="J86" s="257" t="s">
        <v>1026</v>
      </c>
      <c r="K86" s="257" t="s">
        <v>1027</v>
      </c>
      <c r="L86" s="257" t="s">
        <v>1028</v>
      </c>
      <c r="M86" s="257" t="s">
        <v>1029</v>
      </c>
      <c r="N86" s="257" t="s">
        <v>1030</v>
      </c>
      <c r="O86" s="257" t="s">
        <v>1031</v>
      </c>
      <c r="P86" s="257" t="s">
        <v>1032</v>
      </c>
      <c r="Q86" s="257" t="s">
        <v>1033</v>
      </c>
      <c r="R86" s="257" t="s">
        <v>1034</v>
      </c>
      <c r="T86" s="108" t="s">
        <v>1199</v>
      </c>
      <c r="U86" s="257" t="s">
        <v>1019</v>
      </c>
      <c r="V86" s="257" t="s">
        <v>1020</v>
      </c>
      <c r="W86" s="257" t="s">
        <v>1021</v>
      </c>
      <c r="X86" s="257" t="s">
        <v>1022</v>
      </c>
      <c r="Y86" s="257" t="s">
        <v>1023</v>
      </c>
      <c r="Z86" s="257" t="s">
        <v>1024</v>
      </c>
      <c r="AA86" s="257" t="s">
        <v>1025</v>
      </c>
      <c r="AB86" s="257" t="s">
        <v>1026</v>
      </c>
      <c r="AC86" s="257" t="s">
        <v>1027</v>
      </c>
      <c r="AD86" s="257" t="s">
        <v>1028</v>
      </c>
      <c r="AE86" s="257" t="s">
        <v>1029</v>
      </c>
      <c r="AF86" s="257" t="s">
        <v>1030</v>
      </c>
      <c r="AG86" s="257" t="s">
        <v>1031</v>
      </c>
      <c r="AH86" s="257" t="s">
        <v>1032</v>
      </c>
      <c r="AI86" s="257" t="s">
        <v>1033</v>
      </c>
      <c r="AJ86" s="257" t="s">
        <v>1034</v>
      </c>
    </row>
    <row r="87" spans="2:36" x14ac:dyDescent="0.15">
      <c r="B87" s="109" t="s">
        <v>1037</v>
      </c>
      <c r="C87" s="107">
        <f>SUMIFS('caseload data'!E:E,'caseload data'!$D:$D,"PO",'caseload data'!$C:$C,'divisional &amp; regional caseload'!$B$85)</f>
        <v>0</v>
      </c>
      <c r="D87" s="107">
        <f>SUMIFS('caseload data'!F:F,'caseload data'!$D:$D,"PO",'caseload data'!$C:$C,'divisional &amp; regional caseload'!$B$85)</f>
        <v>0</v>
      </c>
      <c r="E87" s="107">
        <f>SUMIFS('caseload data'!G:G,'caseload data'!$D:$D,"PO",'caseload data'!$C:$C,'divisional &amp; regional caseload'!$B$85)</f>
        <v>0</v>
      </c>
      <c r="F87" s="107">
        <f>SUMIFS('caseload data'!H:H,'caseload data'!$D:$D,"PO",'caseload data'!$C:$C,'divisional &amp; regional caseload'!$B$85)</f>
        <v>0</v>
      </c>
      <c r="G87" s="107">
        <f>SUMIFS('caseload data'!I:I,'caseload data'!$D:$D,"PO",'caseload data'!$C:$C,'divisional &amp; regional caseload'!$B$85)</f>
        <v>0</v>
      </c>
      <c r="H87" s="107">
        <f>SUMIFS('caseload data'!J:J,'caseload data'!$D:$D,"PO",'caseload data'!$C:$C,'divisional &amp; regional caseload'!$B$85)</f>
        <v>0</v>
      </c>
      <c r="I87" s="107">
        <f>SUMIFS('caseload data'!K:K,'caseload data'!$D:$D,"PO",'caseload data'!$C:$C,'divisional &amp; regional caseload'!$B$85)</f>
        <v>0</v>
      </c>
      <c r="J87" s="107">
        <f>SUMIFS('caseload data'!L:L,'caseload data'!$D:$D,"PO",'caseload data'!$C:$C,'divisional &amp; regional caseload'!$B$85)</f>
        <v>0</v>
      </c>
      <c r="K87" s="107">
        <f>SUMIFS('caseload data'!M:M,'caseload data'!$D:$D,"PO",'caseload data'!$C:$C,'divisional &amp; regional caseload'!$B$85)</f>
        <v>0</v>
      </c>
      <c r="L87" s="107">
        <f>SUMIFS('caseload data'!N:N,'caseload data'!$D:$D,"PO",'caseload data'!$C:$C,'divisional &amp; regional caseload'!$B$85)</f>
        <v>0</v>
      </c>
      <c r="M87" s="107">
        <f>SUMIFS('caseload data'!O:O,'caseload data'!$D:$D,"PO",'caseload data'!$C:$C,'divisional &amp; regional caseload'!$B$85)</f>
        <v>0</v>
      </c>
      <c r="N87" s="107">
        <f>SUMIFS('caseload data'!P:P,'caseload data'!$D:$D,"PO",'caseload data'!$C:$C,'divisional &amp; regional caseload'!$B$85)</f>
        <v>0</v>
      </c>
      <c r="O87" s="107">
        <f>SUMIFS('caseload data'!Q:Q,'caseload data'!$D:$D,"PO",'caseload data'!$C:$C,'divisional &amp; regional caseload'!$B$85)</f>
        <v>0</v>
      </c>
      <c r="P87" s="107">
        <f>SUMIFS('caseload data'!R:R,'caseload data'!$D:$D,"PO",'caseload data'!$C:$C,'divisional &amp; regional caseload'!$B$85)</f>
        <v>0</v>
      </c>
      <c r="Q87" s="107">
        <f>SUMIFS('caseload data'!S:S,'caseload data'!$D:$D,"PO",'caseload data'!$C:$C,'divisional &amp; regional caseload'!$B$85)</f>
        <v>0</v>
      </c>
      <c r="R87" s="107">
        <f>SUMIFS('caseload data'!T:T,'caseload data'!$D:$D,"PO",'caseload data'!$C:$C,'divisional &amp; regional caseload'!$B$85)</f>
        <v>0</v>
      </c>
      <c r="T87" s="109" t="s">
        <v>1037</v>
      </c>
      <c r="U87" s="107">
        <f>SUMIFS('caseload data'!E:E,'caseload data'!$D:$D,"PO",'caseload data'!$C:$C,'divisional &amp; regional caseload'!$T$64)</f>
        <v>0</v>
      </c>
      <c r="V87" s="107">
        <f>SUMIFS('caseload data'!F:F,'caseload data'!$D:$D,"PO",'caseload data'!$C:$C,'divisional &amp; regional caseload'!$T$64)</f>
        <v>0</v>
      </c>
      <c r="W87" s="107">
        <f>SUMIFS('caseload data'!G:G,'caseload data'!$D:$D,"PO",'caseload data'!$C:$C,'divisional &amp; regional caseload'!$T$64)</f>
        <v>0</v>
      </c>
      <c r="X87" s="107">
        <f>SUMIFS('caseload data'!H:H,'caseload data'!$D:$D,"PO",'caseload data'!$C:$C,'divisional &amp; regional caseload'!$T$64)</f>
        <v>0</v>
      </c>
      <c r="Y87" s="107">
        <f>SUMIFS('caseload data'!I:I,'caseload data'!$D:$D,"PO",'caseload data'!$C:$C,'divisional &amp; regional caseload'!$T$64)</f>
        <v>0</v>
      </c>
      <c r="Z87" s="107">
        <f>SUMIFS('caseload data'!J:J,'caseload data'!$D:$D,"PO",'caseload data'!$C:$C,'divisional &amp; regional caseload'!$T$64)</f>
        <v>0</v>
      </c>
      <c r="AA87" s="107">
        <f>SUMIFS('caseload data'!K:K,'caseload data'!$D:$D,"PO",'caseload data'!$C:$C,'divisional &amp; regional caseload'!$T$64)</f>
        <v>0</v>
      </c>
      <c r="AB87" s="107">
        <f>SUMIFS('caseload data'!L:L,'caseload data'!$D:$D,"PO",'caseload data'!$C:$C,'divisional &amp; regional caseload'!$T$64)</f>
        <v>0</v>
      </c>
      <c r="AC87" s="107">
        <f>SUMIFS('caseload data'!M:M,'caseload data'!$D:$D,"PO",'caseload data'!$C:$C,'divisional &amp; regional caseload'!$T$64)</f>
        <v>0</v>
      </c>
      <c r="AD87" s="107">
        <f>SUMIFS('caseload data'!N:N,'caseload data'!$D:$D,"PO",'caseload data'!$C:$C,'divisional &amp; regional caseload'!$T$64)</f>
        <v>0</v>
      </c>
      <c r="AE87" s="107">
        <f>SUMIFS('caseload data'!O:O,'caseload data'!$D:$D,"PO",'caseload data'!$C:$C,'divisional &amp; regional caseload'!$T$64)</f>
        <v>0</v>
      </c>
      <c r="AF87" s="107">
        <f>SUMIFS('caseload data'!P:P,'caseload data'!$D:$D,"PO",'caseload data'!$C:$C,'divisional &amp; regional caseload'!$T$64)</f>
        <v>0</v>
      </c>
      <c r="AG87" s="107">
        <f>SUMIFS('caseload data'!Q:Q,'caseload data'!$D:$D,"PO",'caseload data'!$C:$C,'divisional &amp; regional caseload'!$T$64)</f>
        <v>0</v>
      </c>
      <c r="AH87" s="107">
        <f>SUMIFS('caseload data'!R:R,'caseload data'!$D:$D,"PO",'caseload data'!$C:$C,'divisional &amp; regional caseload'!$T$64)</f>
        <v>0</v>
      </c>
      <c r="AI87" s="107">
        <f>SUMIFS('caseload data'!S:S,'caseload data'!$D:$D,"PO",'caseload data'!$C:$C,'divisional &amp; regional caseload'!$T$64)</f>
        <v>0</v>
      </c>
      <c r="AJ87" s="107">
        <f>SUMIFS('caseload data'!T:T,'caseload data'!$D:$D,"PO",'caseload data'!$C:$C,'divisional &amp; regional caseload'!$T$64)</f>
        <v>0</v>
      </c>
    </row>
    <row r="88" spans="2:36" x14ac:dyDescent="0.15">
      <c r="B88" s="110" t="s">
        <v>1038</v>
      </c>
      <c r="C88" s="107">
        <f>SUMIFS('caseload data'!E:E,'caseload data'!$D:$D,"PSO",'caseload data'!$C:$C,'divisional &amp; regional caseload'!$B$85)</f>
        <v>0</v>
      </c>
      <c r="D88" s="107">
        <f>SUMIFS('caseload data'!F:F,'caseload data'!$D:$D,"PSO",'caseload data'!$C:$C,'divisional &amp; regional caseload'!$B$85)</f>
        <v>0</v>
      </c>
      <c r="E88" s="107">
        <f>SUMIFS('caseload data'!G:G,'caseload data'!$D:$D,"PSO",'caseload data'!$C:$C,'divisional &amp; regional caseload'!$B$85)</f>
        <v>0</v>
      </c>
      <c r="F88" s="107">
        <f>SUMIFS('caseload data'!H:H,'caseload data'!$D:$D,"PSO",'caseload data'!$C:$C,'divisional &amp; regional caseload'!$B$85)</f>
        <v>0</v>
      </c>
      <c r="G88" s="107">
        <f>SUMIFS('caseload data'!I:I,'caseload data'!$D:$D,"PSO",'caseload data'!$C:$C,'divisional &amp; regional caseload'!$B$85)</f>
        <v>0</v>
      </c>
      <c r="H88" s="107">
        <f>SUMIFS('caseload data'!J:J,'caseload data'!$D:$D,"PSO",'caseload data'!$C:$C,'divisional &amp; regional caseload'!$B$85)</f>
        <v>0</v>
      </c>
      <c r="I88" s="107">
        <f>SUMIFS('caseload data'!K:K,'caseload data'!$D:$D,"PSO",'caseload data'!$C:$C,'divisional &amp; regional caseload'!$B$85)</f>
        <v>0</v>
      </c>
      <c r="J88" s="107">
        <f>SUMIFS('caseload data'!L:L,'caseload data'!$D:$D,"PSO",'caseload data'!$C:$C,'divisional &amp; regional caseload'!$B$85)</f>
        <v>0</v>
      </c>
      <c r="K88" s="107">
        <f>SUMIFS('caseload data'!M:M,'caseload data'!$D:$D,"PSO",'caseload data'!$C:$C,'divisional &amp; regional caseload'!$B$85)</f>
        <v>0</v>
      </c>
      <c r="L88" s="107">
        <f>SUMIFS('caseload data'!N:N,'caseload data'!$D:$D,"PSO",'caseload data'!$C:$C,'divisional &amp; regional caseload'!$B$85)</f>
        <v>0</v>
      </c>
      <c r="M88" s="107">
        <f>SUMIFS('caseload data'!O:O,'caseload data'!$D:$D,"PSO",'caseload data'!$C:$C,'divisional &amp; regional caseload'!$B$85)</f>
        <v>0</v>
      </c>
      <c r="N88" s="107">
        <f>SUMIFS('caseload data'!P:P,'caseload data'!$D:$D,"PSO",'caseload data'!$C:$C,'divisional &amp; regional caseload'!$B$85)</f>
        <v>0</v>
      </c>
      <c r="O88" s="107">
        <f>SUMIFS('caseload data'!Q:Q,'caseload data'!$D:$D,"PSO",'caseload data'!$C:$C,'divisional &amp; regional caseload'!$B$85)</f>
        <v>0</v>
      </c>
      <c r="P88" s="107">
        <f>SUMIFS('caseload data'!R:R,'caseload data'!$D:$D,"PSO",'caseload data'!$C:$C,'divisional &amp; regional caseload'!$B$85)</f>
        <v>0</v>
      </c>
      <c r="Q88" s="107">
        <f>SUMIFS('caseload data'!S:S,'caseload data'!$D:$D,"PSO",'caseload data'!$C:$C,'divisional &amp; regional caseload'!$B$85)</f>
        <v>0</v>
      </c>
      <c r="R88" s="107">
        <f>SUMIFS('caseload data'!T:T,'caseload data'!$D:$D,"PSO",'caseload data'!$C:$C,'divisional &amp; regional caseload'!$B$85)</f>
        <v>0</v>
      </c>
      <c r="T88" s="110" t="s">
        <v>1038</v>
      </c>
      <c r="U88" s="107">
        <f>SUMIFS('caseload data'!E:E,'caseload data'!$D:$D,"PSO",'caseload data'!$C:$C,'divisional &amp; regional caseload'!$T$64)</f>
        <v>0</v>
      </c>
      <c r="V88" s="107">
        <f>SUMIFS('caseload data'!F:F,'caseload data'!$D:$D,"PSO",'caseload data'!$C:$C,'divisional &amp; regional caseload'!$T$64)</f>
        <v>0</v>
      </c>
      <c r="W88" s="107">
        <f>SUMIFS('caseload data'!G:G,'caseload data'!$D:$D,"PSO",'caseload data'!$C:$C,'divisional &amp; regional caseload'!$T$64)</f>
        <v>0</v>
      </c>
      <c r="X88" s="107">
        <f>SUMIFS('caseload data'!H:H,'caseload data'!$D:$D,"PSO",'caseload data'!$C:$C,'divisional &amp; regional caseload'!$T$64)</f>
        <v>0</v>
      </c>
      <c r="Y88" s="107">
        <f>SUMIFS('caseload data'!I:I,'caseload data'!$D:$D,"PSO",'caseload data'!$C:$C,'divisional &amp; regional caseload'!$T$64)</f>
        <v>0</v>
      </c>
      <c r="Z88" s="107">
        <f>SUMIFS('caseload data'!J:J,'caseload data'!$D:$D,"PSO",'caseload data'!$C:$C,'divisional &amp; regional caseload'!$T$64)</f>
        <v>0</v>
      </c>
      <c r="AA88" s="107">
        <f>SUMIFS('caseload data'!K:K,'caseload data'!$D:$D,"PSO",'caseload data'!$C:$C,'divisional &amp; regional caseload'!$T$64)</f>
        <v>0</v>
      </c>
      <c r="AB88" s="107">
        <f>SUMIFS('caseload data'!L:L,'caseload data'!$D:$D,"PSO",'caseload data'!$C:$C,'divisional &amp; regional caseload'!$T$64)</f>
        <v>0</v>
      </c>
      <c r="AC88" s="107">
        <f>SUMIFS('caseload data'!M:M,'caseload data'!$D:$D,"PSO",'caseload data'!$C:$C,'divisional &amp; regional caseload'!$T$64)</f>
        <v>0</v>
      </c>
      <c r="AD88" s="107">
        <f>SUMIFS('caseload data'!N:N,'caseload data'!$D:$D,"PSO",'caseload data'!$C:$C,'divisional &amp; regional caseload'!$T$64)</f>
        <v>0</v>
      </c>
      <c r="AE88" s="107">
        <f>SUMIFS('caseload data'!O:O,'caseload data'!$D:$D,"PSO",'caseload data'!$C:$C,'divisional &amp; regional caseload'!$T$64)</f>
        <v>0</v>
      </c>
      <c r="AF88" s="107">
        <f>SUMIFS('caseload data'!P:P,'caseload data'!$D:$D,"PSO",'caseload data'!$C:$C,'divisional &amp; regional caseload'!$T$64)</f>
        <v>0</v>
      </c>
      <c r="AG88" s="107">
        <f>SUMIFS('caseload data'!Q:Q,'caseload data'!$D:$D,"PSO",'caseload data'!$C:$C,'divisional &amp; regional caseload'!$T$64)</f>
        <v>0</v>
      </c>
      <c r="AH88" s="107">
        <f>SUMIFS('caseload data'!R:R,'caseload data'!$D:$D,"PSO",'caseload data'!$C:$C,'divisional &amp; regional caseload'!$T$64)</f>
        <v>0</v>
      </c>
      <c r="AI88" s="107">
        <f>SUMIFS('caseload data'!S:S,'caseload data'!$D:$D,"PSO",'caseload data'!$C:$C,'divisional &amp; regional caseload'!$T$64)</f>
        <v>0</v>
      </c>
      <c r="AJ88" s="107">
        <f>SUMIFS('caseload data'!T:T,'caseload data'!$D:$D,"PSO",'caseload data'!$C:$C,'divisional &amp; regional caseload'!$T$64)</f>
        <v>0</v>
      </c>
    </row>
    <row r="89" spans="2:36" x14ac:dyDescent="0.15">
      <c r="B89" s="110" t="s">
        <v>1039</v>
      </c>
      <c r="C89" s="107">
        <f>SUMIFS('caseload data'!E:E,'caseload data'!$D:$D,"TPO",'caseload data'!$C:$C,'divisional &amp; regional caseload'!$B$85)</f>
        <v>0</v>
      </c>
      <c r="D89" s="107">
        <f>SUMIFS('caseload data'!F:F,'caseload data'!$D:$D,"TPO",'caseload data'!$C:$C,'divisional &amp; regional caseload'!$B$85)</f>
        <v>0</v>
      </c>
      <c r="E89" s="107">
        <f>SUMIFS('caseload data'!G:G,'caseload data'!$D:$D,"TPO",'caseload data'!$C:$C,'divisional &amp; regional caseload'!$B$85)</f>
        <v>0</v>
      </c>
      <c r="F89" s="107">
        <f>SUMIFS('caseload data'!H:H,'caseload data'!$D:$D,"TPO",'caseload data'!$C:$C,'divisional &amp; regional caseload'!$B$85)</f>
        <v>0</v>
      </c>
      <c r="G89" s="107">
        <f>SUMIFS('caseload data'!I:I,'caseload data'!$D:$D,"TPO",'caseload data'!$C:$C,'divisional &amp; regional caseload'!$B$85)</f>
        <v>0</v>
      </c>
      <c r="H89" s="107">
        <f>SUMIFS('caseload data'!J:J,'caseload data'!$D:$D,"TPO",'caseload data'!$C:$C,'divisional &amp; regional caseload'!$B$85)</f>
        <v>0</v>
      </c>
      <c r="I89" s="107">
        <f>SUMIFS('caseload data'!K:K,'caseload data'!$D:$D,"TPO",'caseload data'!$C:$C,'divisional &amp; regional caseload'!$B$85)</f>
        <v>0</v>
      </c>
      <c r="J89" s="107">
        <f>SUMIFS('caseload data'!L:L,'caseload data'!$D:$D,"TPO",'caseload data'!$C:$C,'divisional &amp; regional caseload'!$B$85)</f>
        <v>0</v>
      </c>
      <c r="K89" s="107">
        <f>SUMIFS('caseload data'!M:M,'caseload data'!$D:$D,"TPO",'caseload data'!$C:$C,'divisional &amp; regional caseload'!$B$85)</f>
        <v>0</v>
      </c>
      <c r="L89" s="107">
        <f>SUMIFS('caseload data'!N:N,'caseload data'!$D:$D,"TPO",'caseload data'!$C:$C,'divisional &amp; regional caseload'!$B$85)</f>
        <v>0</v>
      </c>
      <c r="M89" s="107">
        <f>SUMIFS('caseload data'!O:O,'caseload data'!$D:$D,"TPO",'caseload data'!$C:$C,'divisional &amp; regional caseload'!$B$85)</f>
        <v>0</v>
      </c>
      <c r="N89" s="107">
        <f>SUMIFS('caseload data'!P:P,'caseload data'!$D:$D,"TPO",'caseload data'!$C:$C,'divisional &amp; regional caseload'!$B$85)</f>
        <v>0</v>
      </c>
      <c r="O89" s="107">
        <f>SUMIFS('caseload data'!Q:Q,'caseload data'!$D:$D,"TPO",'caseload data'!$C:$C,'divisional &amp; regional caseload'!$B$85)</f>
        <v>0</v>
      </c>
      <c r="P89" s="107">
        <f>SUMIFS('caseload data'!R:R,'caseload data'!$D:$D,"TPO",'caseload data'!$C:$C,'divisional &amp; regional caseload'!$B$85)</f>
        <v>0</v>
      </c>
      <c r="Q89" s="107">
        <f>SUMIFS('caseload data'!S:S,'caseload data'!$D:$D,"TPO",'caseload data'!$C:$C,'divisional &amp; regional caseload'!$B$85)</f>
        <v>0</v>
      </c>
      <c r="R89" s="107">
        <f>SUMIFS('caseload data'!T:T,'caseload data'!$D:$D,"TPO",'caseload data'!$C:$C,'divisional &amp; regional caseload'!$B$85)</f>
        <v>0</v>
      </c>
      <c r="T89" s="110" t="s">
        <v>1039</v>
      </c>
      <c r="U89" s="107">
        <f>SUMIFS('caseload data'!E:E,'caseload data'!$D:$D,"TPO",'caseload data'!$C:$C,'divisional &amp; regional caseload'!$T$64)</f>
        <v>0</v>
      </c>
      <c r="V89" s="107">
        <f>SUMIFS('caseload data'!F:F,'caseload data'!$D:$D,"TPO",'caseload data'!$C:$C,'divisional &amp; regional caseload'!$T$64)</f>
        <v>0</v>
      </c>
      <c r="W89" s="107">
        <f>SUMIFS('caseload data'!G:G,'caseload data'!$D:$D,"TPO",'caseload data'!$C:$C,'divisional &amp; regional caseload'!$T$64)</f>
        <v>0</v>
      </c>
      <c r="X89" s="107">
        <f>SUMIFS('caseload data'!H:H,'caseload data'!$D:$D,"TPO",'caseload data'!$C:$C,'divisional &amp; regional caseload'!$T$64)</f>
        <v>0</v>
      </c>
      <c r="Y89" s="107">
        <f>SUMIFS('caseload data'!I:I,'caseload data'!$D:$D,"TPO",'caseload data'!$C:$C,'divisional &amp; regional caseload'!$T$64)</f>
        <v>0</v>
      </c>
      <c r="Z89" s="107">
        <f>SUMIFS('caseload data'!J:J,'caseload data'!$D:$D,"TPO",'caseload data'!$C:$C,'divisional &amp; regional caseload'!$T$64)</f>
        <v>0</v>
      </c>
      <c r="AA89" s="107">
        <f>SUMIFS('caseload data'!K:K,'caseload data'!$D:$D,"TPO",'caseload data'!$C:$C,'divisional &amp; regional caseload'!$T$64)</f>
        <v>0</v>
      </c>
      <c r="AB89" s="107">
        <f>SUMIFS('caseload data'!L:L,'caseload data'!$D:$D,"TPO",'caseload data'!$C:$C,'divisional &amp; regional caseload'!$T$64)</f>
        <v>0</v>
      </c>
      <c r="AC89" s="107">
        <f>SUMIFS('caseload data'!M:M,'caseload data'!$D:$D,"TPO",'caseload data'!$C:$C,'divisional &amp; regional caseload'!$T$64)</f>
        <v>0</v>
      </c>
      <c r="AD89" s="107">
        <f>SUMIFS('caseload data'!N:N,'caseload data'!$D:$D,"TPO",'caseload data'!$C:$C,'divisional &amp; regional caseload'!$T$64)</f>
        <v>0</v>
      </c>
      <c r="AE89" s="107">
        <f>SUMIFS('caseload data'!O:O,'caseload data'!$D:$D,"TPO",'caseload data'!$C:$C,'divisional &amp; regional caseload'!$T$64)</f>
        <v>0</v>
      </c>
      <c r="AF89" s="107">
        <f>SUMIFS('caseload data'!P:P,'caseload data'!$D:$D,"TPO",'caseload data'!$C:$C,'divisional &amp; regional caseload'!$T$64)</f>
        <v>0</v>
      </c>
      <c r="AG89" s="107">
        <f>SUMIFS('caseload data'!Q:Q,'caseload data'!$D:$D,"TPO",'caseload data'!$C:$C,'divisional &amp; regional caseload'!$T$64)</f>
        <v>0</v>
      </c>
      <c r="AH89" s="107">
        <f>SUMIFS('caseload data'!R:R,'caseload data'!$D:$D,"TPO",'caseload data'!$C:$C,'divisional &amp; regional caseload'!$T$64)</f>
        <v>0</v>
      </c>
      <c r="AI89" s="107">
        <f>SUMIFS('caseload data'!S:S,'caseload data'!$D:$D,"TPO",'caseload data'!$C:$C,'divisional &amp; regional caseload'!$T$64)</f>
        <v>0</v>
      </c>
      <c r="AJ89" s="107">
        <f>SUMIFS('caseload data'!T:T,'caseload data'!$D:$D,"TPO",'caseload data'!$C:$C,'divisional &amp; regional caseload'!$T$64)</f>
        <v>0</v>
      </c>
    </row>
    <row r="90" spans="2:36" x14ac:dyDescent="0.15">
      <c r="B90" s="111" t="s">
        <v>1040</v>
      </c>
      <c r="C90" s="107">
        <f>SUMIFS('caseload data'!E:E,'caseload data'!$D:$D,"SPO",'caseload data'!$C:$C,'divisional &amp; regional caseload'!$B$85)</f>
        <v>0</v>
      </c>
      <c r="D90" s="107">
        <f>SUMIFS('caseload data'!F:F,'caseload data'!$D:$D,"SPO",'caseload data'!$C:$C,'divisional &amp; regional caseload'!$B$85)</f>
        <v>0</v>
      </c>
      <c r="E90" s="107">
        <f>SUMIFS('caseload data'!G:G,'caseload data'!$D:$D,"SPO",'caseload data'!$C:$C,'divisional &amp; regional caseload'!$B$85)</f>
        <v>0</v>
      </c>
      <c r="F90" s="107">
        <f>SUMIFS('caseload data'!H:H,'caseload data'!$D:$D,"SPO",'caseload data'!$C:$C,'divisional &amp; regional caseload'!$B$85)</f>
        <v>0</v>
      </c>
      <c r="G90" s="107">
        <f>SUMIFS('caseload data'!I:I,'caseload data'!$D:$D,"SPO",'caseload data'!$C:$C,'divisional &amp; regional caseload'!$B$85)</f>
        <v>0</v>
      </c>
      <c r="H90" s="107">
        <f>SUMIFS('caseload data'!J:J,'caseload data'!$D:$D,"SPO",'caseload data'!$C:$C,'divisional &amp; regional caseload'!$B$85)</f>
        <v>0</v>
      </c>
      <c r="I90" s="107">
        <f>SUMIFS('caseload data'!K:K,'caseload data'!$D:$D,"SPO",'caseload data'!$C:$C,'divisional &amp; regional caseload'!$B$85)</f>
        <v>0</v>
      </c>
      <c r="J90" s="107">
        <f>SUMIFS('caseload data'!L:L,'caseload data'!$D:$D,"SPO",'caseload data'!$C:$C,'divisional &amp; regional caseload'!$B$85)</f>
        <v>0</v>
      </c>
      <c r="K90" s="107">
        <f>SUMIFS('caseload data'!M:M,'caseload data'!$D:$D,"SPO",'caseload data'!$C:$C,'divisional &amp; regional caseload'!$B$85)</f>
        <v>0</v>
      </c>
      <c r="L90" s="107">
        <f>SUMIFS('caseload data'!N:N,'caseload data'!$D:$D,"SPO",'caseload data'!$C:$C,'divisional &amp; regional caseload'!$B$85)</f>
        <v>0</v>
      </c>
      <c r="M90" s="107">
        <f>SUMIFS('caseload data'!O:O,'caseload data'!$D:$D,"SPO",'caseload data'!$C:$C,'divisional &amp; regional caseload'!$B$85)</f>
        <v>0</v>
      </c>
      <c r="N90" s="107">
        <f>SUMIFS('caseload data'!P:P,'caseload data'!$D:$D,"SPO",'caseload data'!$C:$C,'divisional &amp; regional caseload'!$B$85)</f>
        <v>0</v>
      </c>
      <c r="O90" s="107">
        <f>SUMIFS('caseload data'!Q:Q,'caseload data'!$D:$D,"SPO",'caseload data'!$C:$C,'divisional &amp; regional caseload'!$B$85)</f>
        <v>0</v>
      </c>
      <c r="P90" s="107">
        <f>SUMIFS('caseload data'!R:R,'caseload data'!$D:$D,"SPO",'caseload data'!$C:$C,'divisional &amp; regional caseload'!$B$85)</f>
        <v>0</v>
      </c>
      <c r="Q90" s="107">
        <f>SUMIFS('caseload data'!S:S,'caseload data'!$D:$D,"SPO",'caseload data'!$C:$C,'divisional &amp; regional caseload'!$B$85)</f>
        <v>0</v>
      </c>
      <c r="R90" s="107">
        <f>SUMIFS('caseload data'!T:T,'caseload data'!$D:$D,"SPO",'caseload data'!$C:$C,'divisional &amp; regional caseload'!$B$85)</f>
        <v>0</v>
      </c>
      <c r="T90" s="111" t="s">
        <v>1040</v>
      </c>
      <c r="U90" s="107">
        <f>SUMIFS('caseload data'!E:E,'caseload data'!$D:$D,"SPO",'caseload data'!$C:$C,'divisional &amp; regional caseload'!$T$64)</f>
        <v>0</v>
      </c>
      <c r="V90" s="107">
        <f>SUMIFS('caseload data'!F:F,'caseload data'!$D:$D,"SPO",'caseload data'!$C:$C,'divisional &amp; regional caseload'!$T$64)</f>
        <v>0</v>
      </c>
      <c r="W90" s="107">
        <f>SUMIFS('caseload data'!G:G,'caseload data'!$D:$D,"SPO",'caseload data'!$C:$C,'divisional &amp; regional caseload'!$T$64)</f>
        <v>0</v>
      </c>
      <c r="X90" s="107">
        <f>SUMIFS('caseload data'!H:H,'caseload data'!$D:$D,"SPO",'caseload data'!$C:$C,'divisional &amp; regional caseload'!$T$64)</f>
        <v>0</v>
      </c>
      <c r="Y90" s="107">
        <f>SUMIFS('caseload data'!I:I,'caseload data'!$D:$D,"SPO",'caseload data'!$C:$C,'divisional &amp; regional caseload'!$T$64)</f>
        <v>0</v>
      </c>
      <c r="Z90" s="107">
        <f>SUMIFS('caseload data'!J:J,'caseload data'!$D:$D,"SPO",'caseload data'!$C:$C,'divisional &amp; regional caseload'!$T$64)</f>
        <v>0</v>
      </c>
      <c r="AA90" s="107">
        <f>SUMIFS('caseload data'!K:K,'caseload data'!$D:$D,"SPO",'caseload data'!$C:$C,'divisional &amp; regional caseload'!$T$64)</f>
        <v>0</v>
      </c>
      <c r="AB90" s="107">
        <f>SUMIFS('caseload data'!L:L,'caseload data'!$D:$D,"SPO",'caseload data'!$C:$C,'divisional &amp; regional caseload'!$T$64)</f>
        <v>0</v>
      </c>
      <c r="AC90" s="107">
        <f>SUMIFS('caseload data'!M:M,'caseload data'!$D:$D,"SPO",'caseload data'!$C:$C,'divisional &amp; regional caseload'!$T$64)</f>
        <v>0</v>
      </c>
      <c r="AD90" s="107">
        <f>SUMIFS('caseload data'!N:N,'caseload data'!$D:$D,"SPO",'caseload data'!$C:$C,'divisional &amp; regional caseload'!$T$64)</f>
        <v>0</v>
      </c>
      <c r="AE90" s="107">
        <f>SUMIFS('caseload data'!O:O,'caseload data'!$D:$D,"SPO",'caseload data'!$C:$C,'divisional &amp; regional caseload'!$T$64)</f>
        <v>0</v>
      </c>
      <c r="AF90" s="107">
        <f>SUMIFS('caseload data'!P:P,'caseload data'!$D:$D,"SPO",'caseload data'!$C:$C,'divisional &amp; regional caseload'!$T$64)</f>
        <v>0</v>
      </c>
      <c r="AG90" s="107">
        <f>SUMIFS('caseload data'!Q:Q,'caseload data'!$D:$D,"SPO",'caseload data'!$C:$C,'divisional &amp; regional caseload'!$T$64)</f>
        <v>0</v>
      </c>
      <c r="AH90" s="107">
        <f>SUMIFS('caseload data'!R:R,'caseload data'!$D:$D,"SPO",'caseload data'!$C:$C,'divisional &amp; regional caseload'!$T$64)</f>
        <v>0</v>
      </c>
      <c r="AI90" s="107">
        <f>SUMIFS('caseload data'!S:S,'caseload data'!$D:$D,"SPO",'caseload data'!$C:$C,'divisional &amp; regional caseload'!$T$64)</f>
        <v>0</v>
      </c>
      <c r="AJ90" s="107">
        <f>SUMIFS('caseload data'!T:T,'caseload data'!$D:$D,"SPO",'caseload data'!$C:$C,'divisional &amp; regional caseload'!$T$64)</f>
        <v>0</v>
      </c>
    </row>
    <row r="92" spans="2:36" x14ac:dyDescent="0.15">
      <c r="B92" s="162" t="str">
        <f>HLOOKUP($B$5,Region_Table,26,0)</f>
        <v>Tower Hamlets</v>
      </c>
      <c r="C92" s="333" t="s">
        <v>1257</v>
      </c>
      <c r="D92" s="334"/>
      <c r="E92" s="334"/>
      <c r="F92" s="334"/>
      <c r="G92" s="334"/>
      <c r="H92" s="334"/>
      <c r="I92" s="334"/>
      <c r="J92" s="334"/>
      <c r="K92" s="334"/>
      <c r="L92" s="334"/>
      <c r="M92" s="335"/>
      <c r="N92" s="335"/>
      <c r="O92" s="336"/>
      <c r="P92" s="337">
        <f>SUMIF('caseload data'!$C:$C,'divisional &amp; regional caseload'!B92,'caseload data'!V:V)</f>
        <v>0</v>
      </c>
      <c r="Q92" s="338"/>
      <c r="R92" s="339"/>
      <c r="T92" s="162" t="str">
        <f>HLOOKUP($B$5,Region_Table,27,0)</f>
        <v>Unpaid Work and Attendance Centres - N07</v>
      </c>
      <c r="U92" s="333" t="s">
        <v>1257</v>
      </c>
      <c r="V92" s="334"/>
      <c r="W92" s="334"/>
      <c r="X92" s="340"/>
      <c r="Y92" s="337">
        <f>SUMIF('caseload data'!$C:$C,'divisional &amp; regional caseload'!T92,'caseload data'!V:V)</f>
        <v>0</v>
      </c>
      <c r="Z92" s="341"/>
      <c r="AA92" s="342"/>
    </row>
    <row r="93" spans="2:36" x14ac:dyDescent="0.15">
      <c r="B93" s="108" t="s">
        <v>1199</v>
      </c>
      <c r="C93" s="257" t="s">
        <v>1019</v>
      </c>
      <c r="D93" s="257" t="s">
        <v>1020</v>
      </c>
      <c r="E93" s="257" t="s">
        <v>1021</v>
      </c>
      <c r="F93" s="257" t="s">
        <v>1022</v>
      </c>
      <c r="G93" s="257" t="s">
        <v>1023</v>
      </c>
      <c r="H93" s="257" t="s">
        <v>1024</v>
      </c>
      <c r="I93" s="257" t="s">
        <v>1025</v>
      </c>
      <c r="J93" s="257" t="s">
        <v>1026</v>
      </c>
      <c r="K93" s="257" t="s">
        <v>1027</v>
      </c>
      <c r="L93" s="257" t="s">
        <v>1028</v>
      </c>
      <c r="M93" s="257" t="s">
        <v>1029</v>
      </c>
      <c r="N93" s="257" t="s">
        <v>1030</v>
      </c>
      <c r="O93" s="257" t="s">
        <v>1031</v>
      </c>
      <c r="P93" s="257" t="s">
        <v>1032</v>
      </c>
      <c r="Q93" s="257" t="s">
        <v>1033</v>
      </c>
      <c r="R93" s="257" t="s">
        <v>1034</v>
      </c>
      <c r="T93" s="108" t="s">
        <v>1199</v>
      </c>
      <c r="U93" s="257" t="s">
        <v>1019</v>
      </c>
      <c r="V93" s="257" t="s">
        <v>1020</v>
      </c>
      <c r="W93" s="257" t="s">
        <v>1021</v>
      </c>
      <c r="X93" s="257" t="s">
        <v>1022</v>
      </c>
      <c r="Y93" s="257" t="s">
        <v>1023</v>
      </c>
      <c r="Z93" s="257" t="s">
        <v>1024</v>
      </c>
      <c r="AA93" s="257" t="s">
        <v>1025</v>
      </c>
      <c r="AB93" s="257" t="s">
        <v>1026</v>
      </c>
      <c r="AC93" s="257" t="s">
        <v>1027</v>
      </c>
      <c r="AD93" s="257" t="s">
        <v>1028</v>
      </c>
      <c r="AE93" s="257" t="s">
        <v>1029</v>
      </c>
      <c r="AF93" s="257" t="s">
        <v>1030</v>
      </c>
      <c r="AG93" s="257" t="s">
        <v>1031</v>
      </c>
      <c r="AH93" s="257" t="s">
        <v>1032</v>
      </c>
      <c r="AI93" s="257" t="s">
        <v>1033</v>
      </c>
      <c r="AJ93" s="257" t="s">
        <v>1034</v>
      </c>
    </row>
    <row r="94" spans="2:36" x14ac:dyDescent="0.15">
      <c r="B94" s="109" t="s">
        <v>1037</v>
      </c>
      <c r="C94" s="107">
        <f>SUMIFS('caseload data'!E:E,'caseload data'!$D:$D,"PO",'caseload data'!$C:$C,'divisional &amp; regional caseload'!$B$92)</f>
        <v>0</v>
      </c>
      <c r="D94" s="107">
        <f>SUMIFS('caseload data'!F:F,'caseload data'!$D:$D,"PO",'caseload data'!$C:$C,'divisional &amp; regional caseload'!$B$92)</f>
        <v>0</v>
      </c>
      <c r="E94" s="107">
        <f>SUMIFS('caseload data'!G:G,'caseload data'!$D:$D,"PO",'caseload data'!$C:$C,'divisional &amp; regional caseload'!$B$92)</f>
        <v>0</v>
      </c>
      <c r="F94" s="107">
        <f>SUMIFS('caseload data'!H:H,'caseload data'!$D:$D,"PO",'caseload data'!$C:$C,'divisional &amp; regional caseload'!$B$92)</f>
        <v>0</v>
      </c>
      <c r="G94" s="107">
        <f>SUMIFS('caseload data'!I:I,'caseload data'!$D:$D,"PO",'caseload data'!$C:$C,'divisional &amp; regional caseload'!$B$92)</f>
        <v>0</v>
      </c>
      <c r="H94" s="107">
        <f>SUMIFS('caseload data'!J:J,'caseload data'!$D:$D,"PO",'caseload data'!$C:$C,'divisional &amp; regional caseload'!$B$92)</f>
        <v>0</v>
      </c>
      <c r="I94" s="107">
        <f>SUMIFS('caseload data'!K:K,'caseload data'!$D:$D,"PO",'caseload data'!$C:$C,'divisional &amp; regional caseload'!$B$92)</f>
        <v>0</v>
      </c>
      <c r="J94" s="107">
        <f>SUMIFS('caseload data'!L:L,'caseload data'!$D:$D,"PO",'caseload data'!$C:$C,'divisional &amp; regional caseload'!$B$92)</f>
        <v>0</v>
      </c>
      <c r="K94" s="107">
        <f>SUMIFS('caseload data'!M:M,'caseload data'!$D:$D,"PO",'caseload data'!$C:$C,'divisional &amp; regional caseload'!$B$92)</f>
        <v>0</v>
      </c>
      <c r="L94" s="107">
        <f>SUMIFS('caseload data'!N:N,'caseload data'!$D:$D,"PO",'caseload data'!$C:$C,'divisional &amp; regional caseload'!$B$92)</f>
        <v>0</v>
      </c>
      <c r="M94" s="107">
        <f>SUMIFS('caseload data'!O:O,'caseload data'!$D:$D,"PO",'caseload data'!$C:$C,'divisional &amp; regional caseload'!$B$92)</f>
        <v>0</v>
      </c>
      <c r="N94" s="107">
        <f>SUMIFS('caseload data'!P:P,'caseload data'!$D:$D,"PO",'caseload data'!$C:$C,'divisional &amp; regional caseload'!$B$92)</f>
        <v>0</v>
      </c>
      <c r="O94" s="107">
        <f>SUMIFS('caseload data'!Q:Q,'caseload data'!$D:$D,"PO",'caseload data'!$C:$C,'divisional &amp; regional caseload'!$B$92)</f>
        <v>0</v>
      </c>
      <c r="P94" s="107">
        <f>SUMIFS('caseload data'!R:R,'caseload data'!$D:$D,"PO",'caseload data'!$C:$C,'divisional &amp; regional caseload'!$B$92)</f>
        <v>0</v>
      </c>
      <c r="Q94" s="107">
        <f>SUMIFS('caseload data'!S:S,'caseload data'!$D:$D,"PO",'caseload data'!$C:$C,'divisional &amp; regional caseload'!$B$92)</f>
        <v>0</v>
      </c>
      <c r="R94" s="107">
        <f>SUMIFS('caseload data'!T:T,'caseload data'!$D:$D,"PO",'caseload data'!$C:$C,'divisional &amp; regional caseload'!$B$92)</f>
        <v>0</v>
      </c>
      <c r="T94" s="109" t="s">
        <v>1037</v>
      </c>
      <c r="U94" s="107">
        <f>SUMIFS('caseload data'!E:E,'caseload data'!$D:$D,"PO",'caseload data'!$C:$C,'divisional &amp; regional caseload'!$T$64)</f>
        <v>0</v>
      </c>
      <c r="V94" s="107">
        <f>SUMIFS('caseload data'!F:F,'caseload data'!$D:$D,"PO",'caseload data'!$C:$C,'divisional &amp; regional caseload'!$T$64)</f>
        <v>0</v>
      </c>
      <c r="W94" s="107">
        <f>SUMIFS('caseload data'!G:G,'caseload data'!$D:$D,"PO",'caseload data'!$C:$C,'divisional &amp; regional caseload'!$T$64)</f>
        <v>0</v>
      </c>
      <c r="X94" s="107">
        <f>SUMIFS('caseload data'!H:H,'caseload data'!$D:$D,"PO",'caseload data'!$C:$C,'divisional &amp; regional caseload'!$T$64)</f>
        <v>0</v>
      </c>
      <c r="Y94" s="107">
        <f>SUMIFS('caseload data'!I:I,'caseload data'!$D:$D,"PO",'caseload data'!$C:$C,'divisional &amp; regional caseload'!$T$64)</f>
        <v>0</v>
      </c>
      <c r="Z94" s="107">
        <f>SUMIFS('caseload data'!J:J,'caseload data'!$D:$D,"PO",'caseload data'!$C:$C,'divisional &amp; regional caseload'!$T$64)</f>
        <v>0</v>
      </c>
      <c r="AA94" s="107">
        <f>SUMIFS('caseload data'!K:K,'caseload data'!$D:$D,"PO",'caseload data'!$C:$C,'divisional &amp; regional caseload'!$T$64)</f>
        <v>0</v>
      </c>
      <c r="AB94" s="107">
        <f>SUMIFS('caseload data'!L:L,'caseload data'!$D:$D,"PO",'caseload data'!$C:$C,'divisional &amp; regional caseload'!$T$64)</f>
        <v>0</v>
      </c>
      <c r="AC94" s="107">
        <f>SUMIFS('caseload data'!M:M,'caseload data'!$D:$D,"PO",'caseload data'!$C:$C,'divisional &amp; regional caseload'!$T$64)</f>
        <v>0</v>
      </c>
      <c r="AD94" s="107">
        <f>SUMIFS('caseload data'!N:N,'caseload data'!$D:$D,"PO",'caseload data'!$C:$C,'divisional &amp; regional caseload'!$T$64)</f>
        <v>0</v>
      </c>
      <c r="AE94" s="107">
        <f>SUMIFS('caseload data'!O:O,'caseload data'!$D:$D,"PO",'caseload data'!$C:$C,'divisional &amp; regional caseload'!$T$64)</f>
        <v>0</v>
      </c>
      <c r="AF94" s="107">
        <f>SUMIFS('caseload data'!P:P,'caseload data'!$D:$D,"PO",'caseload data'!$C:$C,'divisional &amp; regional caseload'!$T$64)</f>
        <v>0</v>
      </c>
      <c r="AG94" s="107">
        <f>SUMIFS('caseload data'!Q:Q,'caseload data'!$D:$D,"PO",'caseload data'!$C:$C,'divisional &amp; regional caseload'!$T$64)</f>
        <v>0</v>
      </c>
      <c r="AH94" s="107">
        <f>SUMIFS('caseload data'!R:R,'caseload data'!$D:$D,"PO",'caseload data'!$C:$C,'divisional &amp; regional caseload'!$T$64)</f>
        <v>0</v>
      </c>
      <c r="AI94" s="107">
        <f>SUMIFS('caseload data'!S:S,'caseload data'!$D:$D,"PO",'caseload data'!$C:$C,'divisional &amp; regional caseload'!$T$64)</f>
        <v>0</v>
      </c>
      <c r="AJ94" s="107">
        <f>SUMIFS('caseload data'!T:T,'caseload data'!$D:$D,"PO",'caseload data'!$C:$C,'divisional &amp; regional caseload'!$T$64)</f>
        <v>0</v>
      </c>
    </row>
    <row r="95" spans="2:36" x14ac:dyDescent="0.15">
      <c r="B95" s="110" t="s">
        <v>1038</v>
      </c>
      <c r="C95" s="107">
        <f>SUMIFS('caseload data'!E:E,'caseload data'!$D:$D,"PSO",'caseload data'!$C:$C,'divisional &amp; regional caseload'!$B$92)</f>
        <v>0</v>
      </c>
      <c r="D95" s="107">
        <f>SUMIFS('caseload data'!F:F,'caseload data'!$D:$D,"PSO",'caseload data'!$C:$C,'divisional &amp; regional caseload'!$B$92)</f>
        <v>0</v>
      </c>
      <c r="E95" s="107">
        <f>SUMIFS('caseload data'!G:G,'caseload data'!$D:$D,"PSO",'caseload data'!$C:$C,'divisional &amp; regional caseload'!$B$92)</f>
        <v>0</v>
      </c>
      <c r="F95" s="107">
        <f>SUMIFS('caseload data'!H:H,'caseload data'!$D:$D,"PSO",'caseload data'!$C:$C,'divisional &amp; regional caseload'!$B$92)</f>
        <v>0</v>
      </c>
      <c r="G95" s="107">
        <f>SUMIFS('caseload data'!I:I,'caseload data'!$D:$D,"PSO",'caseload data'!$C:$C,'divisional &amp; regional caseload'!$B$92)</f>
        <v>0</v>
      </c>
      <c r="H95" s="107">
        <f>SUMIFS('caseload data'!J:J,'caseload data'!$D:$D,"PSO",'caseload data'!$C:$C,'divisional &amp; regional caseload'!$B$92)</f>
        <v>0</v>
      </c>
      <c r="I95" s="107">
        <f>SUMIFS('caseload data'!K:K,'caseload data'!$D:$D,"PSO",'caseload data'!$C:$C,'divisional &amp; regional caseload'!$B$92)</f>
        <v>0</v>
      </c>
      <c r="J95" s="107">
        <f>SUMIFS('caseload data'!L:L,'caseload data'!$D:$D,"PSO",'caseload data'!$C:$C,'divisional &amp; regional caseload'!$B$92)</f>
        <v>0</v>
      </c>
      <c r="K95" s="107">
        <f>SUMIFS('caseload data'!M:M,'caseload data'!$D:$D,"PSO",'caseload data'!$C:$C,'divisional &amp; regional caseload'!$B$92)</f>
        <v>0</v>
      </c>
      <c r="L95" s="107">
        <f>SUMIFS('caseload data'!N:N,'caseload data'!$D:$D,"PSO",'caseload data'!$C:$C,'divisional &amp; regional caseload'!$B$92)</f>
        <v>0</v>
      </c>
      <c r="M95" s="107">
        <f>SUMIFS('caseload data'!O:O,'caseload data'!$D:$D,"PSO",'caseload data'!$C:$C,'divisional &amp; regional caseload'!$B$92)</f>
        <v>0</v>
      </c>
      <c r="N95" s="107">
        <f>SUMIFS('caseload data'!P:P,'caseload data'!$D:$D,"PSO",'caseload data'!$C:$C,'divisional &amp; regional caseload'!$B$92)</f>
        <v>0</v>
      </c>
      <c r="O95" s="107">
        <f>SUMIFS('caseload data'!Q:Q,'caseload data'!$D:$D,"PSO",'caseload data'!$C:$C,'divisional &amp; regional caseload'!$B$92)</f>
        <v>0</v>
      </c>
      <c r="P95" s="107">
        <f>SUMIFS('caseload data'!R:R,'caseload data'!$D:$D,"PSO",'caseload data'!$C:$C,'divisional &amp; regional caseload'!$B$92)</f>
        <v>0</v>
      </c>
      <c r="Q95" s="107">
        <f>SUMIFS('caseload data'!S:S,'caseload data'!$D:$D,"PSO",'caseload data'!$C:$C,'divisional &amp; regional caseload'!$B$92)</f>
        <v>0</v>
      </c>
      <c r="R95" s="107">
        <f>SUMIFS('caseload data'!T:T,'caseload data'!$D:$D,"PSO",'caseload data'!$C:$C,'divisional &amp; regional caseload'!$B$92)</f>
        <v>0</v>
      </c>
      <c r="T95" s="110" t="s">
        <v>1038</v>
      </c>
      <c r="U95" s="107">
        <f>SUMIFS('caseload data'!E:E,'caseload data'!$D:$D,"PSO",'caseload data'!$C:$C,'divisional &amp; regional caseload'!$T$64)</f>
        <v>0</v>
      </c>
      <c r="V95" s="107">
        <f>SUMIFS('caseload data'!F:F,'caseload data'!$D:$D,"PSO",'caseload data'!$C:$C,'divisional &amp; regional caseload'!$T$64)</f>
        <v>0</v>
      </c>
      <c r="W95" s="107">
        <f>SUMIFS('caseload data'!G:G,'caseload data'!$D:$D,"PSO",'caseload data'!$C:$C,'divisional &amp; regional caseload'!$T$64)</f>
        <v>0</v>
      </c>
      <c r="X95" s="107">
        <f>SUMIFS('caseload data'!H:H,'caseload data'!$D:$D,"PSO",'caseload data'!$C:$C,'divisional &amp; regional caseload'!$T$64)</f>
        <v>0</v>
      </c>
      <c r="Y95" s="107">
        <f>SUMIFS('caseload data'!I:I,'caseload data'!$D:$D,"PSO",'caseload data'!$C:$C,'divisional &amp; regional caseload'!$T$64)</f>
        <v>0</v>
      </c>
      <c r="Z95" s="107">
        <f>SUMIFS('caseload data'!J:J,'caseload data'!$D:$D,"PSO",'caseload data'!$C:$C,'divisional &amp; regional caseload'!$T$64)</f>
        <v>0</v>
      </c>
      <c r="AA95" s="107">
        <f>SUMIFS('caseload data'!K:K,'caseload data'!$D:$D,"PSO",'caseload data'!$C:$C,'divisional &amp; regional caseload'!$T$64)</f>
        <v>0</v>
      </c>
      <c r="AB95" s="107">
        <f>SUMIFS('caseload data'!L:L,'caseload data'!$D:$D,"PSO",'caseload data'!$C:$C,'divisional &amp; regional caseload'!$T$64)</f>
        <v>0</v>
      </c>
      <c r="AC95" s="107">
        <f>SUMIFS('caseload data'!M:M,'caseload data'!$D:$D,"PSO",'caseload data'!$C:$C,'divisional &amp; regional caseload'!$T$64)</f>
        <v>0</v>
      </c>
      <c r="AD95" s="107">
        <f>SUMIFS('caseload data'!N:N,'caseload data'!$D:$D,"PSO",'caseload data'!$C:$C,'divisional &amp; regional caseload'!$T$64)</f>
        <v>0</v>
      </c>
      <c r="AE95" s="107">
        <f>SUMIFS('caseload data'!O:O,'caseload data'!$D:$D,"PSO",'caseload data'!$C:$C,'divisional &amp; regional caseload'!$T$64)</f>
        <v>0</v>
      </c>
      <c r="AF95" s="107">
        <f>SUMIFS('caseload data'!P:P,'caseload data'!$D:$D,"PSO",'caseload data'!$C:$C,'divisional &amp; regional caseload'!$T$64)</f>
        <v>0</v>
      </c>
      <c r="AG95" s="107">
        <f>SUMIFS('caseload data'!Q:Q,'caseload data'!$D:$D,"PSO",'caseload data'!$C:$C,'divisional &amp; regional caseload'!$T$64)</f>
        <v>0</v>
      </c>
      <c r="AH95" s="107">
        <f>SUMIFS('caseload data'!R:R,'caseload data'!$D:$D,"PSO",'caseload data'!$C:$C,'divisional &amp; regional caseload'!$T$64)</f>
        <v>0</v>
      </c>
      <c r="AI95" s="107">
        <f>SUMIFS('caseload data'!S:S,'caseload data'!$D:$D,"PSO",'caseload data'!$C:$C,'divisional &amp; regional caseload'!$T$64)</f>
        <v>0</v>
      </c>
      <c r="AJ95" s="107">
        <f>SUMIFS('caseload data'!T:T,'caseload data'!$D:$D,"PSO",'caseload data'!$C:$C,'divisional &amp; regional caseload'!$T$64)</f>
        <v>0</v>
      </c>
    </row>
    <row r="96" spans="2:36" x14ac:dyDescent="0.15">
      <c r="B96" s="110" t="s">
        <v>1039</v>
      </c>
      <c r="C96" s="107">
        <f>SUMIFS('caseload data'!E:E,'caseload data'!$D:$D,"TPO",'caseload data'!$C:$C,'divisional &amp; regional caseload'!$B$92)</f>
        <v>0</v>
      </c>
      <c r="D96" s="107">
        <f>SUMIFS('caseload data'!F:F,'caseload data'!$D:$D,"TPO",'caseload data'!$C:$C,'divisional &amp; regional caseload'!$B$92)</f>
        <v>0</v>
      </c>
      <c r="E96" s="107">
        <f>SUMIFS('caseload data'!G:G,'caseload data'!$D:$D,"TPO",'caseload data'!$C:$C,'divisional &amp; regional caseload'!$B$92)</f>
        <v>0</v>
      </c>
      <c r="F96" s="107">
        <f>SUMIFS('caseload data'!H:H,'caseload data'!$D:$D,"TPO",'caseload data'!$C:$C,'divisional &amp; regional caseload'!$B$92)</f>
        <v>0</v>
      </c>
      <c r="G96" s="107">
        <f>SUMIFS('caseload data'!I:I,'caseload data'!$D:$D,"TPO",'caseload data'!$C:$C,'divisional &amp; regional caseload'!$B$92)</f>
        <v>0</v>
      </c>
      <c r="H96" s="107">
        <f>SUMIFS('caseload data'!J:J,'caseload data'!$D:$D,"TPO",'caseload data'!$C:$C,'divisional &amp; regional caseload'!$B$92)</f>
        <v>0</v>
      </c>
      <c r="I96" s="107">
        <f>SUMIFS('caseload data'!K:K,'caseload data'!$D:$D,"TPO",'caseload data'!$C:$C,'divisional &amp; regional caseload'!$B$92)</f>
        <v>0</v>
      </c>
      <c r="J96" s="107">
        <f>SUMIFS('caseload data'!L:L,'caseload data'!$D:$D,"TPO",'caseload data'!$C:$C,'divisional &amp; regional caseload'!$B$92)</f>
        <v>0</v>
      </c>
      <c r="K96" s="107">
        <f>SUMIFS('caseload data'!M:M,'caseload data'!$D:$D,"TPO",'caseload data'!$C:$C,'divisional &amp; regional caseload'!$B$92)</f>
        <v>0</v>
      </c>
      <c r="L96" s="107">
        <f>SUMIFS('caseload data'!N:N,'caseload data'!$D:$D,"TPO",'caseload data'!$C:$C,'divisional &amp; regional caseload'!$B$92)</f>
        <v>0</v>
      </c>
      <c r="M96" s="107">
        <f>SUMIFS('caseload data'!O:O,'caseload data'!$D:$D,"TPO",'caseload data'!$C:$C,'divisional &amp; regional caseload'!$B$92)</f>
        <v>0</v>
      </c>
      <c r="N96" s="107">
        <f>SUMIFS('caseload data'!P:P,'caseload data'!$D:$D,"TPO",'caseload data'!$C:$C,'divisional &amp; regional caseload'!$B$92)</f>
        <v>0</v>
      </c>
      <c r="O96" s="107">
        <f>SUMIFS('caseload data'!Q:Q,'caseload data'!$D:$D,"TPO",'caseload data'!$C:$C,'divisional &amp; regional caseload'!$B$92)</f>
        <v>0</v>
      </c>
      <c r="P96" s="107">
        <f>SUMIFS('caseload data'!R:R,'caseload data'!$D:$D,"TPO",'caseload data'!$C:$C,'divisional &amp; regional caseload'!$B$92)</f>
        <v>0</v>
      </c>
      <c r="Q96" s="107">
        <f>SUMIFS('caseload data'!S:S,'caseload data'!$D:$D,"TPO",'caseload data'!$C:$C,'divisional &amp; regional caseload'!$B$92)</f>
        <v>0</v>
      </c>
      <c r="R96" s="107">
        <f>SUMIFS('caseload data'!T:T,'caseload data'!$D:$D,"TPO",'caseload data'!$C:$C,'divisional &amp; regional caseload'!$B$92)</f>
        <v>0</v>
      </c>
      <c r="T96" s="110" t="s">
        <v>1039</v>
      </c>
      <c r="U96" s="107">
        <f>SUMIFS('caseload data'!E:E,'caseload data'!$D:$D,"TPO",'caseload data'!$C:$C,'divisional &amp; regional caseload'!$T$64)</f>
        <v>0</v>
      </c>
      <c r="V96" s="107">
        <f>SUMIFS('caseload data'!F:F,'caseload data'!$D:$D,"TPO",'caseload data'!$C:$C,'divisional &amp; regional caseload'!$T$64)</f>
        <v>0</v>
      </c>
      <c r="W96" s="107">
        <f>SUMIFS('caseload data'!G:G,'caseload data'!$D:$D,"TPO",'caseload data'!$C:$C,'divisional &amp; regional caseload'!$T$64)</f>
        <v>0</v>
      </c>
      <c r="X96" s="107">
        <f>SUMIFS('caseload data'!H:H,'caseload data'!$D:$D,"TPO",'caseload data'!$C:$C,'divisional &amp; regional caseload'!$T$64)</f>
        <v>0</v>
      </c>
      <c r="Y96" s="107">
        <f>SUMIFS('caseload data'!I:I,'caseload data'!$D:$D,"TPO",'caseload data'!$C:$C,'divisional &amp; regional caseload'!$T$64)</f>
        <v>0</v>
      </c>
      <c r="Z96" s="107">
        <f>SUMIFS('caseload data'!J:J,'caseload data'!$D:$D,"TPO",'caseload data'!$C:$C,'divisional &amp; regional caseload'!$T$64)</f>
        <v>0</v>
      </c>
      <c r="AA96" s="107">
        <f>SUMIFS('caseload data'!K:K,'caseload data'!$D:$D,"TPO",'caseload data'!$C:$C,'divisional &amp; regional caseload'!$T$64)</f>
        <v>0</v>
      </c>
      <c r="AB96" s="107">
        <f>SUMIFS('caseload data'!L:L,'caseload data'!$D:$D,"TPO",'caseload data'!$C:$C,'divisional &amp; regional caseload'!$T$64)</f>
        <v>0</v>
      </c>
      <c r="AC96" s="107">
        <f>SUMIFS('caseload data'!M:M,'caseload data'!$D:$D,"TPO",'caseload data'!$C:$C,'divisional &amp; regional caseload'!$T$64)</f>
        <v>0</v>
      </c>
      <c r="AD96" s="107">
        <f>SUMIFS('caseload data'!N:N,'caseload data'!$D:$D,"TPO",'caseload data'!$C:$C,'divisional &amp; regional caseload'!$T$64)</f>
        <v>0</v>
      </c>
      <c r="AE96" s="107">
        <f>SUMIFS('caseload data'!O:O,'caseload data'!$D:$D,"TPO",'caseload data'!$C:$C,'divisional &amp; regional caseload'!$T$64)</f>
        <v>0</v>
      </c>
      <c r="AF96" s="107">
        <f>SUMIFS('caseload data'!P:P,'caseload data'!$D:$D,"TPO",'caseload data'!$C:$C,'divisional &amp; regional caseload'!$T$64)</f>
        <v>0</v>
      </c>
      <c r="AG96" s="107">
        <f>SUMIFS('caseload data'!Q:Q,'caseload data'!$D:$D,"TPO",'caseload data'!$C:$C,'divisional &amp; regional caseload'!$T$64)</f>
        <v>0</v>
      </c>
      <c r="AH96" s="107">
        <f>SUMIFS('caseload data'!R:R,'caseload data'!$D:$D,"TPO",'caseload data'!$C:$C,'divisional &amp; regional caseload'!$T$64)</f>
        <v>0</v>
      </c>
      <c r="AI96" s="107">
        <f>SUMIFS('caseload data'!S:S,'caseload data'!$D:$D,"TPO",'caseload data'!$C:$C,'divisional &amp; regional caseload'!$T$64)</f>
        <v>0</v>
      </c>
      <c r="AJ96" s="107">
        <f>SUMIFS('caseload data'!T:T,'caseload data'!$D:$D,"TPO",'caseload data'!$C:$C,'divisional &amp; regional caseload'!$T$64)</f>
        <v>0</v>
      </c>
    </row>
    <row r="97" spans="2:36" x14ac:dyDescent="0.15">
      <c r="B97" s="111" t="s">
        <v>1040</v>
      </c>
      <c r="C97" s="107">
        <f>SUMIFS('caseload data'!E:E,'caseload data'!$D:$D,"SPO",'caseload data'!$C:$C,'divisional &amp; regional caseload'!$B$92)</f>
        <v>0</v>
      </c>
      <c r="D97" s="107">
        <f>SUMIFS('caseload data'!F:F,'caseload data'!$D:$D,"SPO",'caseload data'!$C:$C,'divisional &amp; regional caseload'!$B$92)</f>
        <v>0</v>
      </c>
      <c r="E97" s="107">
        <f>SUMIFS('caseload data'!G:G,'caseload data'!$D:$D,"SPO",'caseload data'!$C:$C,'divisional &amp; regional caseload'!$B$92)</f>
        <v>0</v>
      </c>
      <c r="F97" s="107">
        <f>SUMIFS('caseload data'!H:H,'caseload data'!$D:$D,"SPO",'caseload data'!$C:$C,'divisional &amp; regional caseload'!$B$92)</f>
        <v>0</v>
      </c>
      <c r="G97" s="107">
        <f>SUMIFS('caseload data'!I:I,'caseload data'!$D:$D,"SPO",'caseload data'!$C:$C,'divisional &amp; regional caseload'!$B$92)</f>
        <v>0</v>
      </c>
      <c r="H97" s="107">
        <f>SUMIFS('caseload data'!J:J,'caseload data'!$D:$D,"SPO",'caseload data'!$C:$C,'divisional &amp; regional caseload'!$B$92)</f>
        <v>0</v>
      </c>
      <c r="I97" s="107">
        <f>SUMIFS('caseload data'!K:K,'caseload data'!$D:$D,"SPO",'caseload data'!$C:$C,'divisional &amp; regional caseload'!$B$92)</f>
        <v>0</v>
      </c>
      <c r="J97" s="107">
        <f>SUMIFS('caseload data'!L:L,'caseload data'!$D:$D,"SPO",'caseload data'!$C:$C,'divisional &amp; regional caseload'!$B$92)</f>
        <v>0</v>
      </c>
      <c r="K97" s="107">
        <f>SUMIFS('caseload data'!M:M,'caseload data'!$D:$D,"SPO",'caseload data'!$C:$C,'divisional &amp; regional caseload'!$B$92)</f>
        <v>0</v>
      </c>
      <c r="L97" s="107">
        <f>SUMIFS('caseload data'!N:N,'caseload data'!$D:$D,"SPO",'caseload data'!$C:$C,'divisional &amp; regional caseload'!$B$92)</f>
        <v>0</v>
      </c>
      <c r="M97" s="107">
        <f>SUMIFS('caseload data'!O:O,'caseload data'!$D:$D,"SPO",'caseload data'!$C:$C,'divisional &amp; regional caseload'!$B$92)</f>
        <v>0</v>
      </c>
      <c r="N97" s="107">
        <f>SUMIFS('caseload data'!P:P,'caseload data'!$D:$D,"SPO",'caseload data'!$C:$C,'divisional &amp; regional caseload'!$B$92)</f>
        <v>0</v>
      </c>
      <c r="O97" s="107">
        <f>SUMIFS('caseload data'!Q:Q,'caseload data'!$D:$D,"SPO",'caseload data'!$C:$C,'divisional &amp; regional caseload'!$B$92)</f>
        <v>0</v>
      </c>
      <c r="P97" s="107">
        <f>SUMIFS('caseload data'!R:R,'caseload data'!$D:$D,"SPO",'caseload data'!$C:$C,'divisional &amp; regional caseload'!$B$92)</f>
        <v>0</v>
      </c>
      <c r="Q97" s="107">
        <f>SUMIFS('caseload data'!S:S,'caseload data'!$D:$D,"SPO",'caseload data'!$C:$C,'divisional &amp; regional caseload'!$B$92)</f>
        <v>0</v>
      </c>
      <c r="R97" s="107">
        <f>SUMIFS('caseload data'!T:T,'caseload data'!$D:$D,"SPO",'caseload data'!$C:$C,'divisional &amp; regional caseload'!$B$92)</f>
        <v>0</v>
      </c>
      <c r="T97" s="111" t="s">
        <v>1040</v>
      </c>
      <c r="U97" s="107">
        <f>SUMIFS('caseload data'!E:E,'caseload data'!$D:$D,"SPO",'caseload data'!$C:$C,'divisional &amp; regional caseload'!$T$64)</f>
        <v>0</v>
      </c>
      <c r="V97" s="107">
        <f>SUMIFS('caseload data'!F:F,'caseload data'!$D:$D,"SPO",'caseload data'!$C:$C,'divisional &amp; regional caseload'!$T$64)</f>
        <v>0</v>
      </c>
      <c r="W97" s="107">
        <f>SUMIFS('caseload data'!G:G,'caseload data'!$D:$D,"SPO",'caseload data'!$C:$C,'divisional &amp; regional caseload'!$T$64)</f>
        <v>0</v>
      </c>
      <c r="X97" s="107">
        <f>SUMIFS('caseload data'!H:H,'caseload data'!$D:$D,"SPO",'caseload data'!$C:$C,'divisional &amp; regional caseload'!$T$64)</f>
        <v>0</v>
      </c>
      <c r="Y97" s="107">
        <f>SUMIFS('caseload data'!I:I,'caseload data'!$D:$D,"SPO",'caseload data'!$C:$C,'divisional &amp; regional caseload'!$T$64)</f>
        <v>0</v>
      </c>
      <c r="Z97" s="107">
        <f>SUMIFS('caseload data'!J:J,'caseload data'!$D:$D,"SPO",'caseload data'!$C:$C,'divisional &amp; regional caseload'!$T$64)</f>
        <v>0</v>
      </c>
      <c r="AA97" s="107">
        <f>SUMIFS('caseload data'!K:K,'caseload data'!$D:$D,"SPO",'caseload data'!$C:$C,'divisional &amp; regional caseload'!$T$64)</f>
        <v>0</v>
      </c>
      <c r="AB97" s="107">
        <f>SUMIFS('caseload data'!L:L,'caseload data'!$D:$D,"SPO",'caseload data'!$C:$C,'divisional &amp; regional caseload'!$T$64)</f>
        <v>0</v>
      </c>
      <c r="AC97" s="107">
        <f>SUMIFS('caseload data'!M:M,'caseload data'!$D:$D,"SPO",'caseload data'!$C:$C,'divisional &amp; regional caseload'!$T$64)</f>
        <v>0</v>
      </c>
      <c r="AD97" s="107">
        <f>SUMIFS('caseload data'!N:N,'caseload data'!$D:$D,"SPO",'caseload data'!$C:$C,'divisional &amp; regional caseload'!$T$64)</f>
        <v>0</v>
      </c>
      <c r="AE97" s="107">
        <f>SUMIFS('caseload data'!O:O,'caseload data'!$D:$D,"SPO",'caseload data'!$C:$C,'divisional &amp; regional caseload'!$T$64)</f>
        <v>0</v>
      </c>
      <c r="AF97" s="107">
        <f>SUMIFS('caseload data'!P:P,'caseload data'!$D:$D,"SPO",'caseload data'!$C:$C,'divisional &amp; regional caseload'!$T$64)</f>
        <v>0</v>
      </c>
      <c r="AG97" s="107">
        <f>SUMIFS('caseload data'!Q:Q,'caseload data'!$D:$D,"SPO",'caseload data'!$C:$C,'divisional &amp; regional caseload'!$T$64)</f>
        <v>0</v>
      </c>
      <c r="AH97" s="107">
        <f>SUMIFS('caseload data'!R:R,'caseload data'!$D:$D,"SPO",'caseload data'!$C:$C,'divisional &amp; regional caseload'!$T$64)</f>
        <v>0</v>
      </c>
      <c r="AI97" s="107">
        <f>SUMIFS('caseload data'!S:S,'caseload data'!$D:$D,"SPO",'caseload data'!$C:$C,'divisional &amp; regional caseload'!$T$64)</f>
        <v>0</v>
      </c>
      <c r="AJ97" s="107">
        <f>SUMIFS('caseload data'!T:T,'caseload data'!$D:$D,"SPO",'caseload data'!$C:$C,'divisional &amp; regional caseload'!$T$64)</f>
        <v>0</v>
      </c>
    </row>
    <row r="99" spans="2:36" x14ac:dyDescent="0.15">
      <c r="B99" s="162" t="str">
        <f>HLOOKUP($B$5,Region_Table,28,0)</f>
        <v>Wandsworth, Merton and Sutton</v>
      </c>
      <c r="C99" s="333" t="s">
        <v>1257</v>
      </c>
      <c r="D99" s="334"/>
      <c r="E99" s="334"/>
      <c r="F99" s="334"/>
      <c r="G99" s="334"/>
      <c r="H99" s="334"/>
      <c r="I99" s="334"/>
      <c r="J99" s="334"/>
      <c r="K99" s="334"/>
      <c r="L99" s="334"/>
      <c r="M99" s="335"/>
      <c r="N99" s="335"/>
      <c r="O99" s="336"/>
      <c r="P99" s="337">
        <f>SUMIF('caseload data'!$C:$C,'divisional &amp; regional caseload'!B99,'caseload data'!V:V)</f>
        <v>0</v>
      </c>
      <c r="Q99" s="338"/>
      <c r="R99" s="339"/>
      <c r="T99" s="162">
        <f>HLOOKUP($B$5,Region_Table,29,0)</f>
        <v>0</v>
      </c>
      <c r="U99" s="333" t="s">
        <v>1257</v>
      </c>
      <c r="V99" s="334"/>
      <c r="W99" s="334"/>
      <c r="X99" s="340"/>
      <c r="Y99" s="337">
        <f>SUMIF('caseload data'!$C:$C,'divisional &amp; regional caseload'!T99,'caseload data'!V:V)</f>
        <v>0</v>
      </c>
      <c r="Z99" s="341"/>
      <c r="AA99" s="342"/>
    </row>
    <row r="100" spans="2:36" x14ac:dyDescent="0.15">
      <c r="B100" s="108" t="s">
        <v>1199</v>
      </c>
      <c r="C100" s="257" t="s">
        <v>1019</v>
      </c>
      <c r="D100" s="257" t="s">
        <v>1020</v>
      </c>
      <c r="E100" s="257" t="s">
        <v>1021</v>
      </c>
      <c r="F100" s="257" t="s">
        <v>1022</v>
      </c>
      <c r="G100" s="257" t="s">
        <v>1023</v>
      </c>
      <c r="H100" s="257" t="s">
        <v>1024</v>
      </c>
      <c r="I100" s="257" t="s">
        <v>1025</v>
      </c>
      <c r="J100" s="257" t="s">
        <v>1026</v>
      </c>
      <c r="K100" s="257" t="s">
        <v>1027</v>
      </c>
      <c r="L100" s="257" t="s">
        <v>1028</v>
      </c>
      <c r="M100" s="257" t="s">
        <v>1029</v>
      </c>
      <c r="N100" s="257" t="s">
        <v>1030</v>
      </c>
      <c r="O100" s="257" t="s">
        <v>1031</v>
      </c>
      <c r="P100" s="257" t="s">
        <v>1032</v>
      </c>
      <c r="Q100" s="257" t="s">
        <v>1033</v>
      </c>
      <c r="R100" s="257" t="s">
        <v>1034</v>
      </c>
      <c r="T100" s="108" t="s">
        <v>1199</v>
      </c>
      <c r="U100" s="257" t="s">
        <v>1019</v>
      </c>
      <c r="V100" s="257" t="s">
        <v>1020</v>
      </c>
      <c r="W100" s="257" t="s">
        <v>1021</v>
      </c>
      <c r="X100" s="257" t="s">
        <v>1022</v>
      </c>
      <c r="Y100" s="257" t="s">
        <v>1023</v>
      </c>
      <c r="Z100" s="257" t="s">
        <v>1024</v>
      </c>
      <c r="AA100" s="257" t="s">
        <v>1025</v>
      </c>
      <c r="AB100" s="257" t="s">
        <v>1026</v>
      </c>
      <c r="AC100" s="257" t="s">
        <v>1027</v>
      </c>
      <c r="AD100" s="257" t="s">
        <v>1028</v>
      </c>
      <c r="AE100" s="257" t="s">
        <v>1029</v>
      </c>
      <c r="AF100" s="257" t="s">
        <v>1030</v>
      </c>
      <c r="AG100" s="257" t="s">
        <v>1031</v>
      </c>
      <c r="AH100" s="257" t="s">
        <v>1032</v>
      </c>
      <c r="AI100" s="257" t="s">
        <v>1033</v>
      </c>
      <c r="AJ100" s="257" t="s">
        <v>1034</v>
      </c>
    </row>
    <row r="101" spans="2:36" x14ac:dyDescent="0.15">
      <c r="B101" s="109" t="s">
        <v>1037</v>
      </c>
      <c r="C101" s="107">
        <f>SUMIFS('caseload data'!E:E,'caseload data'!$D:$D,"PO",'caseload data'!$C:$C,'divisional &amp; regional caseload'!$B$71)</f>
        <v>0</v>
      </c>
      <c r="D101" s="107">
        <f>SUMIFS('caseload data'!F:F,'caseload data'!$D:$D,"PO",'caseload data'!$C:$C,'divisional &amp; regional caseload'!$B$71)</f>
        <v>0</v>
      </c>
      <c r="E101" s="107">
        <f>SUMIFS('caseload data'!G:G,'caseload data'!$D:$D,"PO",'caseload data'!$C:$C,'divisional &amp; regional caseload'!$B$71)</f>
        <v>0</v>
      </c>
      <c r="F101" s="107">
        <f>SUMIFS('caseload data'!H:H,'caseload data'!$D:$D,"PO",'caseload data'!$C:$C,'divisional &amp; regional caseload'!$B$71)</f>
        <v>0</v>
      </c>
      <c r="G101" s="107">
        <f>SUMIFS('caseload data'!I:I,'caseload data'!$D:$D,"PO",'caseload data'!$C:$C,'divisional &amp; regional caseload'!$B$71)</f>
        <v>0</v>
      </c>
      <c r="H101" s="107">
        <f>SUMIFS('caseload data'!J:J,'caseload data'!$D:$D,"PO",'caseload data'!$C:$C,'divisional &amp; regional caseload'!$B$71)</f>
        <v>0</v>
      </c>
      <c r="I101" s="107">
        <f>SUMIFS('caseload data'!K:K,'caseload data'!$D:$D,"PO",'caseload data'!$C:$C,'divisional &amp; regional caseload'!$B$71)</f>
        <v>0</v>
      </c>
      <c r="J101" s="107">
        <f>SUMIFS('caseload data'!L:L,'caseload data'!$D:$D,"PO",'caseload data'!$C:$C,'divisional &amp; regional caseload'!$B$71)</f>
        <v>0</v>
      </c>
      <c r="K101" s="107">
        <f>SUMIFS('caseload data'!M:M,'caseload data'!$D:$D,"PO",'caseload data'!$C:$C,'divisional &amp; regional caseload'!$B$71)</f>
        <v>0</v>
      </c>
      <c r="L101" s="107">
        <f>SUMIFS('caseload data'!N:N,'caseload data'!$D:$D,"PO",'caseload data'!$C:$C,'divisional &amp; regional caseload'!$B$71)</f>
        <v>0</v>
      </c>
      <c r="M101" s="107">
        <f>SUMIFS('caseload data'!O:O,'caseload data'!$D:$D,"PO",'caseload data'!$C:$C,'divisional &amp; regional caseload'!$B$71)</f>
        <v>0</v>
      </c>
      <c r="N101" s="107">
        <f>SUMIFS('caseload data'!P:P,'caseload data'!$D:$D,"PO",'caseload data'!$C:$C,'divisional &amp; regional caseload'!$B$71)</f>
        <v>0</v>
      </c>
      <c r="O101" s="107">
        <f>SUMIFS('caseload data'!Q:Q,'caseload data'!$D:$D,"PO",'caseload data'!$C:$C,'divisional &amp; regional caseload'!$B$71)</f>
        <v>0</v>
      </c>
      <c r="P101" s="107">
        <f>SUMIFS('caseload data'!R:R,'caseload data'!$D:$D,"PO",'caseload data'!$C:$C,'divisional &amp; regional caseload'!$B$71)</f>
        <v>0</v>
      </c>
      <c r="Q101" s="107">
        <f>SUMIFS('caseload data'!S:S,'caseload data'!$D:$D,"PO",'caseload data'!$C:$C,'divisional &amp; regional caseload'!$B$71)</f>
        <v>0</v>
      </c>
      <c r="R101" s="107">
        <f>SUMIFS('caseload data'!T:T,'caseload data'!$D:$D,"PO",'caseload data'!$C:$C,'divisional &amp; regional caseload'!$B$71)</f>
        <v>0</v>
      </c>
      <c r="T101" s="109" t="s">
        <v>1037</v>
      </c>
      <c r="U101" s="107">
        <f>SUMIFS('caseload data'!E:E,'caseload data'!$D:$D,"PO",'caseload data'!$C:$C,'divisional &amp; regional caseload'!$T$99)</f>
        <v>0</v>
      </c>
      <c r="V101" s="107">
        <f>SUMIFS('caseload data'!F:F,'caseload data'!$D:$D,"PO",'caseload data'!$C:$C,'divisional &amp; regional caseload'!$T$99)</f>
        <v>0</v>
      </c>
      <c r="W101" s="107">
        <f>SUMIFS('caseload data'!G:G,'caseload data'!$D:$D,"PO",'caseload data'!$C:$C,'divisional &amp; regional caseload'!$T$99)</f>
        <v>0</v>
      </c>
      <c r="X101" s="107">
        <f>SUMIFS('caseload data'!H:H,'caseload data'!$D:$D,"PO",'caseload data'!$C:$C,'divisional &amp; regional caseload'!$T$99)</f>
        <v>0</v>
      </c>
      <c r="Y101" s="107">
        <f>SUMIFS('caseload data'!I:I,'caseload data'!$D:$D,"PO",'caseload data'!$C:$C,'divisional &amp; regional caseload'!$T$99)</f>
        <v>0</v>
      </c>
      <c r="Z101" s="107">
        <f>SUMIFS('caseload data'!J:J,'caseload data'!$D:$D,"PO",'caseload data'!$C:$C,'divisional &amp; regional caseload'!$T$99)</f>
        <v>0</v>
      </c>
      <c r="AA101" s="107">
        <f>SUMIFS('caseload data'!K:K,'caseload data'!$D:$D,"PO",'caseload data'!$C:$C,'divisional &amp; regional caseload'!$T$99)</f>
        <v>0</v>
      </c>
      <c r="AB101" s="107">
        <f>SUMIFS('caseload data'!L:L,'caseload data'!$D:$D,"PO",'caseload data'!$C:$C,'divisional &amp; regional caseload'!$T$99)</f>
        <v>0</v>
      </c>
      <c r="AC101" s="107">
        <f>SUMIFS('caseload data'!M:M,'caseload data'!$D:$D,"PO",'caseload data'!$C:$C,'divisional &amp; regional caseload'!$T$99)</f>
        <v>0</v>
      </c>
      <c r="AD101" s="107">
        <f>SUMIFS('caseload data'!N:N,'caseload data'!$D:$D,"PO",'caseload data'!$C:$C,'divisional &amp; regional caseload'!$T$99)</f>
        <v>0</v>
      </c>
      <c r="AE101" s="107">
        <f>SUMIFS('caseload data'!O:O,'caseload data'!$D:$D,"PO",'caseload data'!$C:$C,'divisional &amp; regional caseload'!$T$99)</f>
        <v>0</v>
      </c>
      <c r="AF101" s="107">
        <f>SUMIFS('caseload data'!P:P,'caseload data'!$D:$D,"PO",'caseload data'!$C:$C,'divisional &amp; regional caseload'!$T$99)</f>
        <v>0</v>
      </c>
      <c r="AG101" s="107">
        <f>SUMIFS('caseload data'!Q:Q,'caseload data'!$D:$D,"PO",'caseload data'!$C:$C,'divisional &amp; regional caseload'!$T$99)</f>
        <v>0</v>
      </c>
      <c r="AH101" s="107">
        <f>SUMIFS('caseload data'!R:R,'caseload data'!$D:$D,"PO",'caseload data'!$C:$C,'divisional &amp; regional caseload'!$T$99)</f>
        <v>0</v>
      </c>
      <c r="AI101" s="107">
        <f>SUMIFS('caseload data'!S:S,'caseload data'!$D:$D,"PO",'caseload data'!$C:$C,'divisional &amp; regional caseload'!$T$99)</f>
        <v>0</v>
      </c>
      <c r="AJ101" s="107">
        <f>SUMIFS('caseload data'!T:T,'caseload data'!$D:$D,"PO",'caseload data'!$C:$C,'divisional &amp; regional caseload'!$T$99)</f>
        <v>0</v>
      </c>
    </row>
    <row r="102" spans="2:36" x14ac:dyDescent="0.15">
      <c r="B102" s="110" t="s">
        <v>1038</v>
      </c>
      <c r="C102" s="107">
        <f>SUMIFS('caseload data'!E:E,'caseload data'!$D:$D,"PSO",'caseload data'!$C:$C,'divisional &amp; regional caseload'!$B$71)</f>
        <v>0</v>
      </c>
      <c r="D102" s="107">
        <f>SUMIFS('caseload data'!F:F,'caseload data'!$D:$D,"PSO",'caseload data'!$C:$C,'divisional &amp; regional caseload'!$B$71)</f>
        <v>0</v>
      </c>
      <c r="E102" s="107">
        <f>SUMIFS('caseload data'!G:G,'caseload data'!$D:$D,"PSO",'caseload data'!$C:$C,'divisional &amp; regional caseload'!$B$71)</f>
        <v>0</v>
      </c>
      <c r="F102" s="107">
        <f>SUMIFS('caseload data'!H:H,'caseload data'!$D:$D,"PSO",'caseload data'!$C:$C,'divisional &amp; regional caseload'!$B$71)</f>
        <v>0</v>
      </c>
      <c r="G102" s="107">
        <f>SUMIFS('caseload data'!I:I,'caseload data'!$D:$D,"PSO",'caseload data'!$C:$C,'divisional &amp; regional caseload'!$B$71)</f>
        <v>0</v>
      </c>
      <c r="H102" s="107">
        <f>SUMIFS('caseload data'!J:J,'caseload data'!$D:$D,"PSO",'caseload data'!$C:$C,'divisional &amp; regional caseload'!$B$71)</f>
        <v>0</v>
      </c>
      <c r="I102" s="107">
        <f>SUMIFS('caseload data'!K:K,'caseload data'!$D:$D,"PSO",'caseload data'!$C:$C,'divisional &amp; regional caseload'!$B$71)</f>
        <v>0</v>
      </c>
      <c r="J102" s="107">
        <f>SUMIFS('caseload data'!L:L,'caseload data'!$D:$D,"PSO",'caseload data'!$C:$C,'divisional &amp; regional caseload'!$B$71)</f>
        <v>0</v>
      </c>
      <c r="K102" s="107">
        <f>SUMIFS('caseload data'!M:M,'caseload data'!$D:$D,"PSO",'caseload data'!$C:$C,'divisional &amp; regional caseload'!$B$71)</f>
        <v>0</v>
      </c>
      <c r="L102" s="107">
        <f>SUMIFS('caseload data'!N:N,'caseload data'!$D:$D,"PSO",'caseload data'!$C:$C,'divisional &amp; regional caseload'!$B$71)</f>
        <v>0</v>
      </c>
      <c r="M102" s="107">
        <f>SUMIFS('caseload data'!O:O,'caseload data'!$D:$D,"PSO",'caseload data'!$C:$C,'divisional &amp; regional caseload'!$B$71)</f>
        <v>0</v>
      </c>
      <c r="N102" s="107">
        <f>SUMIFS('caseload data'!P:P,'caseload data'!$D:$D,"PSO",'caseload data'!$C:$C,'divisional &amp; regional caseload'!$B$71)</f>
        <v>0</v>
      </c>
      <c r="O102" s="107">
        <f>SUMIFS('caseload data'!Q:Q,'caseload data'!$D:$D,"PSO",'caseload data'!$C:$C,'divisional &amp; regional caseload'!$B$71)</f>
        <v>0</v>
      </c>
      <c r="P102" s="107">
        <f>SUMIFS('caseload data'!R:R,'caseload data'!$D:$D,"PSO",'caseload data'!$C:$C,'divisional &amp; regional caseload'!$B$71)</f>
        <v>0</v>
      </c>
      <c r="Q102" s="107">
        <f>SUMIFS('caseload data'!S:S,'caseload data'!$D:$D,"PSO",'caseload data'!$C:$C,'divisional &amp; regional caseload'!$B$71)</f>
        <v>0</v>
      </c>
      <c r="R102" s="107">
        <f>SUMIFS('caseload data'!T:T,'caseload data'!$D:$D,"PSO",'caseload data'!$C:$C,'divisional &amp; regional caseload'!$B$71)</f>
        <v>0</v>
      </c>
      <c r="T102" s="110" t="s">
        <v>1038</v>
      </c>
      <c r="U102" s="107">
        <f>SUMIFS('caseload data'!E:E,'caseload data'!$D:$D,"PSO",'caseload data'!$C:$C,'divisional &amp; regional caseload'!$T$99)</f>
        <v>0</v>
      </c>
      <c r="V102" s="107">
        <f>SUMIFS('caseload data'!F:F,'caseload data'!$D:$D,"PSO",'caseload data'!$C:$C,'divisional &amp; regional caseload'!$T$99)</f>
        <v>0</v>
      </c>
      <c r="W102" s="107">
        <f>SUMIFS('caseload data'!G:G,'caseload data'!$D:$D,"PSO",'caseload data'!$C:$C,'divisional &amp; regional caseload'!$T$99)</f>
        <v>0</v>
      </c>
      <c r="X102" s="107">
        <f>SUMIFS('caseload data'!H:H,'caseload data'!$D:$D,"PSO",'caseload data'!$C:$C,'divisional &amp; regional caseload'!$T$99)</f>
        <v>0</v>
      </c>
      <c r="Y102" s="107">
        <f>SUMIFS('caseload data'!I:I,'caseload data'!$D:$D,"PSO",'caseload data'!$C:$C,'divisional &amp; regional caseload'!$T$99)</f>
        <v>0</v>
      </c>
      <c r="Z102" s="107">
        <f>SUMIFS('caseload data'!J:J,'caseload data'!$D:$D,"PSO",'caseload data'!$C:$C,'divisional &amp; regional caseload'!$T$99)</f>
        <v>0</v>
      </c>
      <c r="AA102" s="107">
        <f>SUMIFS('caseload data'!K:K,'caseload data'!$D:$D,"PSO",'caseload data'!$C:$C,'divisional &amp; regional caseload'!$T$99)</f>
        <v>0</v>
      </c>
      <c r="AB102" s="107">
        <f>SUMIFS('caseload data'!L:L,'caseload data'!$D:$D,"PSO",'caseload data'!$C:$C,'divisional &amp; regional caseload'!$T$99)</f>
        <v>0</v>
      </c>
      <c r="AC102" s="107">
        <f>SUMIFS('caseload data'!M:M,'caseload data'!$D:$D,"PSO",'caseload data'!$C:$C,'divisional &amp; regional caseload'!$T$99)</f>
        <v>0</v>
      </c>
      <c r="AD102" s="107">
        <f>SUMIFS('caseload data'!N:N,'caseload data'!$D:$D,"PSO",'caseload data'!$C:$C,'divisional &amp; regional caseload'!$T$99)</f>
        <v>0</v>
      </c>
      <c r="AE102" s="107">
        <f>SUMIFS('caseload data'!O:O,'caseload data'!$D:$D,"PSO",'caseload data'!$C:$C,'divisional &amp; regional caseload'!$T$99)</f>
        <v>0</v>
      </c>
      <c r="AF102" s="107">
        <f>SUMIFS('caseload data'!P:P,'caseload data'!$D:$D,"PSO",'caseload data'!$C:$C,'divisional &amp; regional caseload'!$T$99)</f>
        <v>0</v>
      </c>
      <c r="AG102" s="107">
        <f>SUMIFS('caseload data'!Q:Q,'caseload data'!$D:$D,"PSO",'caseload data'!$C:$C,'divisional &amp; regional caseload'!$T$99)</f>
        <v>0</v>
      </c>
      <c r="AH102" s="107">
        <f>SUMIFS('caseload data'!R:R,'caseload data'!$D:$D,"PSO",'caseload data'!$C:$C,'divisional &amp; regional caseload'!$T$99)</f>
        <v>0</v>
      </c>
      <c r="AI102" s="107">
        <f>SUMIFS('caseload data'!S:S,'caseload data'!$D:$D,"PSO",'caseload data'!$C:$C,'divisional &amp; regional caseload'!$T$99)</f>
        <v>0</v>
      </c>
      <c r="AJ102" s="107">
        <f>SUMIFS('caseload data'!T:T,'caseload data'!$D:$D,"PSO",'caseload data'!$C:$C,'divisional &amp; regional caseload'!$T$99)</f>
        <v>0</v>
      </c>
    </row>
    <row r="103" spans="2:36" x14ac:dyDescent="0.15">
      <c r="B103" s="110" t="s">
        <v>1039</v>
      </c>
      <c r="C103" s="107">
        <f>SUMIFS('caseload data'!E:E,'caseload data'!$D:$D,"TPO",'caseload data'!$C:$C,'divisional &amp; regional caseload'!$B$71)</f>
        <v>0</v>
      </c>
      <c r="D103" s="107">
        <f>SUMIFS('caseload data'!F:F,'caseload data'!$D:$D,"TPO",'caseload data'!$C:$C,'divisional &amp; regional caseload'!$B$71)</f>
        <v>0</v>
      </c>
      <c r="E103" s="107">
        <f>SUMIFS('caseload data'!G:G,'caseload data'!$D:$D,"TPO",'caseload data'!$C:$C,'divisional &amp; regional caseload'!$B$71)</f>
        <v>0</v>
      </c>
      <c r="F103" s="107">
        <f>SUMIFS('caseload data'!H:H,'caseload data'!$D:$D,"TPO",'caseload data'!$C:$C,'divisional &amp; regional caseload'!$B$71)</f>
        <v>0</v>
      </c>
      <c r="G103" s="107">
        <f>SUMIFS('caseload data'!I:I,'caseload data'!$D:$D,"TPO",'caseload data'!$C:$C,'divisional &amp; regional caseload'!$B$71)</f>
        <v>0</v>
      </c>
      <c r="H103" s="107">
        <f>SUMIFS('caseload data'!J:J,'caseload data'!$D:$D,"TPO",'caseload data'!$C:$C,'divisional &amp; regional caseload'!$B$71)</f>
        <v>0</v>
      </c>
      <c r="I103" s="107">
        <f>SUMIFS('caseload data'!K:K,'caseload data'!$D:$D,"TPO",'caseload data'!$C:$C,'divisional &amp; regional caseload'!$B$71)</f>
        <v>0</v>
      </c>
      <c r="J103" s="107">
        <f>SUMIFS('caseload data'!L:L,'caseload data'!$D:$D,"TPO",'caseload data'!$C:$C,'divisional &amp; regional caseload'!$B$71)</f>
        <v>0</v>
      </c>
      <c r="K103" s="107">
        <f>SUMIFS('caseload data'!M:M,'caseload data'!$D:$D,"TPO",'caseload data'!$C:$C,'divisional &amp; regional caseload'!$B$71)</f>
        <v>0</v>
      </c>
      <c r="L103" s="107">
        <f>SUMIFS('caseload data'!N:N,'caseload data'!$D:$D,"TPO",'caseload data'!$C:$C,'divisional &amp; regional caseload'!$B$71)</f>
        <v>0</v>
      </c>
      <c r="M103" s="107">
        <f>SUMIFS('caseload data'!O:O,'caseload data'!$D:$D,"TPO",'caseload data'!$C:$C,'divisional &amp; regional caseload'!$B$71)</f>
        <v>0</v>
      </c>
      <c r="N103" s="107">
        <f>SUMIFS('caseload data'!P:P,'caseload data'!$D:$D,"TPO",'caseload data'!$C:$C,'divisional &amp; regional caseload'!$B$71)</f>
        <v>0</v>
      </c>
      <c r="O103" s="107">
        <f>SUMIFS('caseload data'!Q:Q,'caseload data'!$D:$D,"TPO",'caseload data'!$C:$C,'divisional &amp; regional caseload'!$B$71)</f>
        <v>0</v>
      </c>
      <c r="P103" s="107">
        <f>SUMIFS('caseload data'!R:R,'caseload data'!$D:$D,"TPO",'caseload data'!$C:$C,'divisional &amp; regional caseload'!$B$71)</f>
        <v>0</v>
      </c>
      <c r="Q103" s="107">
        <f>SUMIFS('caseload data'!S:S,'caseload data'!$D:$D,"TPO",'caseload data'!$C:$C,'divisional &amp; regional caseload'!$B$71)</f>
        <v>0</v>
      </c>
      <c r="R103" s="107">
        <f>SUMIFS('caseload data'!T:T,'caseload data'!$D:$D,"TPO",'caseload data'!$C:$C,'divisional &amp; regional caseload'!$B$71)</f>
        <v>0</v>
      </c>
      <c r="T103" s="110" t="s">
        <v>1039</v>
      </c>
      <c r="U103" s="107">
        <f>SUMIFS('caseload data'!E:E,'caseload data'!$D:$D,"TPO",'caseload data'!$C:$C,'divisional &amp; regional caseload'!$T$99)</f>
        <v>0</v>
      </c>
      <c r="V103" s="107">
        <f>SUMIFS('caseload data'!F:F,'caseload data'!$D:$D,"TPO",'caseload data'!$C:$C,'divisional &amp; regional caseload'!$T$99)</f>
        <v>0</v>
      </c>
      <c r="W103" s="107">
        <f>SUMIFS('caseload data'!G:G,'caseload data'!$D:$D,"TPO",'caseload data'!$C:$C,'divisional &amp; regional caseload'!$T$99)</f>
        <v>0</v>
      </c>
      <c r="X103" s="107">
        <f>SUMIFS('caseload data'!H:H,'caseload data'!$D:$D,"TPO",'caseload data'!$C:$C,'divisional &amp; regional caseload'!$T$99)</f>
        <v>0</v>
      </c>
      <c r="Y103" s="107">
        <f>SUMIFS('caseload data'!I:I,'caseload data'!$D:$D,"TPO",'caseload data'!$C:$C,'divisional &amp; regional caseload'!$T$99)</f>
        <v>0</v>
      </c>
      <c r="Z103" s="107">
        <f>SUMIFS('caseload data'!J:J,'caseload data'!$D:$D,"TPO",'caseload data'!$C:$C,'divisional &amp; regional caseload'!$T$99)</f>
        <v>0</v>
      </c>
      <c r="AA103" s="107">
        <f>SUMIFS('caseload data'!K:K,'caseload data'!$D:$D,"TPO",'caseload data'!$C:$C,'divisional &amp; regional caseload'!$T$99)</f>
        <v>0</v>
      </c>
      <c r="AB103" s="107">
        <f>SUMIFS('caseload data'!L:L,'caseload data'!$D:$D,"TPO",'caseload data'!$C:$C,'divisional &amp; regional caseload'!$T$99)</f>
        <v>0</v>
      </c>
      <c r="AC103" s="107">
        <f>SUMIFS('caseload data'!M:M,'caseload data'!$D:$D,"TPO",'caseload data'!$C:$C,'divisional &amp; regional caseload'!$T$99)</f>
        <v>0</v>
      </c>
      <c r="AD103" s="107">
        <f>SUMIFS('caseload data'!N:N,'caseload data'!$D:$D,"TPO",'caseload data'!$C:$C,'divisional &amp; regional caseload'!$T$99)</f>
        <v>0</v>
      </c>
      <c r="AE103" s="107">
        <f>SUMIFS('caseload data'!O:O,'caseload data'!$D:$D,"TPO",'caseload data'!$C:$C,'divisional &amp; regional caseload'!$T$99)</f>
        <v>0</v>
      </c>
      <c r="AF103" s="107">
        <f>SUMIFS('caseload data'!P:P,'caseload data'!$D:$D,"TPO",'caseload data'!$C:$C,'divisional &amp; regional caseload'!$T$99)</f>
        <v>0</v>
      </c>
      <c r="AG103" s="107">
        <f>SUMIFS('caseload data'!Q:Q,'caseload data'!$D:$D,"TPO",'caseload data'!$C:$C,'divisional &amp; regional caseload'!$T$99)</f>
        <v>0</v>
      </c>
      <c r="AH103" s="107">
        <f>SUMIFS('caseload data'!R:R,'caseload data'!$D:$D,"TPO",'caseload data'!$C:$C,'divisional &amp; regional caseload'!$T$99)</f>
        <v>0</v>
      </c>
      <c r="AI103" s="107">
        <f>SUMIFS('caseload data'!S:S,'caseload data'!$D:$D,"TPO",'caseload data'!$C:$C,'divisional &amp; regional caseload'!$T$99)</f>
        <v>0</v>
      </c>
      <c r="AJ103" s="107">
        <f>SUMIFS('caseload data'!T:T,'caseload data'!$D:$D,"TPO",'caseload data'!$C:$C,'divisional &amp; regional caseload'!$T$99)</f>
        <v>0</v>
      </c>
    </row>
    <row r="104" spans="2:36" x14ac:dyDescent="0.15">
      <c r="B104" s="111" t="s">
        <v>1040</v>
      </c>
      <c r="C104" s="107">
        <f>SUMIFS('caseload data'!E:E,'caseload data'!$D:$D,"SPO",'caseload data'!$C:$C,'divisional &amp; regional caseload'!$B$71)</f>
        <v>0</v>
      </c>
      <c r="D104" s="107">
        <f>SUMIFS('caseload data'!F:F,'caseload data'!$D:$D,"SPO",'caseload data'!$C:$C,'divisional &amp; regional caseload'!$B$71)</f>
        <v>0</v>
      </c>
      <c r="E104" s="107">
        <f>SUMIFS('caseload data'!G:G,'caseload data'!$D:$D,"SPO",'caseload data'!$C:$C,'divisional &amp; regional caseload'!$B$71)</f>
        <v>0</v>
      </c>
      <c r="F104" s="107">
        <f>SUMIFS('caseload data'!H:H,'caseload data'!$D:$D,"SPO",'caseload data'!$C:$C,'divisional &amp; regional caseload'!$B$71)</f>
        <v>0</v>
      </c>
      <c r="G104" s="107">
        <f>SUMIFS('caseload data'!I:I,'caseload data'!$D:$D,"SPO",'caseload data'!$C:$C,'divisional &amp; regional caseload'!$B$71)</f>
        <v>0</v>
      </c>
      <c r="H104" s="107">
        <f>SUMIFS('caseload data'!J:J,'caseload data'!$D:$D,"SPO",'caseload data'!$C:$C,'divisional &amp; regional caseload'!$B$71)</f>
        <v>0</v>
      </c>
      <c r="I104" s="107">
        <f>SUMIFS('caseload data'!K:K,'caseload data'!$D:$D,"SPO",'caseload data'!$C:$C,'divisional &amp; regional caseload'!$B$71)</f>
        <v>0</v>
      </c>
      <c r="J104" s="107">
        <f>SUMIFS('caseload data'!L:L,'caseload data'!$D:$D,"SPO",'caseload data'!$C:$C,'divisional &amp; regional caseload'!$B$71)</f>
        <v>0</v>
      </c>
      <c r="K104" s="107">
        <f>SUMIFS('caseload data'!M:M,'caseload data'!$D:$D,"SPO",'caseload data'!$C:$C,'divisional &amp; regional caseload'!$B$71)</f>
        <v>0</v>
      </c>
      <c r="L104" s="107">
        <f>SUMIFS('caseload data'!N:N,'caseload data'!$D:$D,"SPO",'caseload data'!$C:$C,'divisional &amp; regional caseload'!$B$71)</f>
        <v>0</v>
      </c>
      <c r="M104" s="107">
        <f>SUMIFS('caseload data'!O:O,'caseload data'!$D:$D,"SPO",'caseload data'!$C:$C,'divisional &amp; regional caseload'!$B$71)</f>
        <v>0</v>
      </c>
      <c r="N104" s="107">
        <f>SUMIFS('caseload data'!P:P,'caseload data'!$D:$D,"SPO",'caseload data'!$C:$C,'divisional &amp; regional caseload'!$B$71)</f>
        <v>0</v>
      </c>
      <c r="O104" s="107">
        <f>SUMIFS('caseload data'!Q:Q,'caseload data'!$D:$D,"SPO",'caseload data'!$C:$C,'divisional &amp; regional caseload'!$B$71)</f>
        <v>0</v>
      </c>
      <c r="P104" s="107">
        <f>SUMIFS('caseload data'!R:R,'caseload data'!$D:$D,"SPO",'caseload data'!$C:$C,'divisional &amp; regional caseload'!$B$71)</f>
        <v>0</v>
      </c>
      <c r="Q104" s="107">
        <f>SUMIFS('caseload data'!S:S,'caseload data'!$D:$D,"SPO",'caseload data'!$C:$C,'divisional &amp; regional caseload'!$B$71)</f>
        <v>0</v>
      </c>
      <c r="R104" s="107">
        <f>SUMIFS('caseload data'!T:T,'caseload data'!$D:$D,"SPO",'caseload data'!$C:$C,'divisional &amp; regional caseload'!$B$71)</f>
        <v>0</v>
      </c>
      <c r="T104" s="111" t="s">
        <v>1040</v>
      </c>
      <c r="U104" s="107">
        <f>SUMIFS('caseload data'!E:E,'caseload data'!$D:$D,"SPO",'caseload data'!$C:$C,'divisional &amp; regional caseload'!$T$99)</f>
        <v>0</v>
      </c>
      <c r="V104" s="107">
        <f>SUMIFS('caseload data'!F:F,'caseload data'!$D:$D,"SPO",'caseload data'!$C:$C,'divisional &amp; regional caseload'!$T$99)</f>
        <v>0</v>
      </c>
      <c r="W104" s="107">
        <f>SUMIFS('caseload data'!G:G,'caseload data'!$D:$D,"SPO",'caseload data'!$C:$C,'divisional &amp; regional caseload'!$T$99)</f>
        <v>0</v>
      </c>
      <c r="X104" s="107">
        <f>SUMIFS('caseload data'!H:H,'caseload data'!$D:$D,"SPO",'caseload data'!$C:$C,'divisional &amp; regional caseload'!$T$99)</f>
        <v>0</v>
      </c>
      <c r="Y104" s="107">
        <f>SUMIFS('caseload data'!I:I,'caseload data'!$D:$D,"SPO",'caseload data'!$C:$C,'divisional &amp; regional caseload'!$T$99)</f>
        <v>0</v>
      </c>
      <c r="Z104" s="107">
        <f>SUMIFS('caseload data'!J:J,'caseload data'!$D:$D,"SPO",'caseload data'!$C:$C,'divisional &amp; regional caseload'!$T$99)</f>
        <v>0</v>
      </c>
      <c r="AA104" s="107">
        <f>SUMIFS('caseload data'!K:K,'caseload data'!$D:$D,"SPO",'caseload data'!$C:$C,'divisional &amp; regional caseload'!$T$99)</f>
        <v>0</v>
      </c>
      <c r="AB104" s="107">
        <f>SUMIFS('caseload data'!L:L,'caseload data'!$D:$D,"SPO",'caseload data'!$C:$C,'divisional &amp; regional caseload'!$T$99)</f>
        <v>0</v>
      </c>
      <c r="AC104" s="107">
        <f>SUMIFS('caseload data'!M:M,'caseload data'!$D:$D,"SPO",'caseload data'!$C:$C,'divisional &amp; regional caseload'!$T$99)</f>
        <v>0</v>
      </c>
      <c r="AD104" s="107">
        <f>SUMIFS('caseload data'!N:N,'caseload data'!$D:$D,"SPO",'caseload data'!$C:$C,'divisional &amp; regional caseload'!$T$99)</f>
        <v>0</v>
      </c>
      <c r="AE104" s="107">
        <f>SUMIFS('caseload data'!O:O,'caseload data'!$D:$D,"SPO",'caseload data'!$C:$C,'divisional &amp; regional caseload'!$T$99)</f>
        <v>0</v>
      </c>
      <c r="AF104" s="107">
        <f>SUMIFS('caseload data'!P:P,'caseload data'!$D:$D,"SPO",'caseload data'!$C:$C,'divisional &amp; regional caseload'!$T$99)</f>
        <v>0</v>
      </c>
      <c r="AG104" s="107">
        <f>SUMIFS('caseload data'!Q:Q,'caseload data'!$D:$D,"SPO",'caseload data'!$C:$C,'divisional &amp; regional caseload'!$T$99)</f>
        <v>0</v>
      </c>
      <c r="AH104" s="107">
        <f>SUMIFS('caseload data'!R:R,'caseload data'!$D:$D,"SPO",'caseload data'!$C:$C,'divisional &amp; regional caseload'!$T$99)</f>
        <v>0</v>
      </c>
      <c r="AI104" s="107">
        <f>SUMIFS('caseload data'!S:S,'caseload data'!$D:$D,"SPO",'caseload data'!$C:$C,'divisional &amp; regional caseload'!$T$99)</f>
        <v>0</v>
      </c>
      <c r="AJ104" s="107">
        <f>SUMIFS('caseload data'!T:T,'caseload data'!$D:$D,"SPO",'caseload data'!$C:$C,'divisional &amp; regional caseload'!$T$99)</f>
        <v>0</v>
      </c>
    </row>
  </sheetData>
  <mergeCells count="58">
    <mergeCell ref="C64:O64"/>
    <mergeCell ref="P64:R64"/>
    <mergeCell ref="U64:X64"/>
    <mergeCell ref="Y64:AA64"/>
    <mergeCell ref="C71:O71"/>
    <mergeCell ref="P71:R71"/>
    <mergeCell ref="U71:X71"/>
    <mergeCell ref="Y71:AA71"/>
    <mergeCell ref="A1:AO1"/>
    <mergeCell ref="A2:AO2"/>
    <mergeCell ref="U57:X57"/>
    <mergeCell ref="C8:O8"/>
    <mergeCell ref="P8:R8"/>
    <mergeCell ref="C15:O15"/>
    <mergeCell ref="P15:R15"/>
    <mergeCell ref="C22:O22"/>
    <mergeCell ref="P22:R22"/>
    <mergeCell ref="C29:O29"/>
    <mergeCell ref="P29:R29"/>
    <mergeCell ref="C50:O50"/>
    <mergeCell ref="P50:R50"/>
    <mergeCell ref="C57:O57"/>
    <mergeCell ref="C36:O36"/>
    <mergeCell ref="P36:R36"/>
    <mergeCell ref="U29:X29"/>
    <mergeCell ref="Y29:AA29"/>
    <mergeCell ref="U36:X36"/>
    <mergeCell ref="Y36:AA36"/>
    <mergeCell ref="U43:X43"/>
    <mergeCell ref="Y43:AA43"/>
    <mergeCell ref="U8:X8"/>
    <mergeCell ref="Y8:AA8"/>
    <mergeCell ref="U15:X15"/>
    <mergeCell ref="Y15:AA15"/>
    <mergeCell ref="U22:X22"/>
    <mergeCell ref="Y22:AA22"/>
    <mergeCell ref="U50:X50"/>
    <mergeCell ref="Y50:AA50"/>
    <mergeCell ref="C43:O43"/>
    <mergeCell ref="P43:R43"/>
    <mergeCell ref="Y57:AA57"/>
    <mergeCell ref="P57:R57"/>
    <mergeCell ref="C78:O78"/>
    <mergeCell ref="P78:R78"/>
    <mergeCell ref="U78:X78"/>
    <mergeCell ref="Y78:AA78"/>
    <mergeCell ref="C85:O85"/>
    <mergeCell ref="P85:R85"/>
    <mergeCell ref="U85:X85"/>
    <mergeCell ref="Y85:AA85"/>
    <mergeCell ref="C92:O92"/>
    <mergeCell ref="P92:R92"/>
    <mergeCell ref="U92:X92"/>
    <mergeCell ref="Y92:AA92"/>
    <mergeCell ref="C99:O99"/>
    <mergeCell ref="P99:R99"/>
    <mergeCell ref="U99:X99"/>
    <mergeCell ref="Y99:AA99"/>
  </mergeCells>
  <conditionalFormatting sqref="C11:C12">
    <cfRule type="cellIs" dxfId="3425" priority="639" operator="equal">
      <formula>0</formula>
    </cfRule>
    <cfRule type="cellIs" dxfId="3424" priority="640" operator="notEqual">
      <formula>0</formula>
    </cfRule>
  </conditionalFormatting>
  <conditionalFormatting sqref="D11:D12">
    <cfRule type="cellIs" dxfId="3423" priority="637" operator="equal">
      <formula>0</formula>
    </cfRule>
    <cfRule type="cellIs" dxfId="3422" priority="638" operator="notEqual">
      <formula>0</formula>
    </cfRule>
  </conditionalFormatting>
  <conditionalFormatting sqref="E11:E12">
    <cfRule type="cellIs" dxfId="3421" priority="635" operator="equal">
      <formula>0</formula>
    </cfRule>
    <cfRule type="cellIs" dxfId="3420" priority="636" operator="notEqual">
      <formula>0</formula>
    </cfRule>
  </conditionalFormatting>
  <conditionalFormatting sqref="F11:F12">
    <cfRule type="cellIs" dxfId="3419" priority="633" operator="equal">
      <formula>0</formula>
    </cfRule>
    <cfRule type="cellIs" dxfId="3418" priority="634" operator="notEqual">
      <formula>0</formula>
    </cfRule>
  </conditionalFormatting>
  <conditionalFormatting sqref="G11:G12">
    <cfRule type="cellIs" dxfId="3417" priority="631" operator="equal">
      <formula>0</formula>
    </cfRule>
    <cfRule type="cellIs" dxfId="3416" priority="632" operator="notEqual">
      <formula>0</formula>
    </cfRule>
  </conditionalFormatting>
  <conditionalFormatting sqref="H11:H12">
    <cfRule type="cellIs" dxfId="3415" priority="629" operator="equal">
      <formula>0</formula>
    </cfRule>
    <cfRule type="cellIs" dxfId="3414" priority="630" operator="notEqual">
      <formula>0</formula>
    </cfRule>
  </conditionalFormatting>
  <conditionalFormatting sqref="I11:I12">
    <cfRule type="cellIs" dxfId="3413" priority="627" operator="equal">
      <formula>0</formula>
    </cfRule>
    <cfRule type="cellIs" dxfId="3412" priority="628" operator="notEqual">
      <formula>0</formula>
    </cfRule>
  </conditionalFormatting>
  <conditionalFormatting sqref="J11:J12">
    <cfRule type="cellIs" dxfId="3411" priority="625" operator="equal">
      <formula>0</formula>
    </cfRule>
    <cfRule type="cellIs" dxfId="3410" priority="626" operator="notEqual">
      <formula>0</formula>
    </cfRule>
  </conditionalFormatting>
  <conditionalFormatting sqref="O10">
    <cfRule type="cellIs" dxfId="3409" priority="623" operator="equal">
      <formula>0</formula>
    </cfRule>
    <cfRule type="cellIs" dxfId="3408" priority="624" operator="notEqual">
      <formula>0</formula>
    </cfRule>
  </conditionalFormatting>
  <conditionalFormatting sqref="O13">
    <cfRule type="cellIs" dxfId="3407" priority="621" operator="equal">
      <formula>0</formula>
    </cfRule>
    <cfRule type="cellIs" dxfId="3406" priority="622" operator="notEqual">
      <formula>0</formula>
    </cfRule>
  </conditionalFormatting>
  <conditionalFormatting sqref="P10">
    <cfRule type="cellIs" dxfId="3405" priority="619" operator="equal">
      <formula>0</formula>
    </cfRule>
    <cfRule type="cellIs" dxfId="3404" priority="620" operator="notEqual">
      <formula>0</formula>
    </cfRule>
  </conditionalFormatting>
  <conditionalFormatting sqref="P13">
    <cfRule type="cellIs" dxfId="3403" priority="617" operator="equal">
      <formula>0</formula>
    </cfRule>
    <cfRule type="cellIs" dxfId="3402" priority="618" operator="notEqual">
      <formula>0</formula>
    </cfRule>
  </conditionalFormatting>
  <conditionalFormatting sqref="Q10">
    <cfRule type="cellIs" dxfId="3401" priority="615" operator="equal">
      <formula>0</formula>
    </cfRule>
    <cfRule type="cellIs" dxfId="3400" priority="616" operator="notEqual">
      <formula>0</formula>
    </cfRule>
  </conditionalFormatting>
  <conditionalFormatting sqref="Q13">
    <cfRule type="cellIs" dxfId="3399" priority="613" operator="equal">
      <formula>0</formula>
    </cfRule>
    <cfRule type="cellIs" dxfId="3398" priority="614" operator="notEqual">
      <formula>0</formula>
    </cfRule>
  </conditionalFormatting>
  <conditionalFormatting sqref="R10">
    <cfRule type="cellIs" dxfId="3397" priority="611" operator="equal">
      <formula>0</formula>
    </cfRule>
    <cfRule type="cellIs" dxfId="3396" priority="612" operator="notEqual">
      <formula>0</formula>
    </cfRule>
  </conditionalFormatting>
  <conditionalFormatting sqref="R13">
    <cfRule type="cellIs" dxfId="3395" priority="609" operator="equal">
      <formula>0</formula>
    </cfRule>
    <cfRule type="cellIs" dxfId="3394" priority="610" operator="notEqual">
      <formula>0</formula>
    </cfRule>
  </conditionalFormatting>
  <conditionalFormatting sqref="C18:C19">
    <cfRule type="cellIs" dxfId="3393" priority="575" operator="equal">
      <formula>0</formula>
    </cfRule>
    <cfRule type="cellIs" dxfId="3392" priority="576" operator="notEqual">
      <formula>0</formula>
    </cfRule>
  </conditionalFormatting>
  <conditionalFormatting sqref="D18:D19">
    <cfRule type="cellIs" dxfId="3391" priority="573" operator="equal">
      <formula>0</formula>
    </cfRule>
    <cfRule type="cellIs" dxfId="3390" priority="574" operator="notEqual">
      <formula>0</formula>
    </cfRule>
  </conditionalFormatting>
  <conditionalFormatting sqref="E18:E19">
    <cfRule type="cellIs" dxfId="3389" priority="571" operator="equal">
      <formula>0</formula>
    </cfRule>
    <cfRule type="cellIs" dxfId="3388" priority="572" operator="notEqual">
      <formula>0</formula>
    </cfRule>
  </conditionalFormatting>
  <conditionalFormatting sqref="F18:F19">
    <cfRule type="cellIs" dxfId="3387" priority="569" operator="equal">
      <formula>0</formula>
    </cfRule>
    <cfRule type="cellIs" dxfId="3386" priority="570" operator="notEqual">
      <formula>0</formula>
    </cfRule>
  </conditionalFormatting>
  <conditionalFormatting sqref="G18:G19">
    <cfRule type="cellIs" dxfId="3385" priority="567" operator="equal">
      <formula>0</formula>
    </cfRule>
    <cfRule type="cellIs" dxfId="3384" priority="568" operator="notEqual">
      <formula>0</formula>
    </cfRule>
  </conditionalFormatting>
  <conditionalFormatting sqref="H18:H19">
    <cfRule type="cellIs" dxfId="3383" priority="565" operator="equal">
      <formula>0</formula>
    </cfRule>
    <cfRule type="cellIs" dxfId="3382" priority="566" operator="notEqual">
      <formula>0</formula>
    </cfRule>
  </conditionalFormatting>
  <conditionalFormatting sqref="I18:I19">
    <cfRule type="cellIs" dxfId="3381" priority="563" operator="equal">
      <formula>0</formula>
    </cfRule>
    <cfRule type="cellIs" dxfId="3380" priority="564" operator="notEqual">
      <formula>0</formula>
    </cfRule>
  </conditionalFormatting>
  <conditionalFormatting sqref="J18:J19">
    <cfRule type="cellIs" dxfId="3379" priority="561" operator="equal">
      <formula>0</formula>
    </cfRule>
    <cfRule type="cellIs" dxfId="3378" priority="562" operator="notEqual">
      <formula>0</formula>
    </cfRule>
  </conditionalFormatting>
  <conditionalFormatting sqref="O17">
    <cfRule type="cellIs" dxfId="3377" priority="559" operator="equal">
      <formula>0</formula>
    </cfRule>
    <cfRule type="cellIs" dxfId="3376" priority="560" operator="notEqual">
      <formula>0</formula>
    </cfRule>
  </conditionalFormatting>
  <conditionalFormatting sqref="O20">
    <cfRule type="cellIs" dxfId="3375" priority="557" operator="equal">
      <formula>0</formula>
    </cfRule>
    <cfRule type="cellIs" dxfId="3374" priority="558" operator="notEqual">
      <formula>0</formula>
    </cfRule>
  </conditionalFormatting>
  <conditionalFormatting sqref="P17">
    <cfRule type="cellIs" dxfId="3373" priority="555" operator="equal">
      <formula>0</formula>
    </cfRule>
    <cfRule type="cellIs" dxfId="3372" priority="556" operator="notEqual">
      <formula>0</formula>
    </cfRule>
  </conditionalFormatting>
  <conditionalFormatting sqref="P20">
    <cfRule type="cellIs" dxfId="3371" priority="553" operator="equal">
      <formula>0</formula>
    </cfRule>
    <cfRule type="cellIs" dxfId="3370" priority="554" operator="notEqual">
      <formula>0</formula>
    </cfRule>
  </conditionalFormatting>
  <conditionalFormatting sqref="Q17">
    <cfRule type="cellIs" dxfId="3369" priority="551" operator="equal">
      <formula>0</formula>
    </cfRule>
    <cfRule type="cellIs" dxfId="3368" priority="552" operator="notEqual">
      <formula>0</formula>
    </cfRule>
  </conditionalFormatting>
  <conditionalFormatting sqref="Q20">
    <cfRule type="cellIs" dxfId="3367" priority="549" operator="equal">
      <formula>0</formula>
    </cfRule>
    <cfRule type="cellIs" dxfId="3366" priority="550" operator="notEqual">
      <formula>0</formula>
    </cfRule>
  </conditionalFormatting>
  <conditionalFormatting sqref="R17">
    <cfRule type="cellIs" dxfId="3365" priority="547" operator="equal">
      <formula>0</formula>
    </cfRule>
    <cfRule type="cellIs" dxfId="3364" priority="548" operator="notEqual">
      <formula>0</formula>
    </cfRule>
  </conditionalFormatting>
  <conditionalFormatting sqref="R20">
    <cfRule type="cellIs" dxfId="3363" priority="545" operator="equal">
      <formula>0</formula>
    </cfRule>
    <cfRule type="cellIs" dxfId="3362" priority="546" operator="notEqual">
      <formula>0</formula>
    </cfRule>
  </conditionalFormatting>
  <conditionalFormatting sqref="C25:C26">
    <cfRule type="cellIs" dxfId="3361" priority="543" operator="equal">
      <formula>0</formula>
    </cfRule>
    <cfRule type="cellIs" dxfId="3360" priority="544" operator="notEqual">
      <formula>0</formula>
    </cfRule>
  </conditionalFormatting>
  <conditionalFormatting sqref="D25:D26">
    <cfRule type="cellIs" dxfId="3359" priority="541" operator="equal">
      <formula>0</formula>
    </cfRule>
    <cfRule type="cellIs" dxfId="3358" priority="542" operator="notEqual">
      <formula>0</formula>
    </cfRule>
  </conditionalFormatting>
  <conditionalFormatting sqref="E25:E26">
    <cfRule type="cellIs" dxfId="3357" priority="539" operator="equal">
      <formula>0</formula>
    </cfRule>
    <cfRule type="cellIs" dxfId="3356" priority="540" operator="notEqual">
      <formula>0</formula>
    </cfRule>
  </conditionalFormatting>
  <conditionalFormatting sqref="F25:F26">
    <cfRule type="cellIs" dxfId="3355" priority="537" operator="equal">
      <formula>0</formula>
    </cfRule>
    <cfRule type="cellIs" dxfId="3354" priority="538" operator="notEqual">
      <formula>0</formula>
    </cfRule>
  </conditionalFormatting>
  <conditionalFormatting sqref="G25:G26">
    <cfRule type="cellIs" dxfId="3353" priority="535" operator="equal">
      <formula>0</formula>
    </cfRule>
    <cfRule type="cellIs" dxfId="3352" priority="536" operator="notEqual">
      <formula>0</formula>
    </cfRule>
  </conditionalFormatting>
  <conditionalFormatting sqref="H25:H26">
    <cfRule type="cellIs" dxfId="3351" priority="533" operator="equal">
      <formula>0</formula>
    </cfRule>
    <cfRule type="cellIs" dxfId="3350" priority="534" operator="notEqual">
      <formula>0</formula>
    </cfRule>
  </conditionalFormatting>
  <conditionalFormatting sqref="I25:I26">
    <cfRule type="cellIs" dxfId="3349" priority="531" operator="equal">
      <formula>0</formula>
    </cfRule>
    <cfRule type="cellIs" dxfId="3348" priority="532" operator="notEqual">
      <formula>0</formula>
    </cfRule>
  </conditionalFormatting>
  <conditionalFormatting sqref="J25:J26">
    <cfRule type="cellIs" dxfId="3347" priority="529" operator="equal">
      <formula>0</formula>
    </cfRule>
    <cfRule type="cellIs" dxfId="3346" priority="530" operator="notEqual">
      <formula>0</formula>
    </cfRule>
  </conditionalFormatting>
  <conditionalFormatting sqref="O24">
    <cfRule type="cellIs" dxfId="3345" priority="527" operator="equal">
      <formula>0</formula>
    </cfRule>
    <cfRule type="cellIs" dxfId="3344" priority="528" operator="notEqual">
      <formula>0</formula>
    </cfRule>
  </conditionalFormatting>
  <conditionalFormatting sqref="O27">
    <cfRule type="cellIs" dxfId="3343" priority="525" operator="equal">
      <formula>0</formula>
    </cfRule>
    <cfRule type="cellIs" dxfId="3342" priority="526" operator="notEqual">
      <formula>0</formula>
    </cfRule>
  </conditionalFormatting>
  <conditionalFormatting sqref="P24">
    <cfRule type="cellIs" dxfId="3341" priority="523" operator="equal">
      <formula>0</formula>
    </cfRule>
    <cfRule type="cellIs" dxfId="3340" priority="524" operator="notEqual">
      <formula>0</formula>
    </cfRule>
  </conditionalFormatting>
  <conditionalFormatting sqref="P27">
    <cfRule type="cellIs" dxfId="3339" priority="521" operator="equal">
      <formula>0</formula>
    </cfRule>
    <cfRule type="cellIs" dxfId="3338" priority="522" operator="notEqual">
      <formula>0</formula>
    </cfRule>
  </conditionalFormatting>
  <conditionalFormatting sqref="Q24">
    <cfRule type="cellIs" dxfId="3337" priority="519" operator="equal">
      <formula>0</formula>
    </cfRule>
    <cfRule type="cellIs" dxfId="3336" priority="520" operator="notEqual">
      <formula>0</formula>
    </cfRule>
  </conditionalFormatting>
  <conditionalFormatting sqref="Q27">
    <cfRule type="cellIs" dxfId="3335" priority="517" operator="equal">
      <formula>0</formula>
    </cfRule>
    <cfRule type="cellIs" dxfId="3334" priority="518" operator="notEqual">
      <formula>0</formula>
    </cfRule>
  </conditionalFormatting>
  <conditionalFormatting sqref="R24">
    <cfRule type="cellIs" dxfId="3333" priority="515" operator="equal">
      <formula>0</formula>
    </cfRule>
    <cfRule type="cellIs" dxfId="3332" priority="516" operator="notEqual">
      <formula>0</formula>
    </cfRule>
  </conditionalFormatting>
  <conditionalFormatting sqref="R27">
    <cfRule type="cellIs" dxfId="3331" priority="513" operator="equal">
      <formula>0</formula>
    </cfRule>
    <cfRule type="cellIs" dxfId="3330" priority="514" operator="notEqual">
      <formula>0</formula>
    </cfRule>
  </conditionalFormatting>
  <conditionalFormatting sqref="C32:C33">
    <cfRule type="cellIs" dxfId="3329" priority="511" operator="equal">
      <formula>0</formula>
    </cfRule>
    <cfRule type="cellIs" dxfId="3328" priority="512" operator="notEqual">
      <formula>0</formula>
    </cfRule>
  </conditionalFormatting>
  <conditionalFormatting sqref="D32:D33">
    <cfRule type="cellIs" dxfId="3327" priority="509" operator="equal">
      <formula>0</formula>
    </cfRule>
    <cfRule type="cellIs" dxfId="3326" priority="510" operator="notEqual">
      <formula>0</formula>
    </cfRule>
  </conditionalFormatting>
  <conditionalFormatting sqref="E32:E33">
    <cfRule type="cellIs" dxfId="3325" priority="507" operator="equal">
      <formula>0</formula>
    </cfRule>
    <cfRule type="cellIs" dxfId="3324" priority="508" operator="notEqual">
      <formula>0</formula>
    </cfRule>
  </conditionalFormatting>
  <conditionalFormatting sqref="F32:F33">
    <cfRule type="cellIs" dxfId="3323" priority="505" operator="equal">
      <formula>0</formula>
    </cfRule>
    <cfRule type="cellIs" dxfId="3322" priority="506" operator="notEqual">
      <formula>0</formula>
    </cfRule>
  </conditionalFormatting>
  <conditionalFormatting sqref="G32:G33">
    <cfRule type="cellIs" dxfId="3321" priority="503" operator="equal">
      <formula>0</formula>
    </cfRule>
    <cfRule type="cellIs" dxfId="3320" priority="504" operator="notEqual">
      <formula>0</formula>
    </cfRule>
  </conditionalFormatting>
  <conditionalFormatting sqref="H32:H33">
    <cfRule type="cellIs" dxfId="3319" priority="501" operator="equal">
      <formula>0</formula>
    </cfRule>
    <cfRule type="cellIs" dxfId="3318" priority="502" operator="notEqual">
      <formula>0</formula>
    </cfRule>
  </conditionalFormatting>
  <conditionalFormatting sqref="I32:I33">
    <cfRule type="cellIs" dxfId="3317" priority="499" operator="equal">
      <formula>0</formula>
    </cfRule>
    <cfRule type="cellIs" dxfId="3316" priority="500" operator="notEqual">
      <formula>0</formula>
    </cfRule>
  </conditionalFormatting>
  <conditionalFormatting sqref="J32:J33">
    <cfRule type="cellIs" dxfId="3315" priority="497" operator="equal">
      <formula>0</formula>
    </cfRule>
    <cfRule type="cellIs" dxfId="3314" priority="498" operator="notEqual">
      <formula>0</formula>
    </cfRule>
  </conditionalFormatting>
  <conditionalFormatting sqref="O31">
    <cfRule type="cellIs" dxfId="3313" priority="495" operator="equal">
      <formula>0</formula>
    </cfRule>
    <cfRule type="cellIs" dxfId="3312" priority="496" operator="notEqual">
      <formula>0</formula>
    </cfRule>
  </conditionalFormatting>
  <conditionalFormatting sqref="O34">
    <cfRule type="cellIs" dxfId="3311" priority="493" operator="equal">
      <formula>0</formula>
    </cfRule>
    <cfRule type="cellIs" dxfId="3310" priority="494" operator="notEqual">
      <formula>0</formula>
    </cfRule>
  </conditionalFormatting>
  <conditionalFormatting sqref="P31">
    <cfRule type="cellIs" dxfId="3309" priority="491" operator="equal">
      <formula>0</formula>
    </cfRule>
    <cfRule type="cellIs" dxfId="3308" priority="492" operator="notEqual">
      <formula>0</formula>
    </cfRule>
  </conditionalFormatting>
  <conditionalFormatting sqref="P34">
    <cfRule type="cellIs" dxfId="3307" priority="489" operator="equal">
      <formula>0</formula>
    </cfRule>
    <cfRule type="cellIs" dxfId="3306" priority="490" operator="notEqual">
      <formula>0</formula>
    </cfRule>
  </conditionalFormatting>
  <conditionalFormatting sqref="Q31">
    <cfRule type="cellIs" dxfId="3305" priority="487" operator="equal">
      <formula>0</formula>
    </cfRule>
    <cfRule type="cellIs" dxfId="3304" priority="488" operator="notEqual">
      <formula>0</formula>
    </cfRule>
  </conditionalFormatting>
  <conditionalFormatting sqref="Q34">
    <cfRule type="cellIs" dxfId="3303" priority="485" operator="equal">
      <formula>0</formula>
    </cfRule>
    <cfRule type="cellIs" dxfId="3302" priority="486" operator="notEqual">
      <formula>0</formula>
    </cfRule>
  </conditionalFormatting>
  <conditionalFormatting sqref="R31">
    <cfRule type="cellIs" dxfId="3301" priority="483" operator="equal">
      <formula>0</formula>
    </cfRule>
    <cfRule type="cellIs" dxfId="3300" priority="484" operator="notEqual">
      <formula>0</formula>
    </cfRule>
  </conditionalFormatting>
  <conditionalFormatting sqref="R34">
    <cfRule type="cellIs" dxfId="3299" priority="481" operator="equal">
      <formula>0</formula>
    </cfRule>
    <cfRule type="cellIs" dxfId="3298" priority="482" operator="notEqual">
      <formula>0</formula>
    </cfRule>
  </conditionalFormatting>
  <conditionalFormatting sqref="C39:C40">
    <cfRule type="cellIs" dxfId="3297" priority="479" operator="equal">
      <formula>0</formula>
    </cfRule>
    <cfRule type="cellIs" dxfId="3296" priority="480" operator="notEqual">
      <formula>0</formula>
    </cfRule>
  </conditionalFormatting>
  <conditionalFormatting sqref="D39:D40">
    <cfRule type="cellIs" dxfId="3295" priority="477" operator="equal">
      <formula>0</formula>
    </cfRule>
    <cfRule type="cellIs" dxfId="3294" priority="478" operator="notEqual">
      <formula>0</formula>
    </cfRule>
  </conditionalFormatting>
  <conditionalFormatting sqref="E39:E40">
    <cfRule type="cellIs" dxfId="3293" priority="475" operator="equal">
      <formula>0</formula>
    </cfRule>
    <cfRule type="cellIs" dxfId="3292" priority="476" operator="notEqual">
      <formula>0</formula>
    </cfRule>
  </conditionalFormatting>
  <conditionalFormatting sqref="F39:F40">
    <cfRule type="cellIs" dxfId="3291" priority="473" operator="equal">
      <formula>0</formula>
    </cfRule>
    <cfRule type="cellIs" dxfId="3290" priority="474" operator="notEqual">
      <formula>0</formula>
    </cfRule>
  </conditionalFormatting>
  <conditionalFormatting sqref="G39:G40">
    <cfRule type="cellIs" dxfId="3289" priority="471" operator="equal">
      <formula>0</formula>
    </cfRule>
    <cfRule type="cellIs" dxfId="3288" priority="472" operator="notEqual">
      <formula>0</formula>
    </cfRule>
  </conditionalFormatting>
  <conditionalFormatting sqref="H39:H40">
    <cfRule type="cellIs" dxfId="3287" priority="469" operator="equal">
      <formula>0</formula>
    </cfRule>
    <cfRule type="cellIs" dxfId="3286" priority="470" operator="notEqual">
      <formula>0</formula>
    </cfRule>
  </conditionalFormatting>
  <conditionalFormatting sqref="I39:I40">
    <cfRule type="cellIs" dxfId="3285" priority="467" operator="equal">
      <formula>0</formula>
    </cfRule>
    <cfRule type="cellIs" dxfId="3284" priority="468" operator="notEqual">
      <formula>0</formula>
    </cfRule>
  </conditionalFormatting>
  <conditionalFormatting sqref="J39:J40">
    <cfRule type="cellIs" dxfId="3283" priority="465" operator="equal">
      <formula>0</formula>
    </cfRule>
    <cfRule type="cellIs" dxfId="3282" priority="466" operator="notEqual">
      <formula>0</formula>
    </cfRule>
  </conditionalFormatting>
  <conditionalFormatting sqref="O38">
    <cfRule type="cellIs" dxfId="3281" priority="463" operator="equal">
      <formula>0</formula>
    </cfRule>
    <cfRule type="cellIs" dxfId="3280" priority="464" operator="notEqual">
      <formula>0</formula>
    </cfRule>
  </conditionalFormatting>
  <conditionalFormatting sqref="O41">
    <cfRule type="cellIs" dxfId="3279" priority="461" operator="equal">
      <formula>0</formula>
    </cfRule>
    <cfRule type="cellIs" dxfId="3278" priority="462" operator="notEqual">
      <formula>0</formula>
    </cfRule>
  </conditionalFormatting>
  <conditionalFormatting sqref="P38">
    <cfRule type="cellIs" dxfId="3277" priority="459" operator="equal">
      <formula>0</formula>
    </cfRule>
    <cfRule type="cellIs" dxfId="3276" priority="460" operator="notEqual">
      <formula>0</formula>
    </cfRule>
  </conditionalFormatting>
  <conditionalFormatting sqref="P41">
    <cfRule type="cellIs" dxfId="3275" priority="457" operator="equal">
      <formula>0</formula>
    </cfRule>
    <cfRule type="cellIs" dxfId="3274" priority="458" operator="notEqual">
      <formula>0</formula>
    </cfRule>
  </conditionalFormatting>
  <conditionalFormatting sqref="Q38">
    <cfRule type="cellIs" dxfId="3273" priority="455" operator="equal">
      <formula>0</formula>
    </cfRule>
    <cfRule type="cellIs" dxfId="3272" priority="456" operator="notEqual">
      <formula>0</formula>
    </cfRule>
  </conditionalFormatting>
  <conditionalFormatting sqref="Q41">
    <cfRule type="cellIs" dxfId="3271" priority="453" operator="equal">
      <formula>0</formula>
    </cfRule>
    <cfRule type="cellIs" dxfId="3270" priority="454" operator="notEqual">
      <formula>0</formula>
    </cfRule>
  </conditionalFormatting>
  <conditionalFormatting sqref="R38">
    <cfRule type="cellIs" dxfId="3269" priority="451" operator="equal">
      <formula>0</formula>
    </cfRule>
    <cfRule type="cellIs" dxfId="3268" priority="452" operator="notEqual">
      <formula>0</formula>
    </cfRule>
  </conditionalFormatting>
  <conditionalFormatting sqref="R41">
    <cfRule type="cellIs" dxfId="3267" priority="449" operator="equal">
      <formula>0</formula>
    </cfRule>
    <cfRule type="cellIs" dxfId="3266" priority="450" operator="notEqual">
      <formula>0</formula>
    </cfRule>
  </conditionalFormatting>
  <conditionalFormatting sqref="C46:C47">
    <cfRule type="cellIs" dxfId="3265" priority="447" operator="equal">
      <formula>0</formula>
    </cfRule>
    <cfRule type="cellIs" dxfId="3264" priority="448" operator="notEqual">
      <formula>0</formula>
    </cfRule>
  </conditionalFormatting>
  <conditionalFormatting sqref="D46:D47">
    <cfRule type="cellIs" dxfId="3263" priority="445" operator="equal">
      <formula>0</formula>
    </cfRule>
    <cfRule type="cellIs" dxfId="3262" priority="446" operator="notEqual">
      <formula>0</formula>
    </cfRule>
  </conditionalFormatting>
  <conditionalFormatting sqref="E46:E47">
    <cfRule type="cellIs" dxfId="3261" priority="443" operator="equal">
      <formula>0</formula>
    </cfRule>
    <cfRule type="cellIs" dxfId="3260" priority="444" operator="notEqual">
      <formula>0</formula>
    </cfRule>
  </conditionalFormatting>
  <conditionalFormatting sqref="F46:F47">
    <cfRule type="cellIs" dxfId="3259" priority="441" operator="equal">
      <formula>0</formula>
    </cfRule>
    <cfRule type="cellIs" dxfId="3258" priority="442" operator="notEqual">
      <formula>0</formula>
    </cfRule>
  </conditionalFormatting>
  <conditionalFormatting sqref="G46:G47">
    <cfRule type="cellIs" dxfId="3257" priority="439" operator="equal">
      <formula>0</formula>
    </cfRule>
    <cfRule type="cellIs" dxfId="3256" priority="440" operator="notEqual">
      <formula>0</formula>
    </cfRule>
  </conditionalFormatting>
  <conditionalFormatting sqref="H46:H47">
    <cfRule type="cellIs" dxfId="3255" priority="437" operator="equal">
      <formula>0</formula>
    </cfRule>
    <cfRule type="cellIs" dxfId="3254" priority="438" operator="notEqual">
      <formula>0</formula>
    </cfRule>
  </conditionalFormatting>
  <conditionalFormatting sqref="I46:I47">
    <cfRule type="cellIs" dxfId="3253" priority="435" operator="equal">
      <formula>0</formula>
    </cfRule>
    <cfRule type="cellIs" dxfId="3252" priority="436" operator="notEqual">
      <formula>0</formula>
    </cfRule>
  </conditionalFormatting>
  <conditionalFormatting sqref="J46:J47">
    <cfRule type="cellIs" dxfId="3251" priority="433" operator="equal">
      <formula>0</formula>
    </cfRule>
    <cfRule type="cellIs" dxfId="3250" priority="434" operator="notEqual">
      <formula>0</formula>
    </cfRule>
  </conditionalFormatting>
  <conditionalFormatting sqref="O45">
    <cfRule type="cellIs" dxfId="3249" priority="431" operator="equal">
      <formula>0</formula>
    </cfRule>
    <cfRule type="cellIs" dxfId="3248" priority="432" operator="notEqual">
      <formula>0</formula>
    </cfRule>
  </conditionalFormatting>
  <conditionalFormatting sqref="O48">
    <cfRule type="cellIs" dxfId="3247" priority="429" operator="equal">
      <formula>0</formula>
    </cfRule>
    <cfRule type="cellIs" dxfId="3246" priority="430" operator="notEqual">
      <formula>0</formula>
    </cfRule>
  </conditionalFormatting>
  <conditionalFormatting sqref="P45">
    <cfRule type="cellIs" dxfId="3245" priority="427" operator="equal">
      <formula>0</formula>
    </cfRule>
    <cfRule type="cellIs" dxfId="3244" priority="428" operator="notEqual">
      <formula>0</formula>
    </cfRule>
  </conditionalFormatting>
  <conditionalFormatting sqref="P48">
    <cfRule type="cellIs" dxfId="3243" priority="425" operator="equal">
      <formula>0</formula>
    </cfRule>
    <cfRule type="cellIs" dxfId="3242" priority="426" operator="notEqual">
      <formula>0</formula>
    </cfRule>
  </conditionalFormatting>
  <conditionalFormatting sqref="Q45">
    <cfRule type="cellIs" dxfId="3241" priority="423" operator="equal">
      <formula>0</formula>
    </cfRule>
    <cfRule type="cellIs" dxfId="3240" priority="424" operator="notEqual">
      <formula>0</formula>
    </cfRule>
  </conditionalFormatting>
  <conditionalFormatting sqref="Q48">
    <cfRule type="cellIs" dxfId="3239" priority="421" operator="equal">
      <formula>0</formula>
    </cfRule>
    <cfRule type="cellIs" dxfId="3238" priority="422" operator="notEqual">
      <formula>0</formula>
    </cfRule>
  </conditionalFormatting>
  <conditionalFormatting sqref="R45">
    <cfRule type="cellIs" dxfId="3237" priority="419" operator="equal">
      <formula>0</formula>
    </cfRule>
    <cfRule type="cellIs" dxfId="3236" priority="420" operator="notEqual">
      <formula>0</formula>
    </cfRule>
  </conditionalFormatting>
  <conditionalFormatting sqref="R48">
    <cfRule type="cellIs" dxfId="3235" priority="417" operator="equal">
      <formula>0</formula>
    </cfRule>
    <cfRule type="cellIs" dxfId="3234" priority="418" operator="notEqual">
      <formula>0</formula>
    </cfRule>
  </conditionalFormatting>
  <conditionalFormatting sqref="C53:C54">
    <cfRule type="cellIs" dxfId="3233" priority="415" operator="equal">
      <formula>0</formula>
    </cfRule>
    <cfRule type="cellIs" dxfId="3232" priority="416" operator="notEqual">
      <formula>0</formula>
    </cfRule>
  </conditionalFormatting>
  <conditionalFormatting sqref="D53:D54">
    <cfRule type="cellIs" dxfId="3231" priority="413" operator="equal">
      <formula>0</formula>
    </cfRule>
    <cfRule type="cellIs" dxfId="3230" priority="414" operator="notEqual">
      <formula>0</formula>
    </cfRule>
  </conditionalFormatting>
  <conditionalFormatting sqref="E53:E54">
    <cfRule type="cellIs" dxfId="3229" priority="411" operator="equal">
      <formula>0</formula>
    </cfRule>
    <cfRule type="cellIs" dxfId="3228" priority="412" operator="notEqual">
      <formula>0</formula>
    </cfRule>
  </conditionalFormatting>
  <conditionalFormatting sqref="F53:F54">
    <cfRule type="cellIs" dxfId="3227" priority="409" operator="equal">
      <formula>0</formula>
    </cfRule>
    <cfRule type="cellIs" dxfId="3226" priority="410" operator="notEqual">
      <formula>0</formula>
    </cfRule>
  </conditionalFormatting>
  <conditionalFormatting sqref="G53:G54">
    <cfRule type="cellIs" dxfId="3225" priority="407" operator="equal">
      <formula>0</formula>
    </cfRule>
    <cfRule type="cellIs" dxfId="3224" priority="408" operator="notEqual">
      <formula>0</formula>
    </cfRule>
  </conditionalFormatting>
  <conditionalFormatting sqref="H53:H54">
    <cfRule type="cellIs" dxfId="3223" priority="405" operator="equal">
      <formula>0</formula>
    </cfRule>
    <cfRule type="cellIs" dxfId="3222" priority="406" operator="notEqual">
      <formula>0</formula>
    </cfRule>
  </conditionalFormatting>
  <conditionalFormatting sqref="I53:I54">
    <cfRule type="cellIs" dxfId="3221" priority="403" operator="equal">
      <formula>0</formula>
    </cfRule>
    <cfRule type="cellIs" dxfId="3220" priority="404" operator="notEqual">
      <formula>0</formula>
    </cfRule>
  </conditionalFormatting>
  <conditionalFormatting sqref="J53:J54">
    <cfRule type="cellIs" dxfId="3219" priority="401" operator="equal">
      <formula>0</formula>
    </cfRule>
    <cfRule type="cellIs" dxfId="3218" priority="402" operator="notEqual">
      <formula>0</formula>
    </cfRule>
  </conditionalFormatting>
  <conditionalFormatting sqref="O52">
    <cfRule type="cellIs" dxfId="3217" priority="399" operator="equal">
      <formula>0</formula>
    </cfRule>
    <cfRule type="cellIs" dxfId="3216" priority="400" operator="notEqual">
      <formula>0</formula>
    </cfRule>
  </conditionalFormatting>
  <conditionalFormatting sqref="O55">
    <cfRule type="cellIs" dxfId="3215" priority="397" operator="equal">
      <formula>0</formula>
    </cfRule>
    <cfRule type="cellIs" dxfId="3214" priority="398" operator="notEqual">
      <formula>0</formula>
    </cfRule>
  </conditionalFormatting>
  <conditionalFormatting sqref="P52">
    <cfRule type="cellIs" dxfId="3213" priority="395" operator="equal">
      <formula>0</formula>
    </cfRule>
    <cfRule type="cellIs" dxfId="3212" priority="396" operator="notEqual">
      <formula>0</formula>
    </cfRule>
  </conditionalFormatting>
  <conditionalFormatting sqref="P55">
    <cfRule type="cellIs" dxfId="3211" priority="393" operator="equal">
      <formula>0</formula>
    </cfRule>
    <cfRule type="cellIs" dxfId="3210" priority="394" operator="notEqual">
      <formula>0</formula>
    </cfRule>
  </conditionalFormatting>
  <conditionalFormatting sqref="Q52">
    <cfRule type="cellIs" dxfId="3209" priority="391" operator="equal">
      <formula>0</formula>
    </cfRule>
    <cfRule type="cellIs" dxfId="3208" priority="392" operator="notEqual">
      <formula>0</formula>
    </cfRule>
  </conditionalFormatting>
  <conditionalFormatting sqref="Q55">
    <cfRule type="cellIs" dxfId="3207" priority="389" operator="equal">
      <formula>0</formula>
    </cfRule>
    <cfRule type="cellIs" dxfId="3206" priority="390" operator="notEqual">
      <formula>0</formula>
    </cfRule>
  </conditionalFormatting>
  <conditionalFormatting sqref="R52">
    <cfRule type="cellIs" dxfId="3205" priority="387" operator="equal">
      <formula>0</formula>
    </cfRule>
    <cfRule type="cellIs" dxfId="3204" priority="388" operator="notEqual">
      <formula>0</formula>
    </cfRule>
  </conditionalFormatting>
  <conditionalFormatting sqref="R55">
    <cfRule type="cellIs" dxfId="3203" priority="385" operator="equal">
      <formula>0</formula>
    </cfRule>
    <cfRule type="cellIs" dxfId="3202" priority="386" operator="notEqual">
      <formula>0</formula>
    </cfRule>
  </conditionalFormatting>
  <conditionalFormatting sqref="C60:C61">
    <cfRule type="cellIs" dxfId="3201" priority="383" operator="equal">
      <formula>0</formula>
    </cfRule>
    <cfRule type="cellIs" dxfId="3200" priority="384" operator="notEqual">
      <formula>0</formula>
    </cfRule>
  </conditionalFormatting>
  <conditionalFormatting sqref="D60:D61">
    <cfRule type="cellIs" dxfId="3199" priority="381" operator="equal">
      <formula>0</formula>
    </cfRule>
    <cfRule type="cellIs" dxfId="3198" priority="382" operator="notEqual">
      <formula>0</formula>
    </cfRule>
  </conditionalFormatting>
  <conditionalFormatting sqref="E60:E61">
    <cfRule type="cellIs" dxfId="3197" priority="379" operator="equal">
      <formula>0</formula>
    </cfRule>
    <cfRule type="cellIs" dxfId="3196" priority="380" operator="notEqual">
      <formula>0</formula>
    </cfRule>
  </conditionalFormatting>
  <conditionalFormatting sqref="F60:F61">
    <cfRule type="cellIs" dxfId="3195" priority="377" operator="equal">
      <formula>0</formula>
    </cfRule>
    <cfRule type="cellIs" dxfId="3194" priority="378" operator="notEqual">
      <formula>0</formula>
    </cfRule>
  </conditionalFormatting>
  <conditionalFormatting sqref="G60:G61">
    <cfRule type="cellIs" dxfId="3193" priority="375" operator="equal">
      <formula>0</formula>
    </cfRule>
    <cfRule type="cellIs" dxfId="3192" priority="376" operator="notEqual">
      <formula>0</formula>
    </cfRule>
  </conditionalFormatting>
  <conditionalFormatting sqref="H60:H61">
    <cfRule type="cellIs" dxfId="3191" priority="373" operator="equal">
      <formula>0</formula>
    </cfRule>
    <cfRule type="cellIs" dxfId="3190" priority="374" operator="notEqual">
      <formula>0</formula>
    </cfRule>
  </conditionalFormatting>
  <conditionalFormatting sqref="I60:I61">
    <cfRule type="cellIs" dxfId="3189" priority="371" operator="equal">
      <formula>0</formula>
    </cfRule>
    <cfRule type="cellIs" dxfId="3188" priority="372" operator="notEqual">
      <formula>0</formula>
    </cfRule>
  </conditionalFormatting>
  <conditionalFormatting sqref="J60:J61">
    <cfRule type="cellIs" dxfId="3187" priority="369" operator="equal">
      <formula>0</formula>
    </cfRule>
    <cfRule type="cellIs" dxfId="3186" priority="370" operator="notEqual">
      <formula>0</formula>
    </cfRule>
  </conditionalFormatting>
  <conditionalFormatting sqref="O59">
    <cfRule type="cellIs" dxfId="3185" priority="367" operator="equal">
      <formula>0</formula>
    </cfRule>
    <cfRule type="cellIs" dxfId="3184" priority="368" operator="notEqual">
      <formula>0</formula>
    </cfRule>
  </conditionalFormatting>
  <conditionalFormatting sqref="O62">
    <cfRule type="cellIs" dxfId="3183" priority="365" operator="equal">
      <formula>0</formula>
    </cfRule>
    <cfRule type="cellIs" dxfId="3182" priority="366" operator="notEqual">
      <formula>0</formula>
    </cfRule>
  </conditionalFormatting>
  <conditionalFormatting sqref="P59">
    <cfRule type="cellIs" dxfId="3181" priority="363" operator="equal">
      <formula>0</formula>
    </cfRule>
    <cfRule type="cellIs" dxfId="3180" priority="364" operator="notEqual">
      <formula>0</formula>
    </cfRule>
  </conditionalFormatting>
  <conditionalFormatting sqref="P62">
    <cfRule type="cellIs" dxfId="3179" priority="361" operator="equal">
      <formula>0</formula>
    </cfRule>
    <cfRule type="cellIs" dxfId="3178" priority="362" operator="notEqual">
      <formula>0</formula>
    </cfRule>
  </conditionalFormatting>
  <conditionalFormatting sqref="Q59">
    <cfRule type="cellIs" dxfId="3177" priority="359" operator="equal">
      <formula>0</formula>
    </cfRule>
    <cfRule type="cellIs" dxfId="3176" priority="360" operator="notEqual">
      <formula>0</formula>
    </cfRule>
  </conditionalFormatting>
  <conditionalFormatting sqref="Q62">
    <cfRule type="cellIs" dxfId="3175" priority="357" operator="equal">
      <formula>0</formula>
    </cfRule>
    <cfRule type="cellIs" dxfId="3174" priority="358" operator="notEqual">
      <formula>0</formula>
    </cfRule>
  </conditionalFormatting>
  <conditionalFormatting sqref="R59">
    <cfRule type="cellIs" dxfId="3173" priority="355" operator="equal">
      <formula>0</formula>
    </cfRule>
    <cfRule type="cellIs" dxfId="3172" priority="356" operator="notEqual">
      <formula>0</formula>
    </cfRule>
  </conditionalFormatting>
  <conditionalFormatting sqref="R62">
    <cfRule type="cellIs" dxfId="3171" priority="353" operator="equal">
      <formula>0</formula>
    </cfRule>
    <cfRule type="cellIs" dxfId="3170" priority="354" operator="notEqual">
      <formula>0</formula>
    </cfRule>
  </conditionalFormatting>
  <conditionalFormatting sqref="C67:C68">
    <cfRule type="cellIs" dxfId="3169" priority="351" operator="equal">
      <formula>0</formula>
    </cfRule>
    <cfRule type="cellIs" dxfId="3168" priority="352" operator="notEqual">
      <formula>0</formula>
    </cfRule>
  </conditionalFormatting>
  <conditionalFormatting sqref="D67:D68">
    <cfRule type="cellIs" dxfId="3167" priority="349" operator="equal">
      <formula>0</formula>
    </cfRule>
    <cfRule type="cellIs" dxfId="3166" priority="350" operator="notEqual">
      <formula>0</formula>
    </cfRule>
  </conditionalFormatting>
  <conditionalFormatting sqref="E67:E68">
    <cfRule type="cellIs" dxfId="3165" priority="347" operator="equal">
      <formula>0</formula>
    </cfRule>
    <cfRule type="cellIs" dxfId="3164" priority="348" operator="notEqual">
      <formula>0</formula>
    </cfRule>
  </conditionalFormatting>
  <conditionalFormatting sqref="F67:F68">
    <cfRule type="cellIs" dxfId="3163" priority="345" operator="equal">
      <formula>0</formula>
    </cfRule>
    <cfRule type="cellIs" dxfId="3162" priority="346" operator="notEqual">
      <formula>0</formula>
    </cfRule>
  </conditionalFormatting>
  <conditionalFormatting sqref="G67:G68">
    <cfRule type="cellIs" dxfId="3161" priority="343" operator="equal">
      <formula>0</formula>
    </cfRule>
    <cfRule type="cellIs" dxfId="3160" priority="344" operator="notEqual">
      <formula>0</formula>
    </cfRule>
  </conditionalFormatting>
  <conditionalFormatting sqref="H67:H68">
    <cfRule type="cellIs" dxfId="3159" priority="341" operator="equal">
      <formula>0</formula>
    </cfRule>
    <cfRule type="cellIs" dxfId="3158" priority="342" operator="notEqual">
      <formula>0</formula>
    </cfRule>
  </conditionalFormatting>
  <conditionalFormatting sqref="I67:I68">
    <cfRule type="cellIs" dxfId="3157" priority="339" operator="equal">
      <formula>0</formula>
    </cfRule>
    <cfRule type="cellIs" dxfId="3156" priority="340" operator="notEqual">
      <formula>0</formula>
    </cfRule>
  </conditionalFormatting>
  <conditionalFormatting sqref="J67:J68">
    <cfRule type="cellIs" dxfId="3155" priority="337" operator="equal">
      <formula>0</formula>
    </cfRule>
    <cfRule type="cellIs" dxfId="3154" priority="338" operator="notEqual">
      <formula>0</formula>
    </cfRule>
  </conditionalFormatting>
  <conditionalFormatting sqref="O66">
    <cfRule type="cellIs" dxfId="3153" priority="335" operator="equal">
      <formula>0</formula>
    </cfRule>
    <cfRule type="cellIs" dxfId="3152" priority="336" operator="notEqual">
      <formula>0</formula>
    </cfRule>
  </conditionalFormatting>
  <conditionalFormatting sqref="O69">
    <cfRule type="cellIs" dxfId="3151" priority="333" operator="equal">
      <formula>0</formula>
    </cfRule>
    <cfRule type="cellIs" dxfId="3150" priority="334" operator="notEqual">
      <formula>0</formula>
    </cfRule>
  </conditionalFormatting>
  <conditionalFormatting sqref="P66">
    <cfRule type="cellIs" dxfId="3149" priority="331" operator="equal">
      <formula>0</formula>
    </cfRule>
    <cfRule type="cellIs" dxfId="3148" priority="332" operator="notEqual">
      <formula>0</formula>
    </cfRule>
  </conditionalFormatting>
  <conditionalFormatting sqref="P69">
    <cfRule type="cellIs" dxfId="3147" priority="329" operator="equal">
      <formula>0</formula>
    </cfRule>
    <cfRule type="cellIs" dxfId="3146" priority="330" operator="notEqual">
      <formula>0</formula>
    </cfRule>
  </conditionalFormatting>
  <conditionalFormatting sqref="Q66">
    <cfRule type="cellIs" dxfId="3145" priority="327" operator="equal">
      <formula>0</formula>
    </cfRule>
    <cfRule type="cellIs" dxfId="3144" priority="328" operator="notEqual">
      <formula>0</formula>
    </cfRule>
  </conditionalFormatting>
  <conditionalFormatting sqref="Q69">
    <cfRule type="cellIs" dxfId="3143" priority="325" operator="equal">
      <formula>0</formula>
    </cfRule>
    <cfRule type="cellIs" dxfId="3142" priority="326" operator="notEqual">
      <formula>0</formula>
    </cfRule>
  </conditionalFormatting>
  <conditionalFormatting sqref="R66">
    <cfRule type="cellIs" dxfId="3141" priority="323" operator="equal">
      <formula>0</formula>
    </cfRule>
    <cfRule type="cellIs" dxfId="3140" priority="324" operator="notEqual">
      <formula>0</formula>
    </cfRule>
  </conditionalFormatting>
  <conditionalFormatting sqref="R69">
    <cfRule type="cellIs" dxfId="3139" priority="321" operator="equal">
      <formula>0</formula>
    </cfRule>
    <cfRule type="cellIs" dxfId="3138" priority="322" operator="notEqual">
      <formula>0</formula>
    </cfRule>
  </conditionalFormatting>
  <conditionalFormatting sqref="C74:C75 C81:C82 C88:C89 C95:C96 C102:C103">
    <cfRule type="cellIs" dxfId="3137" priority="319" operator="equal">
      <formula>0</formula>
    </cfRule>
    <cfRule type="cellIs" dxfId="3136" priority="320" operator="notEqual">
      <formula>0</formula>
    </cfRule>
  </conditionalFormatting>
  <conditionalFormatting sqref="D74:D75 D81:D82 D88:D89 D95:D96 D102:D103">
    <cfRule type="cellIs" dxfId="3135" priority="317" operator="equal">
      <formula>0</formula>
    </cfRule>
    <cfRule type="cellIs" dxfId="3134" priority="318" operator="notEqual">
      <formula>0</formula>
    </cfRule>
  </conditionalFormatting>
  <conditionalFormatting sqref="E74:E75 E81:E82 E88:E89 E95:E96 E102:E103">
    <cfRule type="cellIs" dxfId="3133" priority="315" operator="equal">
      <formula>0</formula>
    </cfRule>
    <cfRule type="cellIs" dxfId="3132" priority="316" operator="notEqual">
      <formula>0</formula>
    </cfRule>
  </conditionalFormatting>
  <conditionalFormatting sqref="F74:F75 F81:F82 F88:F89 F95:F96 F102:F103">
    <cfRule type="cellIs" dxfId="3131" priority="313" operator="equal">
      <formula>0</formula>
    </cfRule>
    <cfRule type="cellIs" dxfId="3130" priority="314" operator="notEqual">
      <formula>0</formula>
    </cfRule>
  </conditionalFormatting>
  <conditionalFormatting sqref="G74:G75 G81:G82 G88:G89 G95:G96 G102:G103">
    <cfRule type="cellIs" dxfId="3129" priority="311" operator="equal">
      <formula>0</formula>
    </cfRule>
    <cfRule type="cellIs" dxfId="3128" priority="312" operator="notEqual">
      <formula>0</formula>
    </cfRule>
  </conditionalFormatting>
  <conditionalFormatting sqref="H74:H75 H81:H82 H88:H89 H95:H96 H102:H103">
    <cfRule type="cellIs" dxfId="3127" priority="309" operator="equal">
      <formula>0</formula>
    </cfRule>
    <cfRule type="cellIs" dxfId="3126" priority="310" operator="notEqual">
      <formula>0</formula>
    </cfRule>
  </conditionalFormatting>
  <conditionalFormatting sqref="I74:I75 I81:I82 I88:I89 I95:I96 I102:I103">
    <cfRule type="cellIs" dxfId="3125" priority="307" operator="equal">
      <formula>0</formula>
    </cfRule>
    <cfRule type="cellIs" dxfId="3124" priority="308" operator="notEqual">
      <formula>0</formula>
    </cfRule>
  </conditionalFormatting>
  <conditionalFormatting sqref="J74:J75 J81:J82 J88:J89 J95:J96 J102:J103">
    <cfRule type="cellIs" dxfId="3123" priority="305" operator="equal">
      <formula>0</formula>
    </cfRule>
    <cfRule type="cellIs" dxfId="3122" priority="306" operator="notEqual">
      <formula>0</formula>
    </cfRule>
  </conditionalFormatting>
  <conditionalFormatting sqref="O73 O80 O87 O94 O101">
    <cfRule type="cellIs" dxfId="3121" priority="303" operator="equal">
      <formula>0</formula>
    </cfRule>
    <cfRule type="cellIs" dxfId="3120" priority="304" operator="notEqual">
      <formula>0</formula>
    </cfRule>
  </conditionalFormatting>
  <conditionalFormatting sqref="O76 O83 O90 O97 O104">
    <cfRule type="cellIs" dxfId="3119" priority="301" operator="equal">
      <formula>0</formula>
    </cfRule>
    <cfRule type="cellIs" dxfId="3118" priority="302" operator="notEqual">
      <formula>0</formula>
    </cfRule>
  </conditionalFormatting>
  <conditionalFormatting sqref="P73 P80 P87 P94 P101">
    <cfRule type="cellIs" dxfId="3117" priority="299" operator="equal">
      <formula>0</formula>
    </cfRule>
    <cfRule type="cellIs" dxfId="3116" priority="300" operator="notEqual">
      <formula>0</formula>
    </cfRule>
  </conditionalFormatting>
  <conditionalFormatting sqref="P76 P83 P90 P97 P104">
    <cfRule type="cellIs" dxfId="3115" priority="297" operator="equal">
      <formula>0</formula>
    </cfRule>
    <cfRule type="cellIs" dxfId="3114" priority="298" operator="notEqual">
      <formula>0</formula>
    </cfRule>
  </conditionalFormatting>
  <conditionalFormatting sqref="Q73 Q80 Q87 Q94 Q101">
    <cfRule type="cellIs" dxfId="3113" priority="295" operator="equal">
      <formula>0</formula>
    </cfRule>
    <cfRule type="cellIs" dxfId="3112" priority="296" operator="notEqual">
      <formula>0</formula>
    </cfRule>
  </conditionalFormatting>
  <conditionalFormatting sqref="Q76 Q83 Q90 Q97 Q104">
    <cfRule type="cellIs" dxfId="3111" priority="293" operator="equal">
      <formula>0</formula>
    </cfRule>
    <cfRule type="cellIs" dxfId="3110" priority="294" operator="notEqual">
      <formula>0</formula>
    </cfRule>
  </conditionalFormatting>
  <conditionalFormatting sqref="R73 R80 R87 R94 R101">
    <cfRule type="cellIs" dxfId="3109" priority="291" operator="equal">
      <formula>0</formula>
    </cfRule>
    <cfRule type="cellIs" dxfId="3108" priority="292" operator="notEqual">
      <formula>0</formula>
    </cfRule>
  </conditionalFormatting>
  <conditionalFormatting sqref="R76 R83 R90 R97 R104">
    <cfRule type="cellIs" dxfId="3107" priority="289" operator="equal">
      <formula>0</formula>
    </cfRule>
    <cfRule type="cellIs" dxfId="3106" priority="290" operator="notEqual">
      <formula>0</formula>
    </cfRule>
  </conditionalFormatting>
  <conditionalFormatting sqref="U67:U68 U74:U75 U81:U82 U88:U89 U95:U96 U102:U103">
    <cfRule type="cellIs" dxfId="3105" priority="287" operator="equal">
      <formula>0</formula>
    </cfRule>
    <cfRule type="cellIs" dxfId="3104" priority="288" operator="notEqual">
      <formula>0</formula>
    </cfRule>
  </conditionalFormatting>
  <conditionalFormatting sqref="V67:V68 V74:V75 V81:V82 V88:V89 V95:V96 V102:V103">
    <cfRule type="cellIs" dxfId="3103" priority="285" operator="equal">
      <formula>0</formula>
    </cfRule>
    <cfRule type="cellIs" dxfId="3102" priority="286" operator="notEqual">
      <formula>0</formula>
    </cfRule>
  </conditionalFormatting>
  <conditionalFormatting sqref="W67:W68 W74:W75 W81:W82 W88:W89 W95:W96 W102:W103">
    <cfRule type="cellIs" dxfId="3101" priority="283" operator="equal">
      <formula>0</formula>
    </cfRule>
    <cfRule type="cellIs" dxfId="3100" priority="284" operator="notEqual">
      <formula>0</formula>
    </cfRule>
  </conditionalFormatting>
  <conditionalFormatting sqref="X67:X68 X74:X75 X81:X82 X88:X89 X95:X96 X102:X103">
    <cfRule type="cellIs" dxfId="3099" priority="281" operator="equal">
      <formula>0</formula>
    </cfRule>
    <cfRule type="cellIs" dxfId="3098" priority="282" operator="notEqual">
      <formula>0</formula>
    </cfRule>
  </conditionalFormatting>
  <conditionalFormatting sqref="Y67:Y68 Y74:Y75 Y81:Y82 Y88:Y89 Y95:Y96 Y102:Y103">
    <cfRule type="cellIs" dxfId="3097" priority="279" operator="equal">
      <formula>0</formula>
    </cfRule>
    <cfRule type="cellIs" dxfId="3096" priority="280" operator="notEqual">
      <formula>0</formula>
    </cfRule>
  </conditionalFormatting>
  <conditionalFormatting sqref="Z67:Z68 Z74:Z75 Z81:Z82 Z88:Z89 Z95:Z96 Z102:Z103">
    <cfRule type="cellIs" dxfId="3095" priority="277" operator="equal">
      <formula>0</formula>
    </cfRule>
    <cfRule type="cellIs" dxfId="3094" priority="278" operator="notEqual">
      <formula>0</formula>
    </cfRule>
  </conditionalFormatting>
  <conditionalFormatting sqref="AA67:AA68 AA74:AA75 AA81:AA82 AA88:AA89 AA95:AA96 AA102:AA103">
    <cfRule type="cellIs" dxfId="3093" priority="275" operator="equal">
      <formula>0</formula>
    </cfRule>
    <cfRule type="cellIs" dxfId="3092" priority="276" operator="notEqual">
      <formula>0</formula>
    </cfRule>
  </conditionalFormatting>
  <conditionalFormatting sqref="AB67:AB68 AB74:AB75 AB81:AB82 AB88:AB89 AB95:AB96 AB102:AB103">
    <cfRule type="cellIs" dxfId="3091" priority="273" operator="equal">
      <formula>0</formula>
    </cfRule>
    <cfRule type="cellIs" dxfId="3090" priority="274" operator="notEqual">
      <formula>0</formula>
    </cfRule>
  </conditionalFormatting>
  <conditionalFormatting sqref="AG66 AG73 AG80 AG87 AG94 AG101">
    <cfRule type="cellIs" dxfId="3089" priority="271" operator="equal">
      <formula>0</formula>
    </cfRule>
    <cfRule type="cellIs" dxfId="3088" priority="272" operator="notEqual">
      <formula>0</formula>
    </cfRule>
  </conditionalFormatting>
  <conditionalFormatting sqref="AG69 AG76 AG83 AG90 AG97 AG104">
    <cfRule type="cellIs" dxfId="3087" priority="269" operator="equal">
      <formula>0</formula>
    </cfRule>
    <cfRule type="cellIs" dxfId="3086" priority="270" operator="notEqual">
      <formula>0</formula>
    </cfRule>
  </conditionalFormatting>
  <conditionalFormatting sqref="AH66 AH73 AH80 AH87 AH94 AH101">
    <cfRule type="cellIs" dxfId="3085" priority="267" operator="equal">
      <formula>0</formula>
    </cfRule>
    <cfRule type="cellIs" dxfId="3084" priority="268" operator="notEqual">
      <formula>0</formula>
    </cfRule>
  </conditionalFormatting>
  <conditionalFormatting sqref="AH69 AH76 AH83 AH90 AH97 AH104">
    <cfRule type="cellIs" dxfId="3083" priority="265" operator="equal">
      <formula>0</formula>
    </cfRule>
    <cfRule type="cellIs" dxfId="3082" priority="266" operator="notEqual">
      <formula>0</formula>
    </cfRule>
  </conditionalFormatting>
  <conditionalFormatting sqref="AI66 AI73 AI80 AI87 AI94 AI101">
    <cfRule type="cellIs" dxfId="3081" priority="263" operator="equal">
      <formula>0</formula>
    </cfRule>
    <cfRule type="cellIs" dxfId="3080" priority="264" operator="notEqual">
      <formula>0</formula>
    </cfRule>
  </conditionalFormatting>
  <conditionalFormatting sqref="AI69 AI76 AI83 AI90 AI97 AI104">
    <cfRule type="cellIs" dxfId="3079" priority="261" operator="equal">
      <formula>0</formula>
    </cfRule>
    <cfRule type="cellIs" dxfId="3078" priority="262" operator="notEqual">
      <formula>0</formula>
    </cfRule>
  </conditionalFormatting>
  <conditionalFormatting sqref="AJ66 AJ73 AJ80 AJ87 AJ94 AJ101">
    <cfRule type="cellIs" dxfId="3077" priority="259" operator="equal">
      <formula>0</formula>
    </cfRule>
    <cfRule type="cellIs" dxfId="3076" priority="260" operator="notEqual">
      <formula>0</formula>
    </cfRule>
  </conditionalFormatting>
  <conditionalFormatting sqref="AJ69 AJ76 AJ83 AJ90 AJ97 AJ104">
    <cfRule type="cellIs" dxfId="3075" priority="257" operator="equal">
      <formula>0</formula>
    </cfRule>
    <cfRule type="cellIs" dxfId="3074" priority="258" operator="notEqual">
      <formula>0</formula>
    </cfRule>
  </conditionalFormatting>
  <conditionalFormatting sqref="U60:U61">
    <cfRule type="cellIs" dxfId="3073" priority="255" operator="equal">
      <formula>0</formula>
    </cfRule>
    <cfRule type="cellIs" dxfId="3072" priority="256" operator="notEqual">
      <formula>0</formula>
    </cfRule>
  </conditionalFormatting>
  <conditionalFormatting sqref="V60:V61">
    <cfRule type="cellIs" dxfId="3071" priority="253" operator="equal">
      <formula>0</formula>
    </cfRule>
    <cfRule type="cellIs" dxfId="3070" priority="254" operator="notEqual">
      <formula>0</formula>
    </cfRule>
  </conditionalFormatting>
  <conditionalFormatting sqref="W60:W61">
    <cfRule type="cellIs" dxfId="3069" priority="251" operator="equal">
      <formula>0</formula>
    </cfRule>
    <cfRule type="cellIs" dxfId="3068" priority="252" operator="notEqual">
      <formula>0</formula>
    </cfRule>
  </conditionalFormatting>
  <conditionalFormatting sqref="X60:X61">
    <cfRule type="cellIs" dxfId="3067" priority="249" operator="equal">
      <formula>0</formula>
    </cfRule>
    <cfRule type="cellIs" dxfId="3066" priority="250" operator="notEqual">
      <formula>0</formula>
    </cfRule>
  </conditionalFormatting>
  <conditionalFormatting sqref="Y60:Y61">
    <cfRule type="cellIs" dxfId="3065" priority="247" operator="equal">
      <formula>0</formula>
    </cfRule>
    <cfRule type="cellIs" dxfId="3064" priority="248" operator="notEqual">
      <formula>0</formula>
    </cfRule>
  </conditionalFormatting>
  <conditionalFormatting sqref="Z60:Z61">
    <cfRule type="cellIs" dxfId="3063" priority="245" operator="equal">
      <formula>0</formula>
    </cfRule>
    <cfRule type="cellIs" dxfId="3062" priority="246" operator="notEqual">
      <formula>0</formula>
    </cfRule>
  </conditionalFormatting>
  <conditionalFormatting sqref="AA60:AA61">
    <cfRule type="cellIs" dxfId="3061" priority="243" operator="equal">
      <formula>0</formula>
    </cfRule>
    <cfRule type="cellIs" dxfId="3060" priority="244" operator="notEqual">
      <formula>0</formula>
    </cfRule>
  </conditionalFormatting>
  <conditionalFormatting sqref="AB60:AB61">
    <cfRule type="cellIs" dxfId="3059" priority="241" operator="equal">
      <formula>0</formula>
    </cfRule>
    <cfRule type="cellIs" dxfId="3058" priority="242" operator="notEqual">
      <formula>0</formula>
    </cfRule>
  </conditionalFormatting>
  <conditionalFormatting sqref="AG59">
    <cfRule type="cellIs" dxfId="3057" priority="239" operator="equal">
      <formula>0</formula>
    </cfRule>
    <cfRule type="cellIs" dxfId="3056" priority="240" operator="notEqual">
      <formula>0</formula>
    </cfRule>
  </conditionalFormatting>
  <conditionalFormatting sqref="AG62">
    <cfRule type="cellIs" dxfId="3055" priority="237" operator="equal">
      <formula>0</formula>
    </cfRule>
    <cfRule type="cellIs" dxfId="3054" priority="238" operator="notEqual">
      <formula>0</formula>
    </cfRule>
  </conditionalFormatting>
  <conditionalFormatting sqref="AH59">
    <cfRule type="cellIs" dxfId="3053" priority="235" operator="equal">
      <formula>0</formula>
    </cfRule>
    <cfRule type="cellIs" dxfId="3052" priority="236" operator="notEqual">
      <formula>0</formula>
    </cfRule>
  </conditionalFormatting>
  <conditionalFormatting sqref="AH62">
    <cfRule type="cellIs" dxfId="3051" priority="233" operator="equal">
      <formula>0</formula>
    </cfRule>
    <cfRule type="cellIs" dxfId="3050" priority="234" operator="notEqual">
      <formula>0</formula>
    </cfRule>
  </conditionalFormatting>
  <conditionalFormatting sqref="AI59">
    <cfRule type="cellIs" dxfId="3049" priority="231" operator="equal">
      <formula>0</formula>
    </cfRule>
    <cfRule type="cellIs" dxfId="3048" priority="232" operator="notEqual">
      <formula>0</formula>
    </cfRule>
  </conditionalFormatting>
  <conditionalFormatting sqref="AI62">
    <cfRule type="cellIs" dxfId="3047" priority="229" operator="equal">
      <formula>0</formula>
    </cfRule>
    <cfRule type="cellIs" dxfId="3046" priority="230" operator="notEqual">
      <formula>0</formula>
    </cfRule>
  </conditionalFormatting>
  <conditionalFormatting sqref="AJ59">
    <cfRule type="cellIs" dxfId="3045" priority="227" operator="equal">
      <formula>0</formula>
    </cfRule>
    <cfRule type="cellIs" dxfId="3044" priority="228" operator="notEqual">
      <formula>0</formula>
    </cfRule>
  </conditionalFormatting>
  <conditionalFormatting sqref="AJ62">
    <cfRule type="cellIs" dxfId="3043" priority="225" operator="equal">
      <formula>0</formula>
    </cfRule>
    <cfRule type="cellIs" dxfId="3042" priority="226" operator="notEqual">
      <formula>0</formula>
    </cfRule>
  </conditionalFormatting>
  <conditionalFormatting sqref="U53:U54">
    <cfRule type="cellIs" dxfId="3041" priority="223" operator="equal">
      <formula>0</formula>
    </cfRule>
    <cfRule type="cellIs" dxfId="3040" priority="224" operator="notEqual">
      <formula>0</formula>
    </cfRule>
  </conditionalFormatting>
  <conditionalFormatting sqref="V53:V54">
    <cfRule type="cellIs" dxfId="3039" priority="221" operator="equal">
      <formula>0</formula>
    </cfRule>
    <cfRule type="cellIs" dxfId="3038" priority="222" operator="notEqual">
      <formula>0</formula>
    </cfRule>
  </conditionalFormatting>
  <conditionalFormatting sqref="W53:W54">
    <cfRule type="cellIs" dxfId="3037" priority="219" operator="equal">
      <formula>0</formula>
    </cfRule>
    <cfRule type="cellIs" dxfId="3036" priority="220" operator="notEqual">
      <formula>0</formula>
    </cfRule>
  </conditionalFormatting>
  <conditionalFormatting sqref="X53:X54">
    <cfRule type="cellIs" dxfId="3035" priority="217" operator="equal">
      <formula>0</formula>
    </cfRule>
    <cfRule type="cellIs" dxfId="3034" priority="218" operator="notEqual">
      <formula>0</formula>
    </cfRule>
  </conditionalFormatting>
  <conditionalFormatting sqref="Y53:Y54">
    <cfRule type="cellIs" dxfId="3033" priority="215" operator="equal">
      <formula>0</formula>
    </cfRule>
    <cfRule type="cellIs" dxfId="3032" priority="216" operator="notEqual">
      <formula>0</formula>
    </cfRule>
  </conditionalFormatting>
  <conditionalFormatting sqref="Z53:Z54">
    <cfRule type="cellIs" dxfId="3031" priority="213" operator="equal">
      <formula>0</formula>
    </cfRule>
    <cfRule type="cellIs" dxfId="3030" priority="214" operator="notEqual">
      <formula>0</formula>
    </cfRule>
  </conditionalFormatting>
  <conditionalFormatting sqref="AA53:AA54">
    <cfRule type="cellIs" dxfId="3029" priority="211" operator="equal">
      <formula>0</formula>
    </cfRule>
    <cfRule type="cellIs" dxfId="3028" priority="212" operator="notEqual">
      <formula>0</formula>
    </cfRule>
  </conditionalFormatting>
  <conditionalFormatting sqref="AB53:AB54">
    <cfRule type="cellIs" dxfId="3027" priority="209" operator="equal">
      <formula>0</formula>
    </cfRule>
    <cfRule type="cellIs" dxfId="3026" priority="210" operator="notEqual">
      <formula>0</formula>
    </cfRule>
  </conditionalFormatting>
  <conditionalFormatting sqref="AG52">
    <cfRule type="cellIs" dxfId="3025" priority="207" operator="equal">
      <formula>0</formula>
    </cfRule>
    <cfRule type="cellIs" dxfId="3024" priority="208" operator="notEqual">
      <formula>0</formula>
    </cfRule>
  </conditionalFormatting>
  <conditionalFormatting sqref="AG55">
    <cfRule type="cellIs" dxfId="3023" priority="205" operator="equal">
      <formula>0</formula>
    </cfRule>
    <cfRule type="cellIs" dxfId="3022" priority="206" operator="notEqual">
      <formula>0</formula>
    </cfRule>
  </conditionalFormatting>
  <conditionalFormatting sqref="AH52">
    <cfRule type="cellIs" dxfId="3021" priority="203" operator="equal">
      <formula>0</formula>
    </cfRule>
    <cfRule type="cellIs" dxfId="3020" priority="204" operator="notEqual">
      <formula>0</formula>
    </cfRule>
  </conditionalFormatting>
  <conditionalFormatting sqref="AH55">
    <cfRule type="cellIs" dxfId="3019" priority="201" operator="equal">
      <formula>0</formula>
    </cfRule>
    <cfRule type="cellIs" dxfId="3018" priority="202" operator="notEqual">
      <formula>0</formula>
    </cfRule>
  </conditionalFormatting>
  <conditionalFormatting sqref="AI52">
    <cfRule type="cellIs" dxfId="3017" priority="199" operator="equal">
      <formula>0</formula>
    </cfRule>
    <cfRule type="cellIs" dxfId="3016" priority="200" operator="notEqual">
      <formula>0</formula>
    </cfRule>
  </conditionalFormatting>
  <conditionalFormatting sqref="AI55">
    <cfRule type="cellIs" dxfId="3015" priority="197" operator="equal">
      <formula>0</formula>
    </cfRule>
    <cfRule type="cellIs" dxfId="3014" priority="198" operator="notEqual">
      <formula>0</formula>
    </cfRule>
  </conditionalFormatting>
  <conditionalFormatting sqref="AJ52">
    <cfRule type="cellIs" dxfId="3013" priority="195" operator="equal">
      <formula>0</formula>
    </cfRule>
    <cfRule type="cellIs" dxfId="3012" priority="196" operator="notEqual">
      <formula>0</formula>
    </cfRule>
  </conditionalFormatting>
  <conditionalFormatting sqref="AJ55">
    <cfRule type="cellIs" dxfId="3011" priority="193" operator="equal">
      <formula>0</formula>
    </cfRule>
    <cfRule type="cellIs" dxfId="3010" priority="194" operator="notEqual">
      <formula>0</formula>
    </cfRule>
  </conditionalFormatting>
  <conditionalFormatting sqref="U46:U47">
    <cfRule type="cellIs" dxfId="3009" priority="191" operator="equal">
      <formula>0</formula>
    </cfRule>
    <cfRule type="cellIs" dxfId="3008" priority="192" operator="notEqual">
      <formula>0</formula>
    </cfRule>
  </conditionalFormatting>
  <conditionalFormatting sqref="V46:V47">
    <cfRule type="cellIs" dxfId="3007" priority="189" operator="equal">
      <formula>0</formula>
    </cfRule>
    <cfRule type="cellIs" dxfId="3006" priority="190" operator="notEqual">
      <formula>0</formula>
    </cfRule>
  </conditionalFormatting>
  <conditionalFormatting sqref="W46:W47">
    <cfRule type="cellIs" dxfId="3005" priority="187" operator="equal">
      <formula>0</formula>
    </cfRule>
    <cfRule type="cellIs" dxfId="3004" priority="188" operator="notEqual">
      <formula>0</formula>
    </cfRule>
  </conditionalFormatting>
  <conditionalFormatting sqref="X46:X47">
    <cfRule type="cellIs" dxfId="3003" priority="185" operator="equal">
      <formula>0</formula>
    </cfRule>
    <cfRule type="cellIs" dxfId="3002" priority="186" operator="notEqual">
      <formula>0</formula>
    </cfRule>
  </conditionalFormatting>
  <conditionalFormatting sqref="Y46:Y47">
    <cfRule type="cellIs" dxfId="3001" priority="183" operator="equal">
      <formula>0</formula>
    </cfRule>
    <cfRule type="cellIs" dxfId="3000" priority="184" operator="notEqual">
      <formula>0</formula>
    </cfRule>
  </conditionalFormatting>
  <conditionalFormatting sqref="Z46:Z47">
    <cfRule type="cellIs" dxfId="2999" priority="181" operator="equal">
      <formula>0</formula>
    </cfRule>
    <cfRule type="cellIs" dxfId="2998" priority="182" operator="notEqual">
      <formula>0</formula>
    </cfRule>
  </conditionalFormatting>
  <conditionalFormatting sqref="AA46:AA47">
    <cfRule type="cellIs" dxfId="2997" priority="179" operator="equal">
      <formula>0</formula>
    </cfRule>
    <cfRule type="cellIs" dxfId="2996" priority="180" operator="notEqual">
      <formula>0</formula>
    </cfRule>
  </conditionalFormatting>
  <conditionalFormatting sqref="AB46:AB47">
    <cfRule type="cellIs" dxfId="2995" priority="177" operator="equal">
      <formula>0</formula>
    </cfRule>
    <cfRule type="cellIs" dxfId="2994" priority="178" operator="notEqual">
      <formula>0</formula>
    </cfRule>
  </conditionalFormatting>
  <conditionalFormatting sqref="AG45">
    <cfRule type="cellIs" dxfId="2993" priority="175" operator="equal">
      <formula>0</formula>
    </cfRule>
    <cfRule type="cellIs" dxfId="2992" priority="176" operator="notEqual">
      <formula>0</formula>
    </cfRule>
  </conditionalFormatting>
  <conditionalFormatting sqref="AG48">
    <cfRule type="cellIs" dxfId="2991" priority="173" operator="equal">
      <formula>0</formula>
    </cfRule>
    <cfRule type="cellIs" dxfId="2990" priority="174" operator="notEqual">
      <formula>0</formula>
    </cfRule>
  </conditionalFormatting>
  <conditionalFormatting sqref="AH45">
    <cfRule type="cellIs" dxfId="2989" priority="171" operator="equal">
      <formula>0</formula>
    </cfRule>
    <cfRule type="cellIs" dxfId="2988" priority="172" operator="notEqual">
      <formula>0</formula>
    </cfRule>
  </conditionalFormatting>
  <conditionalFormatting sqref="AH48">
    <cfRule type="cellIs" dxfId="2987" priority="169" operator="equal">
      <formula>0</formula>
    </cfRule>
    <cfRule type="cellIs" dxfId="2986" priority="170" operator="notEqual">
      <formula>0</formula>
    </cfRule>
  </conditionalFormatting>
  <conditionalFormatting sqref="AI45">
    <cfRule type="cellIs" dxfId="2985" priority="167" operator="equal">
      <formula>0</formula>
    </cfRule>
    <cfRule type="cellIs" dxfId="2984" priority="168" operator="notEqual">
      <formula>0</formula>
    </cfRule>
  </conditionalFormatting>
  <conditionalFormatting sqref="AI48">
    <cfRule type="cellIs" dxfId="2983" priority="165" operator="equal">
      <formula>0</formula>
    </cfRule>
    <cfRule type="cellIs" dxfId="2982" priority="166" operator="notEqual">
      <formula>0</formula>
    </cfRule>
  </conditionalFormatting>
  <conditionalFormatting sqref="AJ45">
    <cfRule type="cellIs" dxfId="2981" priority="163" operator="equal">
      <formula>0</formula>
    </cfRule>
    <cfRule type="cellIs" dxfId="2980" priority="164" operator="notEqual">
      <formula>0</formula>
    </cfRule>
  </conditionalFormatting>
  <conditionalFormatting sqref="AJ48">
    <cfRule type="cellIs" dxfId="2979" priority="161" operator="equal">
      <formula>0</formula>
    </cfRule>
    <cfRule type="cellIs" dxfId="2978" priority="162" operator="notEqual">
      <formula>0</formula>
    </cfRule>
  </conditionalFormatting>
  <conditionalFormatting sqref="U39:U40">
    <cfRule type="cellIs" dxfId="2977" priority="159" operator="equal">
      <formula>0</formula>
    </cfRule>
    <cfRule type="cellIs" dxfId="2976" priority="160" operator="notEqual">
      <formula>0</formula>
    </cfRule>
  </conditionalFormatting>
  <conditionalFormatting sqref="V39:V40">
    <cfRule type="cellIs" dxfId="2975" priority="157" operator="equal">
      <formula>0</formula>
    </cfRule>
    <cfRule type="cellIs" dxfId="2974" priority="158" operator="notEqual">
      <formula>0</formula>
    </cfRule>
  </conditionalFormatting>
  <conditionalFormatting sqref="W39:W40">
    <cfRule type="cellIs" dxfId="2973" priority="155" operator="equal">
      <formula>0</formula>
    </cfRule>
    <cfRule type="cellIs" dxfId="2972" priority="156" operator="notEqual">
      <formula>0</formula>
    </cfRule>
  </conditionalFormatting>
  <conditionalFormatting sqref="X39:X40">
    <cfRule type="cellIs" dxfId="2971" priority="153" operator="equal">
      <formula>0</formula>
    </cfRule>
    <cfRule type="cellIs" dxfId="2970" priority="154" operator="notEqual">
      <formula>0</formula>
    </cfRule>
  </conditionalFormatting>
  <conditionalFormatting sqref="Y39:Y40">
    <cfRule type="cellIs" dxfId="2969" priority="151" operator="equal">
      <formula>0</formula>
    </cfRule>
    <cfRule type="cellIs" dxfId="2968" priority="152" operator="notEqual">
      <formula>0</formula>
    </cfRule>
  </conditionalFormatting>
  <conditionalFormatting sqref="Z39:Z40">
    <cfRule type="cellIs" dxfId="2967" priority="149" operator="equal">
      <formula>0</formula>
    </cfRule>
    <cfRule type="cellIs" dxfId="2966" priority="150" operator="notEqual">
      <formula>0</formula>
    </cfRule>
  </conditionalFormatting>
  <conditionalFormatting sqref="AA39:AA40">
    <cfRule type="cellIs" dxfId="2965" priority="147" operator="equal">
      <formula>0</formula>
    </cfRule>
    <cfRule type="cellIs" dxfId="2964" priority="148" operator="notEqual">
      <formula>0</formula>
    </cfRule>
  </conditionalFormatting>
  <conditionalFormatting sqref="AB39:AB40">
    <cfRule type="cellIs" dxfId="2963" priority="145" operator="equal">
      <formula>0</formula>
    </cfRule>
    <cfRule type="cellIs" dxfId="2962" priority="146" operator="notEqual">
      <formula>0</formula>
    </cfRule>
  </conditionalFormatting>
  <conditionalFormatting sqref="AG38">
    <cfRule type="cellIs" dxfId="2961" priority="143" operator="equal">
      <formula>0</formula>
    </cfRule>
    <cfRule type="cellIs" dxfId="2960" priority="144" operator="notEqual">
      <formula>0</formula>
    </cfRule>
  </conditionalFormatting>
  <conditionalFormatting sqref="AG41">
    <cfRule type="cellIs" dxfId="2959" priority="141" operator="equal">
      <formula>0</formula>
    </cfRule>
    <cfRule type="cellIs" dxfId="2958" priority="142" operator="notEqual">
      <formula>0</formula>
    </cfRule>
  </conditionalFormatting>
  <conditionalFormatting sqref="AH38">
    <cfRule type="cellIs" dxfId="2957" priority="139" operator="equal">
      <formula>0</formula>
    </cfRule>
    <cfRule type="cellIs" dxfId="2956" priority="140" operator="notEqual">
      <formula>0</formula>
    </cfRule>
  </conditionalFormatting>
  <conditionalFormatting sqref="AH41">
    <cfRule type="cellIs" dxfId="2955" priority="137" operator="equal">
      <formula>0</formula>
    </cfRule>
    <cfRule type="cellIs" dxfId="2954" priority="138" operator="notEqual">
      <formula>0</formula>
    </cfRule>
  </conditionalFormatting>
  <conditionalFormatting sqref="AI38">
    <cfRule type="cellIs" dxfId="2953" priority="135" operator="equal">
      <formula>0</formula>
    </cfRule>
    <cfRule type="cellIs" dxfId="2952" priority="136" operator="notEqual">
      <formula>0</formula>
    </cfRule>
  </conditionalFormatting>
  <conditionalFormatting sqref="AI41">
    <cfRule type="cellIs" dxfId="2951" priority="133" operator="equal">
      <formula>0</formula>
    </cfRule>
    <cfRule type="cellIs" dxfId="2950" priority="134" operator="notEqual">
      <formula>0</formula>
    </cfRule>
  </conditionalFormatting>
  <conditionalFormatting sqref="AJ38">
    <cfRule type="cellIs" dxfId="2949" priority="131" operator="equal">
      <formula>0</formula>
    </cfRule>
    <cfRule type="cellIs" dxfId="2948" priority="132" operator="notEqual">
      <formula>0</formula>
    </cfRule>
  </conditionalFormatting>
  <conditionalFormatting sqref="AJ41">
    <cfRule type="cellIs" dxfId="2947" priority="129" operator="equal">
      <formula>0</formula>
    </cfRule>
    <cfRule type="cellIs" dxfId="2946" priority="130" operator="notEqual">
      <formula>0</formula>
    </cfRule>
  </conditionalFormatting>
  <conditionalFormatting sqref="U32:U33">
    <cfRule type="cellIs" dxfId="2945" priority="127" operator="equal">
      <formula>0</formula>
    </cfRule>
    <cfRule type="cellIs" dxfId="2944" priority="128" operator="notEqual">
      <formula>0</formula>
    </cfRule>
  </conditionalFormatting>
  <conditionalFormatting sqref="V32:V33">
    <cfRule type="cellIs" dxfId="2943" priority="125" operator="equal">
      <formula>0</formula>
    </cfRule>
    <cfRule type="cellIs" dxfId="2942" priority="126" operator="notEqual">
      <formula>0</formula>
    </cfRule>
  </conditionalFormatting>
  <conditionalFormatting sqref="W32:W33">
    <cfRule type="cellIs" dxfId="2941" priority="123" operator="equal">
      <formula>0</formula>
    </cfRule>
    <cfRule type="cellIs" dxfId="2940" priority="124" operator="notEqual">
      <formula>0</formula>
    </cfRule>
  </conditionalFormatting>
  <conditionalFormatting sqref="X32:X33">
    <cfRule type="cellIs" dxfId="2939" priority="121" operator="equal">
      <formula>0</formula>
    </cfRule>
    <cfRule type="cellIs" dxfId="2938" priority="122" operator="notEqual">
      <formula>0</formula>
    </cfRule>
  </conditionalFormatting>
  <conditionalFormatting sqref="Y32:Y33">
    <cfRule type="cellIs" dxfId="2937" priority="119" operator="equal">
      <formula>0</formula>
    </cfRule>
    <cfRule type="cellIs" dxfId="2936" priority="120" operator="notEqual">
      <formula>0</formula>
    </cfRule>
  </conditionalFormatting>
  <conditionalFormatting sqref="Z32:Z33">
    <cfRule type="cellIs" dxfId="2935" priority="117" operator="equal">
      <formula>0</formula>
    </cfRule>
    <cfRule type="cellIs" dxfId="2934" priority="118" operator="notEqual">
      <formula>0</formula>
    </cfRule>
  </conditionalFormatting>
  <conditionalFormatting sqref="AA32:AA33">
    <cfRule type="cellIs" dxfId="2933" priority="115" operator="equal">
      <formula>0</formula>
    </cfRule>
    <cfRule type="cellIs" dxfId="2932" priority="116" operator="notEqual">
      <formula>0</formula>
    </cfRule>
  </conditionalFormatting>
  <conditionalFormatting sqref="AB32:AB33">
    <cfRule type="cellIs" dxfId="2931" priority="113" operator="equal">
      <formula>0</formula>
    </cfRule>
    <cfRule type="cellIs" dxfId="2930" priority="114" operator="notEqual">
      <formula>0</formula>
    </cfRule>
  </conditionalFormatting>
  <conditionalFormatting sqref="AG31">
    <cfRule type="cellIs" dxfId="2929" priority="111" operator="equal">
      <formula>0</formula>
    </cfRule>
    <cfRule type="cellIs" dxfId="2928" priority="112" operator="notEqual">
      <formula>0</formula>
    </cfRule>
  </conditionalFormatting>
  <conditionalFormatting sqref="AG34">
    <cfRule type="cellIs" dxfId="2927" priority="109" operator="equal">
      <formula>0</formula>
    </cfRule>
    <cfRule type="cellIs" dxfId="2926" priority="110" operator="notEqual">
      <formula>0</formula>
    </cfRule>
  </conditionalFormatting>
  <conditionalFormatting sqref="AH31">
    <cfRule type="cellIs" dxfId="2925" priority="107" operator="equal">
      <formula>0</formula>
    </cfRule>
    <cfRule type="cellIs" dxfId="2924" priority="108" operator="notEqual">
      <formula>0</formula>
    </cfRule>
  </conditionalFormatting>
  <conditionalFormatting sqref="AH34">
    <cfRule type="cellIs" dxfId="2923" priority="105" operator="equal">
      <formula>0</formula>
    </cfRule>
    <cfRule type="cellIs" dxfId="2922" priority="106" operator="notEqual">
      <formula>0</formula>
    </cfRule>
  </conditionalFormatting>
  <conditionalFormatting sqref="AI31">
    <cfRule type="cellIs" dxfId="2921" priority="103" operator="equal">
      <formula>0</formula>
    </cfRule>
    <cfRule type="cellIs" dxfId="2920" priority="104" operator="notEqual">
      <formula>0</formula>
    </cfRule>
  </conditionalFormatting>
  <conditionalFormatting sqref="AI34">
    <cfRule type="cellIs" dxfId="2919" priority="101" operator="equal">
      <formula>0</formula>
    </cfRule>
    <cfRule type="cellIs" dxfId="2918" priority="102" operator="notEqual">
      <formula>0</formula>
    </cfRule>
  </conditionalFormatting>
  <conditionalFormatting sqref="AJ31">
    <cfRule type="cellIs" dxfId="2917" priority="99" operator="equal">
      <formula>0</formula>
    </cfRule>
    <cfRule type="cellIs" dxfId="2916" priority="100" operator="notEqual">
      <formula>0</formula>
    </cfRule>
  </conditionalFormatting>
  <conditionalFormatting sqref="AJ34">
    <cfRule type="cellIs" dxfId="2915" priority="97" operator="equal">
      <formula>0</formula>
    </cfRule>
    <cfRule type="cellIs" dxfId="2914" priority="98" operator="notEqual">
      <formula>0</formula>
    </cfRule>
  </conditionalFormatting>
  <conditionalFormatting sqref="U25:U26">
    <cfRule type="cellIs" dxfId="2913" priority="95" operator="equal">
      <formula>0</formula>
    </cfRule>
    <cfRule type="cellIs" dxfId="2912" priority="96" operator="notEqual">
      <formula>0</formula>
    </cfRule>
  </conditionalFormatting>
  <conditionalFormatting sqref="V25:V26">
    <cfRule type="cellIs" dxfId="2911" priority="93" operator="equal">
      <formula>0</formula>
    </cfRule>
    <cfRule type="cellIs" dxfId="2910" priority="94" operator="notEqual">
      <formula>0</formula>
    </cfRule>
  </conditionalFormatting>
  <conditionalFormatting sqref="W25:W26">
    <cfRule type="cellIs" dxfId="2909" priority="91" operator="equal">
      <formula>0</formula>
    </cfRule>
    <cfRule type="cellIs" dxfId="2908" priority="92" operator="notEqual">
      <formula>0</formula>
    </cfRule>
  </conditionalFormatting>
  <conditionalFormatting sqref="X25:X26">
    <cfRule type="cellIs" dxfId="2907" priority="89" operator="equal">
      <formula>0</formula>
    </cfRule>
    <cfRule type="cellIs" dxfId="2906" priority="90" operator="notEqual">
      <formula>0</formula>
    </cfRule>
  </conditionalFormatting>
  <conditionalFormatting sqref="Y25:Y26">
    <cfRule type="cellIs" dxfId="2905" priority="87" operator="equal">
      <formula>0</formula>
    </cfRule>
    <cfRule type="cellIs" dxfId="2904" priority="88" operator="notEqual">
      <formula>0</formula>
    </cfRule>
  </conditionalFormatting>
  <conditionalFormatting sqref="Z25:Z26">
    <cfRule type="cellIs" dxfId="2903" priority="85" operator="equal">
      <formula>0</formula>
    </cfRule>
    <cfRule type="cellIs" dxfId="2902" priority="86" operator="notEqual">
      <formula>0</formula>
    </cfRule>
  </conditionalFormatting>
  <conditionalFormatting sqref="AA25:AA26">
    <cfRule type="cellIs" dxfId="2901" priority="83" operator="equal">
      <formula>0</formula>
    </cfRule>
    <cfRule type="cellIs" dxfId="2900" priority="84" operator="notEqual">
      <formula>0</formula>
    </cfRule>
  </conditionalFormatting>
  <conditionalFormatting sqref="AB25:AB26">
    <cfRule type="cellIs" dxfId="2899" priority="81" operator="equal">
      <formula>0</formula>
    </cfRule>
    <cfRule type="cellIs" dxfId="2898" priority="82" operator="notEqual">
      <formula>0</formula>
    </cfRule>
  </conditionalFormatting>
  <conditionalFormatting sqref="AG24">
    <cfRule type="cellIs" dxfId="2897" priority="79" operator="equal">
      <formula>0</formula>
    </cfRule>
    <cfRule type="cellIs" dxfId="2896" priority="80" operator="notEqual">
      <formula>0</formula>
    </cfRule>
  </conditionalFormatting>
  <conditionalFormatting sqref="AG27">
    <cfRule type="cellIs" dxfId="2895" priority="77" operator="equal">
      <formula>0</formula>
    </cfRule>
    <cfRule type="cellIs" dxfId="2894" priority="78" operator="notEqual">
      <formula>0</formula>
    </cfRule>
  </conditionalFormatting>
  <conditionalFormatting sqref="AH24">
    <cfRule type="cellIs" dxfId="2893" priority="75" operator="equal">
      <formula>0</formula>
    </cfRule>
    <cfRule type="cellIs" dxfId="2892" priority="76" operator="notEqual">
      <formula>0</formula>
    </cfRule>
  </conditionalFormatting>
  <conditionalFormatting sqref="AH27">
    <cfRule type="cellIs" dxfId="2891" priority="73" operator="equal">
      <formula>0</formula>
    </cfRule>
    <cfRule type="cellIs" dxfId="2890" priority="74" operator="notEqual">
      <formula>0</formula>
    </cfRule>
  </conditionalFormatting>
  <conditionalFormatting sqref="AI24">
    <cfRule type="cellIs" dxfId="2889" priority="71" operator="equal">
      <formula>0</formula>
    </cfRule>
    <cfRule type="cellIs" dxfId="2888" priority="72" operator="notEqual">
      <formula>0</formula>
    </cfRule>
  </conditionalFormatting>
  <conditionalFormatting sqref="AI27">
    <cfRule type="cellIs" dxfId="2887" priority="69" operator="equal">
      <formula>0</formula>
    </cfRule>
    <cfRule type="cellIs" dxfId="2886" priority="70" operator="notEqual">
      <formula>0</formula>
    </cfRule>
  </conditionalFormatting>
  <conditionalFormatting sqref="AJ24">
    <cfRule type="cellIs" dxfId="2885" priority="67" operator="equal">
      <formula>0</formula>
    </cfRule>
    <cfRule type="cellIs" dxfId="2884" priority="68" operator="notEqual">
      <formula>0</formula>
    </cfRule>
  </conditionalFormatting>
  <conditionalFormatting sqref="AJ27">
    <cfRule type="cellIs" dxfId="2883" priority="65" operator="equal">
      <formula>0</formula>
    </cfRule>
    <cfRule type="cellIs" dxfId="2882" priority="66" operator="notEqual">
      <formula>0</formula>
    </cfRule>
  </conditionalFormatting>
  <conditionalFormatting sqref="U18:U19">
    <cfRule type="cellIs" dxfId="2881" priority="63" operator="equal">
      <formula>0</formula>
    </cfRule>
    <cfRule type="cellIs" dxfId="2880" priority="64" operator="notEqual">
      <formula>0</formula>
    </cfRule>
  </conditionalFormatting>
  <conditionalFormatting sqref="V18:V19">
    <cfRule type="cellIs" dxfId="2879" priority="61" operator="equal">
      <formula>0</formula>
    </cfRule>
    <cfRule type="cellIs" dxfId="2878" priority="62" operator="notEqual">
      <formula>0</formula>
    </cfRule>
  </conditionalFormatting>
  <conditionalFormatting sqref="W18:W19">
    <cfRule type="cellIs" dxfId="2877" priority="59" operator="equal">
      <formula>0</formula>
    </cfRule>
    <cfRule type="cellIs" dxfId="2876" priority="60" operator="notEqual">
      <formula>0</formula>
    </cfRule>
  </conditionalFormatting>
  <conditionalFormatting sqref="X18:X19">
    <cfRule type="cellIs" dxfId="2875" priority="57" operator="equal">
      <formula>0</formula>
    </cfRule>
    <cfRule type="cellIs" dxfId="2874" priority="58" operator="notEqual">
      <formula>0</formula>
    </cfRule>
  </conditionalFormatting>
  <conditionalFormatting sqref="Y18:Y19">
    <cfRule type="cellIs" dxfId="2873" priority="55" operator="equal">
      <formula>0</formula>
    </cfRule>
    <cfRule type="cellIs" dxfId="2872" priority="56" operator="notEqual">
      <formula>0</formula>
    </cfRule>
  </conditionalFormatting>
  <conditionalFormatting sqref="Z18:Z19">
    <cfRule type="cellIs" dxfId="2871" priority="53" operator="equal">
      <formula>0</formula>
    </cfRule>
    <cfRule type="cellIs" dxfId="2870" priority="54" operator="notEqual">
      <formula>0</formula>
    </cfRule>
  </conditionalFormatting>
  <conditionalFormatting sqref="AA18:AA19">
    <cfRule type="cellIs" dxfId="2869" priority="51" operator="equal">
      <formula>0</formula>
    </cfRule>
    <cfRule type="cellIs" dxfId="2868" priority="52" operator="notEqual">
      <formula>0</formula>
    </cfRule>
  </conditionalFormatting>
  <conditionalFormatting sqref="AB18:AB19">
    <cfRule type="cellIs" dxfId="2867" priority="49" operator="equal">
      <formula>0</formula>
    </cfRule>
    <cfRule type="cellIs" dxfId="2866" priority="50" operator="notEqual">
      <formula>0</formula>
    </cfRule>
  </conditionalFormatting>
  <conditionalFormatting sqref="AG17">
    <cfRule type="cellIs" dxfId="2865" priority="47" operator="equal">
      <formula>0</formula>
    </cfRule>
    <cfRule type="cellIs" dxfId="2864" priority="48" operator="notEqual">
      <formula>0</formula>
    </cfRule>
  </conditionalFormatting>
  <conditionalFormatting sqref="AG20">
    <cfRule type="cellIs" dxfId="2863" priority="45" operator="equal">
      <formula>0</formula>
    </cfRule>
    <cfRule type="cellIs" dxfId="2862" priority="46" operator="notEqual">
      <formula>0</formula>
    </cfRule>
  </conditionalFormatting>
  <conditionalFormatting sqref="AH17">
    <cfRule type="cellIs" dxfId="2861" priority="43" operator="equal">
      <formula>0</formula>
    </cfRule>
    <cfRule type="cellIs" dxfId="2860" priority="44" operator="notEqual">
      <formula>0</formula>
    </cfRule>
  </conditionalFormatting>
  <conditionalFormatting sqref="AH20">
    <cfRule type="cellIs" dxfId="2859" priority="41" operator="equal">
      <formula>0</formula>
    </cfRule>
    <cfRule type="cellIs" dxfId="2858" priority="42" operator="notEqual">
      <formula>0</formula>
    </cfRule>
  </conditionalFormatting>
  <conditionalFormatting sqref="AI17">
    <cfRule type="cellIs" dxfId="2857" priority="39" operator="equal">
      <formula>0</formula>
    </cfRule>
    <cfRule type="cellIs" dxfId="2856" priority="40" operator="notEqual">
      <formula>0</formula>
    </cfRule>
  </conditionalFormatting>
  <conditionalFormatting sqref="AI20">
    <cfRule type="cellIs" dxfId="2855" priority="37" operator="equal">
      <formula>0</formula>
    </cfRule>
    <cfRule type="cellIs" dxfId="2854" priority="38" operator="notEqual">
      <formula>0</formula>
    </cfRule>
  </conditionalFormatting>
  <conditionalFormatting sqref="AJ17">
    <cfRule type="cellIs" dxfId="2853" priority="35" operator="equal">
      <formula>0</formula>
    </cfRule>
    <cfRule type="cellIs" dxfId="2852" priority="36" operator="notEqual">
      <formula>0</formula>
    </cfRule>
  </conditionalFormatting>
  <conditionalFormatting sqref="AJ20">
    <cfRule type="cellIs" dxfId="2851" priority="33" operator="equal">
      <formula>0</formula>
    </cfRule>
    <cfRule type="cellIs" dxfId="2850" priority="34" operator="notEqual">
      <formula>0</formula>
    </cfRule>
  </conditionalFormatting>
  <conditionalFormatting sqref="U11:U12">
    <cfRule type="cellIs" dxfId="2849" priority="31" operator="equal">
      <formula>0</formula>
    </cfRule>
    <cfRule type="cellIs" dxfId="2848" priority="32" operator="notEqual">
      <formula>0</formula>
    </cfRule>
  </conditionalFormatting>
  <conditionalFormatting sqref="V11:V12">
    <cfRule type="cellIs" dxfId="2847" priority="29" operator="equal">
      <formula>0</formula>
    </cfRule>
    <cfRule type="cellIs" dxfId="2846" priority="30" operator="notEqual">
      <formula>0</formula>
    </cfRule>
  </conditionalFormatting>
  <conditionalFormatting sqref="W11:W12">
    <cfRule type="cellIs" dxfId="2845" priority="27" operator="equal">
      <formula>0</formula>
    </cfRule>
    <cfRule type="cellIs" dxfId="2844" priority="28" operator="notEqual">
      <formula>0</formula>
    </cfRule>
  </conditionalFormatting>
  <conditionalFormatting sqref="X11:X12">
    <cfRule type="cellIs" dxfId="2843" priority="25" operator="equal">
      <formula>0</formula>
    </cfRule>
    <cfRule type="cellIs" dxfId="2842" priority="26" operator="notEqual">
      <formula>0</formula>
    </cfRule>
  </conditionalFormatting>
  <conditionalFormatting sqref="Y11:Y12">
    <cfRule type="cellIs" dxfId="2841" priority="23" operator="equal">
      <formula>0</formula>
    </cfRule>
    <cfRule type="cellIs" dxfId="2840" priority="24" operator="notEqual">
      <formula>0</formula>
    </cfRule>
  </conditionalFormatting>
  <conditionalFormatting sqref="Z11:Z12">
    <cfRule type="cellIs" dxfId="2839" priority="21" operator="equal">
      <formula>0</formula>
    </cfRule>
    <cfRule type="cellIs" dxfId="2838" priority="22" operator="notEqual">
      <formula>0</formula>
    </cfRule>
  </conditionalFormatting>
  <conditionalFormatting sqref="AA11:AA12">
    <cfRule type="cellIs" dxfId="2837" priority="19" operator="equal">
      <formula>0</formula>
    </cfRule>
    <cfRule type="cellIs" dxfId="2836" priority="20" operator="notEqual">
      <formula>0</formula>
    </cfRule>
  </conditionalFormatting>
  <conditionalFormatting sqref="AB11:AB12">
    <cfRule type="cellIs" dxfId="2835" priority="17" operator="equal">
      <formula>0</formula>
    </cfRule>
    <cfRule type="cellIs" dxfId="2834" priority="18" operator="notEqual">
      <formula>0</formula>
    </cfRule>
  </conditionalFormatting>
  <conditionalFormatting sqref="AG10">
    <cfRule type="cellIs" dxfId="2833" priority="15" operator="equal">
      <formula>0</formula>
    </cfRule>
    <cfRule type="cellIs" dxfId="2832" priority="16" operator="notEqual">
      <formula>0</formula>
    </cfRule>
  </conditionalFormatting>
  <conditionalFormatting sqref="AG13">
    <cfRule type="cellIs" dxfId="2831" priority="13" operator="equal">
      <formula>0</formula>
    </cfRule>
    <cfRule type="cellIs" dxfId="2830" priority="14" operator="notEqual">
      <formula>0</formula>
    </cfRule>
  </conditionalFormatting>
  <conditionalFormatting sqref="AH10">
    <cfRule type="cellIs" dxfId="2829" priority="11" operator="equal">
      <formula>0</formula>
    </cfRule>
    <cfRule type="cellIs" dxfId="2828" priority="12" operator="notEqual">
      <formula>0</formula>
    </cfRule>
  </conditionalFormatting>
  <conditionalFormatting sqref="AH13">
    <cfRule type="cellIs" dxfId="2827" priority="9" operator="equal">
      <formula>0</formula>
    </cfRule>
    <cfRule type="cellIs" dxfId="2826" priority="10" operator="notEqual">
      <formula>0</formula>
    </cfRule>
  </conditionalFormatting>
  <conditionalFormatting sqref="AI10">
    <cfRule type="cellIs" dxfId="2825" priority="7" operator="equal">
      <formula>0</formula>
    </cfRule>
    <cfRule type="cellIs" dxfId="2824" priority="8" operator="notEqual">
      <formula>0</formula>
    </cfRule>
  </conditionalFormatting>
  <conditionalFormatting sqref="AI13">
    <cfRule type="cellIs" dxfId="2823" priority="5" operator="equal">
      <formula>0</formula>
    </cfRule>
    <cfRule type="cellIs" dxfId="2822" priority="6" operator="notEqual">
      <formula>0</formula>
    </cfRule>
  </conditionalFormatting>
  <conditionalFormatting sqref="AJ10">
    <cfRule type="cellIs" dxfId="2821" priority="3" operator="equal">
      <formula>0</formula>
    </cfRule>
    <cfRule type="cellIs" dxfId="2820" priority="4" operator="notEqual">
      <formula>0</formula>
    </cfRule>
  </conditionalFormatting>
  <conditionalFormatting sqref="AJ13">
    <cfRule type="cellIs" dxfId="2819" priority="1" operator="equal">
      <formula>0</formula>
    </cfRule>
    <cfRule type="cellIs" dxfId="2818" priority="2" operator="notEqual">
      <formula>0</formula>
    </cfRule>
  </conditionalFormatting>
  <dataValidations count="1">
    <dataValidation type="list" allowBlank="1" showInputMessage="1" showErrorMessage="1" sqref="B5" xr:uid="{FF1A5B65-A890-4375-A47D-14ACB855E01E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4">
    <pageSetUpPr autoPageBreaks="0"/>
  </sheetPr>
  <dimension ref="A1:AX76"/>
  <sheetViews>
    <sheetView showGridLines="0" zoomScale="70" zoomScaleNormal="70" workbookViewId="0">
      <selection activeCell="H13" sqref="H13"/>
    </sheetView>
  </sheetViews>
  <sheetFormatPr baseColWidth="10" defaultColWidth="9.1640625" defaultRowHeight="14" x14ac:dyDescent="0.15"/>
  <cols>
    <col min="1" max="1" width="2.1640625" customWidth="1"/>
    <col min="2" max="2" width="36.1640625" customWidth="1"/>
    <col min="20" max="20" width="33" customWidth="1"/>
  </cols>
  <sheetData>
    <row r="1" spans="1:50" ht="60.75" customHeight="1" x14ac:dyDescent="0.15">
      <c r="A1" s="347" t="s">
        <v>1260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  <c r="S1" s="347"/>
      <c r="T1" s="347"/>
      <c r="U1" s="347"/>
      <c r="V1" s="347"/>
      <c r="W1" s="347"/>
      <c r="X1" s="347"/>
      <c r="Y1" s="347"/>
      <c r="Z1" s="347"/>
      <c r="AA1" s="347"/>
      <c r="AB1" s="347"/>
      <c r="AC1" s="347"/>
      <c r="AD1" s="347"/>
      <c r="AE1" s="347"/>
      <c r="AF1" s="347"/>
      <c r="AG1" s="347"/>
      <c r="AH1" s="347"/>
      <c r="AI1" s="347"/>
      <c r="AJ1" s="347"/>
      <c r="AK1" s="347"/>
      <c r="AL1" s="347"/>
      <c r="AM1" s="347"/>
      <c r="AN1" s="347"/>
      <c r="AO1" s="347"/>
      <c r="AP1" s="347"/>
      <c r="AQ1" s="347"/>
      <c r="AR1" s="347"/>
      <c r="AS1" s="347"/>
      <c r="AT1" s="347"/>
      <c r="AU1" s="347"/>
      <c r="AV1" s="347"/>
      <c r="AW1" s="347"/>
      <c r="AX1" s="347"/>
    </row>
    <row r="2" spans="1:50" ht="48" customHeight="1" x14ac:dyDescent="0.15">
      <c r="A2" s="348"/>
      <c r="B2" s="348"/>
      <c r="C2" s="348"/>
      <c r="D2" s="348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348"/>
      <c r="P2" s="348"/>
      <c r="Q2" s="348"/>
      <c r="R2" s="348"/>
      <c r="S2" s="348"/>
      <c r="T2" s="348"/>
      <c r="U2" s="348"/>
      <c r="V2" s="348"/>
      <c r="W2" s="348"/>
      <c r="X2" s="348"/>
      <c r="Y2" s="348"/>
      <c r="Z2" s="348"/>
      <c r="AA2" s="348"/>
      <c r="AB2" s="348"/>
      <c r="AC2" s="348"/>
      <c r="AD2" s="348"/>
      <c r="AE2" s="348"/>
      <c r="AF2" s="348"/>
      <c r="AG2" s="348"/>
      <c r="AH2" s="348"/>
      <c r="AI2" s="348"/>
      <c r="AJ2" s="348"/>
      <c r="AK2" s="348"/>
      <c r="AL2" s="348"/>
      <c r="AM2" s="348"/>
      <c r="AN2" s="348"/>
      <c r="AO2" s="348"/>
      <c r="AP2" s="348"/>
      <c r="AQ2" s="348"/>
      <c r="AR2" s="348"/>
      <c r="AS2" s="348"/>
      <c r="AT2" s="348"/>
      <c r="AU2" s="348"/>
      <c r="AV2" s="348"/>
      <c r="AW2" s="348"/>
      <c r="AX2" s="348"/>
    </row>
    <row r="3" spans="1:50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</row>
    <row r="4" spans="1:50" ht="30" x14ac:dyDescent="0.15">
      <c r="B4" s="40" t="s">
        <v>1133</v>
      </c>
    </row>
    <row r="5" spans="1:50" ht="15" x14ac:dyDescent="0.15">
      <c r="B5" s="61" t="s">
        <v>24</v>
      </c>
      <c r="P5" s="44"/>
    </row>
    <row r="6" spans="1:50" x14ac:dyDescent="0.15">
      <c r="B6" s="53"/>
    </row>
    <row r="8" spans="1:50" ht="28.5" customHeight="1" x14ac:dyDescent="0.15">
      <c r="B8" s="162" t="str">
        <f>HLOOKUP($B$5,Region_Table,2,0)</f>
        <v>Blackburn and Darwen - N51</v>
      </c>
      <c r="C8" s="333" t="s">
        <v>1257</v>
      </c>
      <c r="D8" s="334"/>
      <c r="E8" s="334"/>
      <c r="F8" s="334"/>
      <c r="G8" s="334"/>
      <c r="H8" s="334"/>
      <c r="I8" s="334"/>
      <c r="J8" s="334"/>
      <c r="K8" s="334"/>
      <c r="L8" s="334"/>
      <c r="M8" s="343"/>
      <c r="N8" s="343"/>
      <c r="O8" s="344"/>
      <c r="P8" s="337">
        <f>SUMIF('caseload data'!C:C,'divisional &amp; regional caseload%'!B8,'caseload data'!V:V)</f>
        <v>0</v>
      </c>
      <c r="Q8" s="345"/>
      <c r="R8" s="346"/>
      <c r="S8" s="76"/>
      <c r="T8" s="162" t="str">
        <f>HLOOKUP($B$5,Region_Table,3,0)</f>
        <v>Central Lancashire</v>
      </c>
      <c r="U8" s="333" t="s">
        <v>1257</v>
      </c>
      <c r="V8" s="334"/>
      <c r="W8" s="334"/>
      <c r="X8" s="334"/>
      <c r="Y8" s="334"/>
      <c r="Z8" s="334"/>
      <c r="AA8" s="334"/>
      <c r="AB8" s="334"/>
      <c r="AC8" s="334"/>
      <c r="AD8" s="334"/>
      <c r="AE8" s="343"/>
      <c r="AF8" s="343"/>
      <c r="AG8" s="344"/>
      <c r="AH8" s="337">
        <f>SUMIF('caseload data'!C:C,'divisional &amp; regional caseload%'!T8,'caseload data'!V:V)</f>
        <v>0</v>
      </c>
      <c r="AI8" s="345"/>
      <c r="AJ8" s="346"/>
    </row>
    <row r="9" spans="1:50" x14ac:dyDescent="0.15">
      <c r="B9" s="108" t="s">
        <v>1199</v>
      </c>
      <c r="C9" s="42" t="s">
        <v>1019</v>
      </c>
      <c r="D9" s="42" t="s">
        <v>1020</v>
      </c>
      <c r="E9" s="42" t="s">
        <v>1021</v>
      </c>
      <c r="F9" s="42" t="s">
        <v>1022</v>
      </c>
      <c r="G9" s="42" t="s">
        <v>1023</v>
      </c>
      <c r="H9" s="42" t="s">
        <v>1024</v>
      </c>
      <c r="I9" s="42" t="s">
        <v>1025</v>
      </c>
      <c r="J9" s="42" t="s">
        <v>1026</v>
      </c>
      <c r="K9" s="42" t="s">
        <v>1027</v>
      </c>
      <c r="L9" s="42" t="s">
        <v>1028</v>
      </c>
      <c r="M9" s="42" t="s">
        <v>1029</v>
      </c>
      <c r="N9" s="42" t="s">
        <v>1030</v>
      </c>
      <c r="O9" s="42" t="s">
        <v>1031</v>
      </c>
      <c r="P9" s="42" t="s">
        <v>1032</v>
      </c>
      <c r="Q9" s="42" t="s">
        <v>1033</v>
      </c>
      <c r="R9" s="42" t="s">
        <v>1034</v>
      </c>
      <c r="S9" s="76"/>
      <c r="T9" s="108" t="s">
        <v>1199</v>
      </c>
      <c r="U9" s="42" t="s">
        <v>1019</v>
      </c>
      <c r="V9" s="42" t="s">
        <v>1020</v>
      </c>
      <c r="W9" s="42" t="s">
        <v>1021</v>
      </c>
      <c r="X9" s="42" t="s">
        <v>1022</v>
      </c>
      <c r="Y9" s="42" t="s">
        <v>1023</v>
      </c>
      <c r="Z9" s="42" t="s">
        <v>1024</v>
      </c>
      <c r="AA9" s="42" t="s">
        <v>1025</v>
      </c>
      <c r="AB9" s="42" t="s">
        <v>1026</v>
      </c>
      <c r="AC9" s="42" t="s">
        <v>1027</v>
      </c>
      <c r="AD9" s="42" t="s">
        <v>1028</v>
      </c>
      <c r="AE9" s="42" t="s">
        <v>1029</v>
      </c>
      <c r="AF9" s="42" t="s">
        <v>1030</v>
      </c>
      <c r="AG9" s="42" t="s">
        <v>1031</v>
      </c>
      <c r="AH9" s="42" t="s">
        <v>1032</v>
      </c>
      <c r="AI9" s="42" t="s">
        <v>1033</v>
      </c>
      <c r="AJ9" s="42" t="s">
        <v>1034</v>
      </c>
    </row>
    <row r="10" spans="1:50" x14ac:dyDescent="0.15">
      <c r="B10" s="109" t="s">
        <v>1037</v>
      </c>
      <c r="C10" s="187" t="e">
        <f>SUMIFS('caseload data'!E:E,'caseload data'!$C:$C,'divisional &amp; regional caseload%'!$B$8,'caseload data'!$D:$D,"PO")/SUMIF('caseload data'!$C:$C,'divisional &amp; regional caseload%'!$B$8,'caseload data'!E:E)</f>
        <v>#DIV/0!</v>
      </c>
      <c r="D10" s="187" t="e">
        <f>SUMIFS('caseload data'!F:F,'caseload data'!$C:$C,'divisional &amp; regional caseload%'!$B$8,'caseload data'!$D:$D,"PO")/SUMIF('caseload data'!$C:$C,'divisional &amp; regional caseload%'!$B$8,'caseload data'!F:F)</f>
        <v>#DIV/0!</v>
      </c>
      <c r="E10" s="187" t="e">
        <f>SUMIFS('caseload data'!G:G,'caseload data'!$C:$C,'divisional &amp; regional caseload%'!$B$8,'caseload data'!$D:$D,"PO")/SUMIF('caseload data'!$C:$C,'divisional &amp; regional caseload%'!$B$8,'caseload data'!G:G)</f>
        <v>#DIV/0!</v>
      </c>
      <c r="F10" s="187" t="e">
        <f>SUMIFS('caseload data'!H:H,'caseload data'!$C:$C,'divisional &amp; regional caseload%'!$B$8,'caseload data'!$D:$D,"PO")/SUMIF('caseload data'!$C:$C,'divisional &amp; regional caseload%'!$B$8,'caseload data'!H:H)</f>
        <v>#DIV/0!</v>
      </c>
      <c r="G10" s="187" t="e">
        <f>SUMIFS('caseload data'!I:I,'caseload data'!$C:$C,'divisional &amp; regional caseload%'!$B$8,'caseload data'!$D:$D,"PO")/SUMIF('caseload data'!$C:$C,'divisional &amp; regional caseload%'!$B$8,'caseload data'!I:I)</f>
        <v>#DIV/0!</v>
      </c>
      <c r="H10" s="187" t="e">
        <f>SUMIFS('caseload data'!J:J,'caseload data'!$C:$C,'divisional &amp; regional caseload%'!$B$8,'caseload data'!$D:$D,"PO")/SUMIF('caseload data'!$C:$C,'divisional &amp; regional caseload%'!$B$8,'caseload data'!J:J)</f>
        <v>#DIV/0!</v>
      </c>
      <c r="I10" s="187" t="e">
        <f>SUMIFS('caseload data'!K:K,'caseload data'!$C:$C,'divisional &amp; regional caseload%'!$B$8,'caseload data'!$D:$D,"PO")/SUMIF('caseload data'!$C:$C,'divisional &amp; regional caseload%'!$B$8,'caseload data'!K:K)</f>
        <v>#DIV/0!</v>
      </c>
      <c r="J10" s="187" t="e">
        <f>SUMIFS('caseload data'!L:L,'caseload data'!$C:$C,'divisional &amp; regional caseload%'!$B$8,'caseload data'!$D:$D,"PO")/SUMIF('caseload data'!$C:$C,'divisional &amp; regional caseload%'!$B$8,'caseload data'!L:L)</f>
        <v>#DIV/0!</v>
      </c>
      <c r="K10" s="187" t="e">
        <f>SUMIFS('caseload data'!M:M,'caseload data'!$C:$C,'divisional &amp; regional caseload%'!$B$8,'caseload data'!$D:$D,"PO")/SUMIF('caseload data'!$C:$C,'divisional &amp; regional caseload%'!$B$8,'caseload data'!M:M)</f>
        <v>#DIV/0!</v>
      </c>
      <c r="L10" s="187" t="e">
        <f>SUMIFS('caseload data'!N:N,'caseload data'!$C:$C,'divisional &amp; regional caseload%'!$B$8,'caseload data'!$D:$D,"PO")/SUMIF('caseload data'!$C:$C,'divisional &amp; regional caseload%'!$B$8,'caseload data'!N:N)</f>
        <v>#DIV/0!</v>
      </c>
      <c r="M10" s="187" t="e">
        <f>SUMIFS('caseload data'!O:O,'caseload data'!$C:$C,'divisional &amp; regional caseload%'!$B$8,'caseload data'!$D:$D,"PO")/SUMIF('caseload data'!$C:$C,'divisional &amp; regional caseload%'!$B$8,'caseload data'!O:O)</f>
        <v>#DIV/0!</v>
      </c>
      <c r="N10" s="187" t="e">
        <f>SUMIFS('caseload data'!P:P,'caseload data'!$C:$C,'divisional &amp; regional caseload%'!$B$8,'caseload data'!$D:$D,"PO")/SUMIF('caseload data'!$C:$C,'divisional &amp; regional caseload%'!$B$8,'caseload data'!P:P)</f>
        <v>#DIV/0!</v>
      </c>
      <c r="O10" s="187" t="e">
        <f>SUMIFS('caseload data'!Q:Q,'caseload data'!$C:$C,'divisional &amp; regional caseload%'!$B$8,'caseload data'!$D:$D,"PO")/SUMIF('caseload data'!$C:$C,'divisional &amp; regional caseload%'!$B$8,'caseload data'!Q:Q)</f>
        <v>#DIV/0!</v>
      </c>
      <c r="P10" s="187" t="e">
        <f>SUMIFS('caseload data'!R:R,'caseload data'!$C:$C,'divisional &amp; regional caseload%'!$B$8,'caseload data'!$D:$D,"PO")/SUMIF('caseload data'!$C:$C,'divisional &amp; regional caseload%'!$B$8,'caseload data'!R:R)</f>
        <v>#DIV/0!</v>
      </c>
      <c r="Q10" s="187" t="e">
        <f>SUMIFS('caseload data'!S:S,'caseload data'!$C:$C,'divisional &amp; regional caseload%'!$B$8,'caseload data'!$D:$D,"PO")/SUMIF('caseload data'!$C:$C,'divisional &amp; regional caseload%'!$B$8,'caseload data'!S:S)</f>
        <v>#DIV/0!</v>
      </c>
      <c r="R10" s="187" t="e">
        <f>SUMIFS('caseload data'!T:T,'caseload data'!$C:$C,'divisional &amp; regional caseload%'!$B$8,'caseload data'!$D:$D,"PO")/SUMIF('caseload data'!$C:$C,'divisional &amp; regional caseload%'!$B$8,'caseload data'!T:T)</f>
        <v>#DIV/0!</v>
      </c>
      <c r="S10" s="76"/>
      <c r="T10" s="109" t="s">
        <v>1037</v>
      </c>
      <c r="U10" s="187" t="e">
        <f>SUMIFS('caseload data'!E:E,'caseload data'!$C:$C,'divisional &amp; regional caseload%'!$T$8,'caseload data'!$D:$D,"PO")/SUMIF('caseload data'!$C:$C,'divisional &amp; regional caseload%'!$T$8,'caseload data'!E:E)</f>
        <v>#DIV/0!</v>
      </c>
      <c r="V10" s="187" t="e">
        <f>SUMIFS('caseload data'!F:F,'caseload data'!$C:$C,'divisional &amp; regional caseload%'!$T$8,'caseload data'!$D:$D,"PO")/SUMIF('caseload data'!$C:$C,'divisional &amp; regional caseload%'!$T$8,'caseload data'!F:F)</f>
        <v>#DIV/0!</v>
      </c>
      <c r="W10" s="187" t="e">
        <f>SUMIFS('caseload data'!G:G,'caseload data'!$C:$C,'divisional &amp; regional caseload%'!$T$8,'caseload data'!$D:$D,"PO")/SUMIF('caseload data'!$C:$C,'divisional &amp; regional caseload%'!$T$8,'caseload data'!G:G)</f>
        <v>#DIV/0!</v>
      </c>
      <c r="X10" s="187" t="e">
        <f>SUMIFS('caseload data'!H:H,'caseload data'!$C:$C,'divisional &amp; regional caseload%'!$T$8,'caseload data'!$D:$D,"PO")/SUMIF('caseload data'!$C:$C,'divisional &amp; regional caseload%'!$T$8,'caseload data'!H:H)</f>
        <v>#DIV/0!</v>
      </c>
      <c r="Y10" s="187" t="e">
        <f>SUMIFS('caseload data'!I:I,'caseload data'!$C:$C,'divisional &amp; regional caseload%'!$T$8,'caseload data'!$D:$D,"PO")/SUMIF('caseload data'!$C:$C,'divisional &amp; regional caseload%'!$T$8,'caseload data'!I:I)</f>
        <v>#DIV/0!</v>
      </c>
      <c r="Z10" s="187" t="e">
        <f>SUMIFS('caseload data'!J:J,'caseload data'!$C:$C,'divisional &amp; regional caseload%'!$T$8,'caseload data'!$D:$D,"PO")/SUMIF('caseload data'!$C:$C,'divisional &amp; regional caseload%'!$T$8,'caseload data'!J:J)</f>
        <v>#DIV/0!</v>
      </c>
      <c r="AA10" s="187" t="e">
        <f>SUMIFS('caseload data'!K:K,'caseload data'!$C:$C,'divisional &amp; regional caseload%'!$T$8,'caseload data'!$D:$D,"PO")/SUMIF('caseload data'!$C:$C,'divisional &amp; regional caseload%'!$T$8,'caseload data'!K:K)</f>
        <v>#DIV/0!</v>
      </c>
      <c r="AB10" s="187" t="e">
        <f>SUMIFS('caseload data'!L:L,'caseload data'!$C:$C,'divisional &amp; regional caseload%'!$T$8,'caseload data'!$D:$D,"PO")/SUMIF('caseload data'!$C:$C,'divisional &amp; regional caseload%'!$T$8,'caseload data'!L:L)</f>
        <v>#DIV/0!</v>
      </c>
      <c r="AC10" s="187" t="e">
        <f>SUMIFS('caseload data'!M:M,'caseload data'!$C:$C,'divisional &amp; regional caseload%'!$T$8,'caseload data'!$D:$D,"PO")/SUMIF('caseload data'!$C:$C,'divisional &amp; regional caseload%'!$T$8,'caseload data'!M:M)</f>
        <v>#DIV/0!</v>
      </c>
      <c r="AD10" s="187" t="e">
        <f>SUMIFS('caseload data'!N:N,'caseload data'!$C:$C,'divisional &amp; regional caseload%'!$T$8,'caseload data'!$D:$D,"PO")/SUMIF('caseload data'!$C:$C,'divisional &amp; regional caseload%'!$T$8,'caseload data'!N:N)</f>
        <v>#DIV/0!</v>
      </c>
      <c r="AE10" s="187" t="e">
        <f>SUMIFS('caseload data'!O:O,'caseload data'!$C:$C,'divisional &amp; regional caseload%'!$T$8,'caseload data'!$D:$D,"PO")/SUMIF('caseload data'!$C:$C,'divisional &amp; regional caseload%'!$T$8,'caseload data'!O:O)</f>
        <v>#DIV/0!</v>
      </c>
      <c r="AF10" s="187" t="e">
        <f>SUMIFS('caseload data'!P:P,'caseload data'!$C:$C,'divisional &amp; regional caseload%'!$T$8,'caseload data'!$D:$D,"PO")/SUMIF('caseload data'!$C:$C,'divisional &amp; regional caseload%'!$T$8,'caseload data'!P:P)</f>
        <v>#DIV/0!</v>
      </c>
      <c r="AG10" s="187" t="e">
        <f>SUMIFS('caseload data'!Q:Q,'caseload data'!$C:$C,'divisional &amp; regional caseload%'!$T$8,'caseload data'!$D:$D,"PO")/SUMIF('caseload data'!$C:$C,'divisional &amp; regional caseload%'!$T$8,'caseload data'!Q:Q)</f>
        <v>#DIV/0!</v>
      </c>
      <c r="AH10" s="187" t="e">
        <f>SUMIFS('caseload data'!R:R,'caseload data'!$C:$C,'divisional &amp; regional caseload%'!$T$8,'caseload data'!$D:$D,"PO")/SUMIF('caseload data'!$C:$C,'divisional &amp; regional caseload%'!$T$8,'caseload data'!R:R)</f>
        <v>#DIV/0!</v>
      </c>
      <c r="AI10" s="187" t="e">
        <f>SUMIFS('caseload data'!S:S,'caseload data'!$C:$C,'divisional &amp; regional caseload%'!$T$8,'caseload data'!$D:$D,"PO")/SUMIF('caseload data'!$C:$C,'divisional &amp; regional caseload%'!$T$8,'caseload data'!S:S)</f>
        <v>#DIV/0!</v>
      </c>
      <c r="AJ10" s="187" t="e">
        <f>SUMIFS('caseload data'!T:T,'caseload data'!$C:$C,'divisional &amp; regional caseload%'!$T$8,'caseload data'!$D:$D,"PO")/SUMIF('caseload data'!$C:$C,'divisional &amp; regional caseload%'!$T$8,'caseload data'!T:T)</f>
        <v>#DIV/0!</v>
      </c>
    </row>
    <row r="11" spans="1:50" x14ac:dyDescent="0.15">
      <c r="B11" s="110" t="s">
        <v>1038</v>
      </c>
      <c r="C11" s="187" t="e">
        <f>SUMIFS('caseload data'!E:E,'caseload data'!$C:$C,'divisional &amp; regional caseload%'!$B$8,'caseload data'!$D:$D,"PSO")/SUMIF('caseload data'!$C:$C,'divisional &amp; regional caseload%'!$B$8,'caseload data'!E:E)</f>
        <v>#DIV/0!</v>
      </c>
      <c r="D11" s="187" t="e">
        <f>SUMIFS('caseload data'!F:F,'caseload data'!$C:$C,'divisional &amp; regional caseload%'!$B$8,'caseload data'!$D:$D,"PSO")/SUMIF('caseload data'!$C:$C,'divisional &amp; regional caseload%'!$B$8,'caseload data'!F:F)</f>
        <v>#DIV/0!</v>
      </c>
      <c r="E11" s="187" t="e">
        <f>SUMIFS('caseload data'!G:G,'caseload data'!$C:$C,'divisional &amp; regional caseload%'!$B$8,'caseload data'!$D:$D,"PSO")/SUMIF('caseload data'!$C:$C,'divisional &amp; regional caseload%'!$B$8,'caseload data'!G:G)</f>
        <v>#DIV/0!</v>
      </c>
      <c r="F11" s="187" t="e">
        <f>SUMIFS('caseload data'!H:H,'caseload data'!$C:$C,'divisional &amp; regional caseload%'!$B$8,'caseload data'!$D:$D,"PSO")/SUMIF('caseload data'!$C:$C,'divisional &amp; regional caseload%'!$B$8,'caseload data'!H:H)</f>
        <v>#DIV/0!</v>
      </c>
      <c r="G11" s="187" t="e">
        <f>SUMIFS('caseload data'!I:I,'caseload data'!$C:$C,'divisional &amp; regional caseload%'!$B$8,'caseload data'!$D:$D,"PSO")/SUMIF('caseload data'!$C:$C,'divisional &amp; regional caseload%'!$B$8,'caseload data'!I:I)</f>
        <v>#DIV/0!</v>
      </c>
      <c r="H11" s="187" t="e">
        <f>SUMIFS('caseload data'!J:J,'caseload data'!$C:$C,'divisional &amp; regional caseload%'!$B$8,'caseload data'!$D:$D,"PSO")/SUMIF('caseload data'!$C:$C,'divisional &amp; regional caseload%'!$B$8,'caseload data'!J:J)</f>
        <v>#DIV/0!</v>
      </c>
      <c r="I11" s="187" t="e">
        <f>SUMIFS('caseload data'!K:K,'caseload data'!$C:$C,'divisional &amp; regional caseload%'!$B$8,'caseload data'!$D:$D,"PSO")/SUMIF('caseload data'!$C:$C,'divisional &amp; regional caseload%'!$B$8,'caseload data'!K:K)</f>
        <v>#DIV/0!</v>
      </c>
      <c r="J11" s="187" t="e">
        <f>SUMIFS('caseload data'!L:L,'caseload data'!$C:$C,'divisional &amp; regional caseload%'!$B$8,'caseload data'!$D:$D,"PSO")/SUMIF('caseload data'!$C:$C,'divisional &amp; regional caseload%'!$B$8,'caseload data'!L:L)</f>
        <v>#DIV/0!</v>
      </c>
      <c r="K11" s="187" t="e">
        <f>SUMIFS('caseload data'!M:M,'caseload data'!$C:$C,'divisional &amp; regional caseload%'!$B$8,'caseload data'!$D:$D,"PSO")/SUMIF('caseload data'!$C:$C,'divisional &amp; regional caseload%'!$B$8,'caseload data'!M:M)</f>
        <v>#DIV/0!</v>
      </c>
      <c r="L11" s="187" t="e">
        <f>SUMIFS('caseload data'!N:N,'caseload data'!$C:$C,'divisional &amp; regional caseload%'!$B$8,'caseload data'!$D:$D,"PSO")/SUMIF('caseload data'!$C:$C,'divisional &amp; regional caseload%'!$B$8,'caseload data'!N:N)</f>
        <v>#DIV/0!</v>
      </c>
      <c r="M11" s="187" t="e">
        <f>SUMIFS('caseload data'!O:O,'caseload data'!$C:$C,'divisional &amp; regional caseload%'!$B$8,'caseload data'!$D:$D,"PSO")/SUMIF('caseload data'!$C:$C,'divisional &amp; regional caseload%'!$B$8,'caseload data'!O:O)</f>
        <v>#DIV/0!</v>
      </c>
      <c r="N11" s="187" t="e">
        <f>SUMIFS('caseload data'!P:P,'caseload data'!$C:$C,'divisional &amp; regional caseload%'!$B$8,'caseload data'!$D:$D,"PSO")/SUMIF('caseload data'!$C:$C,'divisional &amp; regional caseload%'!$B$8,'caseload data'!P:P)</f>
        <v>#DIV/0!</v>
      </c>
      <c r="O11" s="187" t="e">
        <f>SUMIFS('caseload data'!Q:Q,'caseload data'!$C:$C,'divisional &amp; regional caseload%'!$B$8,'caseload data'!$D:$D,"PSO")/SUMIF('caseload data'!$C:$C,'divisional &amp; regional caseload%'!$B$8,'caseload data'!Q:Q)</f>
        <v>#DIV/0!</v>
      </c>
      <c r="P11" s="187" t="e">
        <f>SUMIFS('caseload data'!R:R,'caseload data'!$C:$C,'divisional &amp; regional caseload%'!$B$8,'caseload data'!$D:$D,"PSO")/SUMIF('caseload data'!$C:$C,'divisional &amp; regional caseload%'!$B$8,'caseload data'!R:R)</f>
        <v>#DIV/0!</v>
      </c>
      <c r="Q11" s="187" t="e">
        <f>SUMIFS('caseload data'!S:S,'caseload data'!$C:$C,'divisional &amp; regional caseload%'!$B$8,'caseload data'!$D:$D,"PSO")/SUMIF('caseload data'!$C:$C,'divisional &amp; regional caseload%'!$B$8,'caseload data'!S:S)</f>
        <v>#DIV/0!</v>
      </c>
      <c r="R11" s="187" t="e">
        <f>SUMIFS('caseload data'!T:T,'caseload data'!$C:$C,'divisional &amp; regional caseload%'!$B$8,'caseload data'!$D:$D,"PSO")/SUMIF('caseload data'!$C:$C,'divisional &amp; regional caseload%'!$B$8,'caseload data'!T:T)</f>
        <v>#DIV/0!</v>
      </c>
      <c r="S11" s="76"/>
      <c r="T11" s="110" t="s">
        <v>1038</v>
      </c>
      <c r="U11" s="187" t="e">
        <f>SUMIFS('caseload data'!E:E,'caseload data'!$C:$C,'divisional &amp; regional caseload%'!$T$8,'caseload data'!$D:$D,"PSO")/SUMIF('caseload data'!$C:$C,'divisional &amp; regional caseload%'!$T$8,'caseload data'!E:E)</f>
        <v>#DIV/0!</v>
      </c>
      <c r="V11" s="187" t="e">
        <f>SUMIFS('caseload data'!F:F,'caseload data'!$C:$C,'divisional &amp; regional caseload%'!$T$8,'caseload data'!$D:$D,"PSO")/SUMIF('caseload data'!$C:$C,'divisional &amp; regional caseload%'!$T$8,'caseload data'!F:F)</f>
        <v>#DIV/0!</v>
      </c>
      <c r="W11" s="187" t="e">
        <f>SUMIFS('caseload data'!G:G,'caseload data'!$C:$C,'divisional &amp; regional caseload%'!$T$8,'caseload data'!$D:$D,"PSO")/SUMIF('caseload data'!$C:$C,'divisional &amp; regional caseload%'!$T$8,'caseload data'!G:G)</f>
        <v>#DIV/0!</v>
      </c>
      <c r="X11" s="187" t="e">
        <f>SUMIFS('caseload data'!H:H,'caseload data'!$C:$C,'divisional &amp; regional caseload%'!$T$8,'caseload data'!$D:$D,"PSO")/SUMIF('caseload data'!$C:$C,'divisional &amp; regional caseload%'!$T$8,'caseload data'!H:H)</f>
        <v>#DIV/0!</v>
      </c>
      <c r="Y11" s="187" t="e">
        <f>SUMIFS('caseload data'!I:I,'caseload data'!$C:$C,'divisional &amp; regional caseload%'!$T$8,'caseload data'!$D:$D,"PSO")/SUMIF('caseload data'!$C:$C,'divisional &amp; regional caseload%'!$T$8,'caseload data'!I:I)</f>
        <v>#DIV/0!</v>
      </c>
      <c r="Z11" s="187" t="e">
        <f>SUMIFS('caseload data'!J:J,'caseload data'!$C:$C,'divisional &amp; regional caseload%'!$T$8,'caseload data'!$D:$D,"PSO")/SUMIF('caseload data'!$C:$C,'divisional &amp; regional caseload%'!$T$8,'caseload data'!J:J)</f>
        <v>#DIV/0!</v>
      </c>
      <c r="AA11" s="187" t="e">
        <f>SUMIFS('caseload data'!K:K,'caseload data'!$C:$C,'divisional &amp; regional caseload%'!$T$8,'caseload data'!$D:$D,"PSO")/SUMIF('caseload data'!$C:$C,'divisional &amp; regional caseload%'!$T$8,'caseload data'!K:K)</f>
        <v>#DIV/0!</v>
      </c>
      <c r="AB11" s="187" t="e">
        <f>SUMIFS('caseload data'!L:L,'caseload data'!$C:$C,'divisional &amp; regional caseload%'!$T$8,'caseload data'!$D:$D,"PSO")/SUMIF('caseload data'!$C:$C,'divisional &amp; regional caseload%'!$T$8,'caseload data'!L:L)</f>
        <v>#DIV/0!</v>
      </c>
      <c r="AC11" s="187" t="e">
        <f>SUMIFS('caseload data'!M:M,'caseload data'!$C:$C,'divisional &amp; regional caseload%'!$T$8,'caseload data'!$D:$D,"PSO")/SUMIF('caseload data'!$C:$C,'divisional &amp; regional caseload%'!$T$8,'caseload data'!M:M)</f>
        <v>#DIV/0!</v>
      </c>
      <c r="AD11" s="187" t="e">
        <f>SUMIFS('caseload data'!N:N,'caseload data'!$C:$C,'divisional &amp; regional caseload%'!$T$8,'caseload data'!$D:$D,"PSO")/SUMIF('caseload data'!$C:$C,'divisional &amp; regional caseload%'!$T$8,'caseload data'!N:N)</f>
        <v>#DIV/0!</v>
      </c>
      <c r="AE11" s="187" t="e">
        <f>SUMIFS('caseload data'!O:O,'caseload data'!$C:$C,'divisional &amp; regional caseload%'!$T$8,'caseload data'!$D:$D,"PSO")/SUMIF('caseload data'!$C:$C,'divisional &amp; regional caseload%'!$T$8,'caseload data'!O:O)</f>
        <v>#DIV/0!</v>
      </c>
      <c r="AF11" s="187" t="e">
        <f>SUMIFS('caseload data'!P:P,'caseload data'!$C:$C,'divisional &amp; regional caseload%'!$T$8,'caseload data'!$D:$D,"PSO")/SUMIF('caseload data'!$C:$C,'divisional &amp; regional caseload%'!$T$8,'caseload data'!P:P)</f>
        <v>#DIV/0!</v>
      </c>
      <c r="AG11" s="187" t="e">
        <f>SUMIFS('caseload data'!Q:Q,'caseload data'!$C:$C,'divisional &amp; regional caseload%'!$T$8,'caseload data'!$D:$D,"PSO")/SUMIF('caseload data'!$C:$C,'divisional &amp; regional caseload%'!$T$8,'caseload data'!Q:Q)</f>
        <v>#DIV/0!</v>
      </c>
      <c r="AH11" s="187" t="e">
        <f>SUMIFS('caseload data'!R:R,'caseload data'!$C:$C,'divisional &amp; regional caseload%'!$T$8,'caseload data'!$D:$D,"PSO")/SUMIF('caseload data'!$C:$C,'divisional &amp; regional caseload%'!$T$8,'caseload data'!R:R)</f>
        <v>#DIV/0!</v>
      </c>
      <c r="AI11" s="187" t="e">
        <f>SUMIFS('caseload data'!S:S,'caseload data'!$C:$C,'divisional &amp; regional caseload%'!$T$8,'caseload data'!$D:$D,"PSO")/SUMIF('caseload data'!$C:$C,'divisional &amp; regional caseload%'!$T$8,'caseload data'!S:S)</f>
        <v>#DIV/0!</v>
      </c>
      <c r="AJ11" s="187" t="e">
        <f>SUMIFS('caseload data'!T:T,'caseload data'!$C:$C,'divisional &amp; regional caseload%'!$T$8,'caseload data'!$D:$D,"PSO")/SUMIF('caseload data'!$C:$C,'divisional &amp; regional caseload%'!$T$8,'caseload data'!T:T)</f>
        <v>#DIV/0!</v>
      </c>
    </row>
    <row r="12" spans="1:50" x14ac:dyDescent="0.15">
      <c r="B12" s="110" t="s">
        <v>1039</v>
      </c>
      <c r="C12" s="187" t="e">
        <f>SUMIFS('caseload data'!E:E,'caseload data'!$C:$C,'divisional &amp; regional caseload%'!$B$8,'caseload data'!$D:$D,"TPO")/SUMIF('caseload data'!$C:$C,'divisional &amp; regional caseload%'!$B$8,'caseload data'!E:E)</f>
        <v>#DIV/0!</v>
      </c>
      <c r="D12" s="187" t="e">
        <f>SUMIFS('caseload data'!F:F,'caseload data'!$C:$C,'divisional &amp; regional caseload%'!$B$8,'caseload data'!$D:$D,"TPO")/SUMIF('caseload data'!$C:$C,'divisional &amp; regional caseload%'!$B$8,'caseload data'!F:F)</f>
        <v>#DIV/0!</v>
      </c>
      <c r="E12" s="187" t="e">
        <f>SUMIFS('caseload data'!G:G,'caseload data'!$C:$C,'divisional &amp; regional caseload%'!$B$8,'caseload data'!$D:$D,"TPO")/SUMIF('caseload data'!$C:$C,'divisional &amp; regional caseload%'!$B$8,'caseload data'!G:G)</f>
        <v>#DIV/0!</v>
      </c>
      <c r="F12" s="187" t="e">
        <f>SUMIFS('caseload data'!H:H,'caseload data'!$C:$C,'divisional &amp; regional caseload%'!$B$8,'caseload data'!$D:$D,"TPO")/SUMIF('caseload data'!$C:$C,'divisional &amp; regional caseload%'!$B$8,'caseload data'!H:H)</f>
        <v>#DIV/0!</v>
      </c>
      <c r="G12" s="187" t="e">
        <f>SUMIFS('caseload data'!I:I,'caseload data'!$C:$C,'divisional &amp; regional caseload%'!$B$8,'caseload data'!$D:$D,"TPO")/SUMIF('caseload data'!$C:$C,'divisional &amp; regional caseload%'!$B$8,'caseload data'!I:I)</f>
        <v>#DIV/0!</v>
      </c>
      <c r="H12" s="187" t="e">
        <f>SUMIFS('caseload data'!J:J,'caseload data'!$C:$C,'divisional &amp; regional caseload%'!$B$8,'caseload data'!$D:$D,"TPO")/SUMIF('caseload data'!$C:$C,'divisional &amp; regional caseload%'!$B$8,'caseload data'!J:J)</f>
        <v>#DIV/0!</v>
      </c>
      <c r="I12" s="187" t="e">
        <f>SUMIFS('caseload data'!K:K,'caseload data'!$C:$C,'divisional &amp; regional caseload%'!$B$8,'caseload data'!$D:$D,"TPO")/SUMIF('caseload data'!$C:$C,'divisional &amp; regional caseload%'!$B$8,'caseload data'!K:K)</f>
        <v>#DIV/0!</v>
      </c>
      <c r="J12" s="187" t="e">
        <f>SUMIFS('caseload data'!L:L,'caseload data'!$C:$C,'divisional &amp; regional caseload%'!$B$8,'caseload data'!$D:$D,"TPO")/SUMIF('caseload data'!$C:$C,'divisional &amp; regional caseload%'!$B$8,'caseload data'!L:L)</f>
        <v>#DIV/0!</v>
      </c>
      <c r="K12" s="187" t="e">
        <f>SUMIFS('caseload data'!M:M,'caseload data'!$C:$C,'divisional &amp; regional caseload%'!$B$8,'caseload data'!$D:$D,"TPO")/SUMIF('caseload data'!$C:$C,'divisional &amp; regional caseload%'!$B$8,'caseload data'!M:M)</f>
        <v>#DIV/0!</v>
      </c>
      <c r="L12" s="187" t="e">
        <f>SUMIFS('caseload data'!N:N,'caseload data'!$C:$C,'divisional &amp; regional caseload%'!$B$8,'caseload data'!$D:$D,"TPO")/SUMIF('caseload data'!$C:$C,'divisional &amp; regional caseload%'!$B$8,'caseload data'!N:N)</f>
        <v>#DIV/0!</v>
      </c>
      <c r="M12" s="187" t="e">
        <f>SUMIFS('caseload data'!O:O,'caseload data'!$C:$C,'divisional &amp; regional caseload%'!$B$8,'caseload data'!$D:$D,"TPO")/SUMIF('caseload data'!$C:$C,'divisional &amp; regional caseload%'!$B$8,'caseload data'!O:O)</f>
        <v>#DIV/0!</v>
      </c>
      <c r="N12" s="187" t="e">
        <f>SUMIFS('caseload data'!P:P,'caseload data'!$C:$C,'divisional &amp; regional caseload%'!$B$8,'caseload data'!$D:$D,"TPO")/SUMIF('caseload data'!$C:$C,'divisional &amp; regional caseload%'!$B$8,'caseload data'!P:P)</f>
        <v>#DIV/0!</v>
      </c>
      <c r="O12" s="187" t="e">
        <f>SUMIFS('caseload data'!Q:Q,'caseload data'!$C:$C,'divisional &amp; regional caseload%'!$B$8,'caseload data'!$D:$D,"TPO")/SUMIF('caseload data'!$C:$C,'divisional &amp; regional caseload%'!$B$8,'caseload data'!Q:Q)</f>
        <v>#DIV/0!</v>
      </c>
      <c r="P12" s="187" t="e">
        <f>SUMIFS('caseload data'!R:R,'caseload data'!$C:$C,'divisional &amp; regional caseload%'!$B$8,'caseload data'!$D:$D,"TPO")/SUMIF('caseload data'!$C:$C,'divisional &amp; regional caseload%'!$B$8,'caseload data'!R:R)</f>
        <v>#DIV/0!</v>
      </c>
      <c r="Q12" s="187" t="e">
        <f>SUMIFS('caseload data'!S:S,'caseload data'!$C:$C,'divisional &amp; regional caseload%'!$B$8,'caseload data'!$D:$D,"TPO")/SUMIF('caseload data'!$C:$C,'divisional &amp; regional caseload%'!$B$8,'caseload data'!S:S)</f>
        <v>#DIV/0!</v>
      </c>
      <c r="R12" s="187" t="e">
        <f>SUMIFS('caseload data'!T:T,'caseload data'!$C:$C,'divisional &amp; regional caseload%'!$B$8,'caseload data'!$D:$D,"TPO")/SUMIF('caseload data'!$C:$C,'divisional &amp; regional caseload%'!$B$8,'caseload data'!T:T)</f>
        <v>#DIV/0!</v>
      </c>
      <c r="S12" s="76"/>
      <c r="T12" s="110" t="s">
        <v>1039</v>
      </c>
      <c r="U12" s="187" t="e">
        <f>SUMIFS('caseload data'!E:E,'caseload data'!$C:$C,'divisional &amp; regional caseload%'!$T$8,'caseload data'!$D:$D,"TPO")/SUMIF('caseload data'!$C:$C,'divisional &amp; regional caseload%'!$T$8,'caseload data'!E:E)</f>
        <v>#DIV/0!</v>
      </c>
      <c r="V12" s="187" t="e">
        <f>SUMIFS('caseload data'!F:F,'caseload data'!$C:$C,'divisional &amp; regional caseload%'!$T$8,'caseload data'!$D:$D,"TPO")/SUMIF('caseload data'!$C:$C,'divisional &amp; regional caseload%'!$T$8,'caseload data'!F:F)</f>
        <v>#DIV/0!</v>
      </c>
      <c r="W12" s="187" t="e">
        <f>SUMIFS('caseload data'!G:G,'caseload data'!$C:$C,'divisional &amp; regional caseload%'!$T$8,'caseload data'!$D:$D,"TPO")/SUMIF('caseload data'!$C:$C,'divisional &amp; regional caseload%'!$T$8,'caseload data'!G:G)</f>
        <v>#DIV/0!</v>
      </c>
      <c r="X12" s="187" t="e">
        <f>SUMIFS('caseload data'!H:H,'caseload data'!$C:$C,'divisional &amp; regional caseload%'!$T$8,'caseload data'!$D:$D,"TPO")/SUMIF('caseload data'!$C:$C,'divisional &amp; regional caseload%'!$T$8,'caseload data'!H:H)</f>
        <v>#DIV/0!</v>
      </c>
      <c r="Y12" s="187" t="e">
        <f>SUMIFS('caseload data'!I:I,'caseload data'!$C:$C,'divisional &amp; regional caseload%'!$T$8,'caseload data'!$D:$D,"TPO")/SUMIF('caseload data'!$C:$C,'divisional &amp; regional caseload%'!$T$8,'caseload data'!I:I)</f>
        <v>#DIV/0!</v>
      </c>
      <c r="Z12" s="187" t="e">
        <f>SUMIFS('caseload data'!J:J,'caseload data'!$C:$C,'divisional &amp; regional caseload%'!$T$8,'caseload data'!$D:$D,"TPO")/SUMIF('caseload data'!$C:$C,'divisional &amp; regional caseload%'!$T$8,'caseload data'!J:J)</f>
        <v>#DIV/0!</v>
      </c>
      <c r="AA12" s="187" t="e">
        <f>SUMIFS('caseload data'!K:K,'caseload data'!$C:$C,'divisional &amp; regional caseload%'!$T$8,'caseload data'!$D:$D,"TPO")/SUMIF('caseload data'!$C:$C,'divisional &amp; regional caseload%'!$T$8,'caseload data'!K:K)</f>
        <v>#DIV/0!</v>
      </c>
      <c r="AB12" s="187" t="e">
        <f>SUMIFS('caseload data'!L:L,'caseload data'!$C:$C,'divisional &amp; regional caseload%'!$T$8,'caseload data'!$D:$D,"TPO")/SUMIF('caseload data'!$C:$C,'divisional &amp; regional caseload%'!$T$8,'caseload data'!L:L)</f>
        <v>#DIV/0!</v>
      </c>
      <c r="AC12" s="187" t="e">
        <f>SUMIFS('caseload data'!M:M,'caseload data'!$C:$C,'divisional &amp; regional caseload%'!$T$8,'caseload data'!$D:$D,"TPO")/SUMIF('caseload data'!$C:$C,'divisional &amp; regional caseload%'!$T$8,'caseload data'!M:M)</f>
        <v>#DIV/0!</v>
      </c>
      <c r="AD12" s="187" t="e">
        <f>SUMIFS('caseload data'!N:N,'caseload data'!$C:$C,'divisional &amp; regional caseload%'!$T$8,'caseload data'!$D:$D,"TPO")/SUMIF('caseload data'!$C:$C,'divisional &amp; regional caseload%'!$T$8,'caseload data'!N:N)</f>
        <v>#DIV/0!</v>
      </c>
      <c r="AE12" s="187" t="e">
        <f>SUMIFS('caseload data'!O:O,'caseload data'!$C:$C,'divisional &amp; regional caseload%'!$T$8,'caseload data'!$D:$D,"TPO")/SUMIF('caseload data'!$C:$C,'divisional &amp; regional caseload%'!$T$8,'caseload data'!O:O)</f>
        <v>#DIV/0!</v>
      </c>
      <c r="AF12" s="187" t="e">
        <f>SUMIFS('caseload data'!P:P,'caseload data'!$C:$C,'divisional &amp; regional caseload%'!$T$8,'caseload data'!$D:$D,"TPO")/SUMIF('caseload data'!$C:$C,'divisional &amp; regional caseload%'!$T$8,'caseload data'!P:P)</f>
        <v>#DIV/0!</v>
      </c>
      <c r="AG12" s="187" t="e">
        <f>SUMIFS('caseload data'!Q:Q,'caseload data'!$C:$C,'divisional &amp; regional caseload%'!$T$8,'caseload data'!$D:$D,"TPO")/SUMIF('caseload data'!$C:$C,'divisional &amp; regional caseload%'!$T$8,'caseload data'!Q:Q)</f>
        <v>#DIV/0!</v>
      </c>
      <c r="AH12" s="187" t="e">
        <f>SUMIFS('caseload data'!R:R,'caseload data'!$C:$C,'divisional &amp; regional caseload%'!$T$8,'caseload data'!$D:$D,"TPO")/SUMIF('caseload data'!$C:$C,'divisional &amp; regional caseload%'!$T$8,'caseload data'!R:R)</f>
        <v>#DIV/0!</v>
      </c>
      <c r="AI12" s="187" t="e">
        <f>SUMIFS('caseload data'!S:S,'caseload data'!$C:$C,'divisional &amp; regional caseload%'!$T$8,'caseload data'!$D:$D,"TPO")/SUMIF('caseload data'!$C:$C,'divisional &amp; regional caseload%'!$T$8,'caseload data'!S:S)</f>
        <v>#DIV/0!</v>
      </c>
      <c r="AJ12" s="187" t="e">
        <f>SUMIFS('caseload data'!T:T,'caseload data'!$C:$C,'divisional &amp; regional caseload%'!$T$8,'caseload data'!$D:$D,"TPO")/SUMIF('caseload data'!$C:$C,'divisional &amp; regional caseload%'!$T$8,'caseload data'!T:T)</f>
        <v>#DIV/0!</v>
      </c>
    </row>
    <row r="13" spans="1:50" x14ac:dyDescent="0.15">
      <c r="B13" s="111" t="s">
        <v>1040</v>
      </c>
      <c r="C13" s="187" t="e">
        <f>SUMIFS('caseload data'!E:E,'caseload data'!$C:$C,'divisional &amp; regional caseload%'!$B$8,'caseload data'!$D:$D,"SPO")/SUMIF('caseload data'!$C:$C,'divisional &amp; regional caseload%'!$B$8,'caseload data'!E:E)</f>
        <v>#DIV/0!</v>
      </c>
      <c r="D13" s="187" t="e">
        <f>SUMIFS('caseload data'!F:F,'caseload data'!$C:$C,'divisional &amp; regional caseload%'!$B$8,'caseload data'!$D:$D,"SPO")/SUMIF('caseload data'!$C:$C,'divisional &amp; regional caseload%'!$B$8,'caseload data'!F:F)</f>
        <v>#DIV/0!</v>
      </c>
      <c r="E13" s="187" t="e">
        <f>SUMIFS('caseload data'!G:G,'caseload data'!$C:$C,'divisional &amp; regional caseload%'!$B$8,'caseload data'!$D:$D,"SPO")/SUMIF('caseload data'!$C:$C,'divisional &amp; regional caseload%'!$B$8,'caseload data'!G:G)</f>
        <v>#DIV/0!</v>
      </c>
      <c r="F13" s="187" t="e">
        <f>SUMIFS('caseload data'!H:H,'caseload data'!$C:$C,'divisional &amp; regional caseload%'!$B$8,'caseload data'!$D:$D,"SPO")/SUMIF('caseload data'!$C:$C,'divisional &amp; regional caseload%'!$B$8,'caseload data'!H:H)</f>
        <v>#DIV/0!</v>
      </c>
      <c r="G13" s="187" t="e">
        <f>SUMIFS('caseload data'!I:I,'caseload data'!$C:$C,'divisional &amp; regional caseload%'!$B$8,'caseload data'!$D:$D,"SPO")/SUMIF('caseload data'!$C:$C,'divisional &amp; regional caseload%'!$B$8,'caseload data'!I:I)</f>
        <v>#DIV/0!</v>
      </c>
      <c r="H13" s="187" t="e">
        <f>SUMIFS('caseload data'!J:J,'caseload data'!$C:$C,'divisional &amp; regional caseload%'!$B$8,'caseload data'!$D:$D,"SPO")/SUMIF('caseload data'!$C:$C,'divisional &amp; regional caseload%'!$B$8,'caseload data'!J:J)</f>
        <v>#DIV/0!</v>
      </c>
      <c r="I13" s="187" t="e">
        <f>SUMIFS('caseload data'!K:K,'caseload data'!$C:$C,'divisional &amp; regional caseload%'!$B$8,'caseload data'!$D:$D,"SPO")/SUMIF('caseload data'!$C:$C,'divisional &amp; regional caseload%'!$B$8,'caseload data'!K:K)</f>
        <v>#DIV/0!</v>
      </c>
      <c r="J13" s="187" t="e">
        <f>SUMIFS('caseload data'!L:L,'caseload data'!$C:$C,'divisional &amp; regional caseload%'!$B$8,'caseload data'!$D:$D,"SPO")/SUMIF('caseload data'!$C:$C,'divisional &amp; regional caseload%'!$B$8,'caseload data'!L:L)</f>
        <v>#DIV/0!</v>
      </c>
      <c r="K13" s="187" t="e">
        <f>SUMIFS('caseload data'!M:M,'caseload data'!$C:$C,'divisional &amp; regional caseload%'!$B$8,'caseload data'!$D:$D,"SPO")/SUMIF('caseload data'!$C:$C,'divisional &amp; regional caseload%'!$B$8,'caseload data'!M:M)</f>
        <v>#DIV/0!</v>
      </c>
      <c r="L13" s="187" t="e">
        <f>SUMIFS('caseload data'!N:N,'caseload data'!$C:$C,'divisional &amp; regional caseload%'!$B$8,'caseload data'!$D:$D,"SPO")/SUMIF('caseload data'!$C:$C,'divisional &amp; regional caseload%'!$B$8,'caseload data'!N:N)</f>
        <v>#DIV/0!</v>
      </c>
      <c r="M13" s="187" t="e">
        <f>SUMIFS('caseload data'!O:O,'caseload data'!$C:$C,'divisional &amp; regional caseload%'!$B$8,'caseload data'!$D:$D,"SPO")/SUMIF('caseload data'!$C:$C,'divisional &amp; regional caseload%'!$B$8,'caseload data'!O:O)</f>
        <v>#DIV/0!</v>
      </c>
      <c r="N13" s="187" t="e">
        <f>SUMIFS('caseload data'!P:P,'caseload data'!$C:$C,'divisional &amp; regional caseload%'!$B$8,'caseload data'!$D:$D,"SPO")/SUMIF('caseload data'!$C:$C,'divisional &amp; regional caseload%'!$B$8,'caseload data'!P:P)</f>
        <v>#DIV/0!</v>
      </c>
      <c r="O13" s="187" t="e">
        <f>SUMIFS('caseload data'!Q:Q,'caseload data'!$C:$C,'divisional &amp; regional caseload%'!$B$8,'caseload data'!$D:$D,"SPO")/SUMIF('caseload data'!$C:$C,'divisional &amp; regional caseload%'!$B$8,'caseload data'!Q:Q)</f>
        <v>#DIV/0!</v>
      </c>
      <c r="P13" s="187" t="e">
        <f>SUMIFS('caseload data'!R:R,'caseload data'!$C:$C,'divisional &amp; regional caseload%'!$B$8,'caseload data'!$D:$D,"SPO")/SUMIF('caseload data'!$C:$C,'divisional &amp; regional caseload%'!$B$8,'caseload data'!R:R)</f>
        <v>#DIV/0!</v>
      </c>
      <c r="Q13" s="187" t="e">
        <f>SUMIFS('caseload data'!S:S,'caseload data'!$C:$C,'divisional &amp; regional caseload%'!$B$8,'caseload data'!$D:$D,"SPO")/SUMIF('caseload data'!$C:$C,'divisional &amp; regional caseload%'!$B$8,'caseload data'!S:S)</f>
        <v>#DIV/0!</v>
      </c>
      <c r="R13" s="187" t="e">
        <f>SUMIFS('caseload data'!T:T,'caseload data'!$C:$C,'divisional &amp; regional caseload%'!$B$8,'caseload data'!$D:$D,"SPO")/SUMIF('caseload data'!$C:$C,'divisional &amp; regional caseload%'!$B$8,'caseload data'!T:T)</f>
        <v>#DIV/0!</v>
      </c>
      <c r="S13" s="76"/>
      <c r="T13" s="111" t="s">
        <v>1040</v>
      </c>
      <c r="U13" s="187" t="e">
        <f>SUMIFS('caseload data'!E:E,'caseload data'!$C:$C,'divisional &amp; regional caseload%'!$T$8,'caseload data'!$D:$D,"SPO")/SUMIF('caseload data'!$C:$C,'divisional &amp; regional caseload%'!$T$8,'caseload data'!E:E)</f>
        <v>#DIV/0!</v>
      </c>
      <c r="V13" s="187" t="e">
        <f>SUMIFS('caseload data'!F:F,'caseload data'!$C:$C,'divisional &amp; regional caseload%'!$T$8,'caseload data'!$D:$D,"SPO")/SUMIF('caseload data'!$C:$C,'divisional &amp; regional caseload%'!$T$8,'caseload data'!F:F)</f>
        <v>#DIV/0!</v>
      </c>
      <c r="W13" s="187" t="e">
        <f>SUMIFS('caseload data'!G:G,'caseload data'!$C:$C,'divisional &amp; regional caseload%'!$T$8,'caseload data'!$D:$D,"SPO")/SUMIF('caseload data'!$C:$C,'divisional &amp; regional caseload%'!$T$8,'caseload data'!G:G)</f>
        <v>#DIV/0!</v>
      </c>
      <c r="X13" s="187" t="e">
        <f>SUMIFS('caseload data'!H:H,'caseload data'!$C:$C,'divisional &amp; regional caseload%'!$T$8,'caseload data'!$D:$D,"SPO")/SUMIF('caseload data'!$C:$C,'divisional &amp; regional caseload%'!$T$8,'caseload data'!H:H)</f>
        <v>#DIV/0!</v>
      </c>
      <c r="Y13" s="187" t="e">
        <f>SUMIFS('caseload data'!I:I,'caseload data'!$C:$C,'divisional &amp; regional caseload%'!$T$8,'caseload data'!$D:$D,"SPO")/SUMIF('caseload data'!$C:$C,'divisional &amp; regional caseload%'!$T$8,'caseload data'!I:I)</f>
        <v>#DIV/0!</v>
      </c>
      <c r="Z13" s="187" t="e">
        <f>SUMIFS('caseload data'!J:J,'caseload data'!$C:$C,'divisional &amp; regional caseload%'!$T$8,'caseload data'!$D:$D,"SPO")/SUMIF('caseload data'!$C:$C,'divisional &amp; regional caseload%'!$T$8,'caseload data'!J:J)</f>
        <v>#DIV/0!</v>
      </c>
      <c r="AA13" s="187" t="e">
        <f>SUMIFS('caseload data'!K:K,'caseload data'!$C:$C,'divisional &amp; regional caseload%'!$T$8,'caseload data'!$D:$D,"SPO")/SUMIF('caseload data'!$C:$C,'divisional &amp; regional caseload%'!$T$8,'caseload data'!K:K)</f>
        <v>#DIV/0!</v>
      </c>
      <c r="AB13" s="187" t="e">
        <f>SUMIFS('caseload data'!L:L,'caseload data'!$C:$C,'divisional &amp; regional caseload%'!$T$8,'caseload data'!$D:$D,"SPO")/SUMIF('caseload data'!$C:$C,'divisional &amp; regional caseload%'!$T$8,'caseload data'!L:L)</f>
        <v>#DIV/0!</v>
      </c>
      <c r="AC13" s="187" t="e">
        <f>SUMIFS('caseload data'!M:M,'caseload data'!$C:$C,'divisional &amp; regional caseload%'!$T$8,'caseload data'!$D:$D,"SPO")/SUMIF('caseload data'!$C:$C,'divisional &amp; regional caseload%'!$T$8,'caseload data'!M:M)</f>
        <v>#DIV/0!</v>
      </c>
      <c r="AD13" s="187" t="e">
        <f>SUMIFS('caseload data'!N:N,'caseload data'!$C:$C,'divisional &amp; regional caseload%'!$T$8,'caseload data'!$D:$D,"SPO")/SUMIF('caseload data'!$C:$C,'divisional &amp; regional caseload%'!$T$8,'caseload data'!N:N)</f>
        <v>#DIV/0!</v>
      </c>
      <c r="AE13" s="187" t="e">
        <f>SUMIFS('caseload data'!O:O,'caseload data'!$C:$C,'divisional &amp; regional caseload%'!$T$8,'caseload data'!$D:$D,"SPO")/SUMIF('caseload data'!$C:$C,'divisional &amp; regional caseload%'!$T$8,'caseload data'!O:O)</f>
        <v>#DIV/0!</v>
      </c>
      <c r="AF13" s="187" t="e">
        <f>SUMIFS('caseload data'!P:P,'caseload data'!$C:$C,'divisional &amp; regional caseload%'!$T$8,'caseload data'!$D:$D,"SPO")/SUMIF('caseload data'!$C:$C,'divisional &amp; regional caseload%'!$T$8,'caseload data'!P:P)</f>
        <v>#DIV/0!</v>
      </c>
      <c r="AG13" s="187" t="e">
        <f>SUMIFS('caseload data'!Q:Q,'caseload data'!$C:$C,'divisional &amp; regional caseload%'!$T$8,'caseload data'!$D:$D,"SPO")/SUMIF('caseload data'!$C:$C,'divisional &amp; regional caseload%'!$T$8,'caseload data'!Q:Q)</f>
        <v>#DIV/0!</v>
      </c>
      <c r="AH13" s="187" t="e">
        <f>SUMIFS('caseload data'!R:R,'caseload data'!$C:$C,'divisional &amp; regional caseload%'!$T$8,'caseload data'!$D:$D,"SPO")/SUMIF('caseload data'!$C:$C,'divisional &amp; regional caseload%'!$T$8,'caseload data'!R:R)</f>
        <v>#DIV/0!</v>
      </c>
      <c r="AI13" s="187" t="e">
        <f>SUMIFS('caseload data'!S:S,'caseload data'!$C:$C,'divisional &amp; regional caseload%'!$T$8,'caseload data'!$D:$D,"SPO")/SUMIF('caseload data'!$C:$C,'divisional &amp; regional caseload%'!$T$8,'caseload data'!S:S)</f>
        <v>#DIV/0!</v>
      </c>
      <c r="AJ13" s="187" t="e">
        <f>SUMIFS('caseload data'!T:T,'caseload data'!$C:$C,'divisional &amp; regional caseload%'!$T$8,'caseload data'!$D:$D,"SPO")/SUMIF('caseload data'!$C:$C,'divisional &amp; regional caseload%'!$T$8,'caseload data'!T:T)</f>
        <v>#DIV/0!</v>
      </c>
    </row>
    <row r="14" spans="1:50" x14ac:dyDescent="0.15">
      <c r="B14" s="104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104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</row>
    <row r="15" spans="1:50" ht="30" customHeight="1" x14ac:dyDescent="0.15">
      <c r="B15" s="162" t="str">
        <f>HLOOKUP($B$5,Region_Table,4,0)</f>
        <v>Cheshire East</v>
      </c>
      <c r="C15" s="333" t="s">
        <v>1257</v>
      </c>
      <c r="D15" s="334"/>
      <c r="E15" s="334"/>
      <c r="F15" s="334"/>
      <c r="G15" s="334"/>
      <c r="H15" s="334"/>
      <c r="I15" s="334"/>
      <c r="J15" s="334"/>
      <c r="K15" s="334"/>
      <c r="L15" s="334"/>
      <c r="M15" s="343"/>
      <c r="N15" s="343"/>
      <c r="O15" s="344"/>
      <c r="P15" s="337">
        <f>SUMIF('caseload data'!$C:$C,'divisional &amp; regional caseload%'!B15,'caseload data'!V:V)</f>
        <v>0</v>
      </c>
      <c r="Q15" s="345"/>
      <c r="R15" s="346"/>
      <c r="S15" s="76"/>
      <c r="T15" s="162" t="str">
        <f>HLOOKUP($B$5,Region_Table,5,0)</f>
        <v>Cheshire West</v>
      </c>
      <c r="U15" s="333" t="s">
        <v>1257</v>
      </c>
      <c r="V15" s="334"/>
      <c r="W15" s="334"/>
      <c r="X15" s="334"/>
      <c r="Y15" s="334"/>
      <c r="Z15" s="334"/>
      <c r="AA15" s="334"/>
      <c r="AB15" s="334"/>
      <c r="AC15" s="334"/>
      <c r="AD15" s="334"/>
      <c r="AE15" s="343"/>
      <c r="AF15" s="343"/>
      <c r="AG15" s="344"/>
      <c r="AH15" s="337">
        <f>SUMIF('caseload data'!$C:$C,'divisional &amp; regional caseload%'!T15,'caseload data'!V:V)</f>
        <v>0</v>
      </c>
      <c r="AI15" s="345"/>
      <c r="AJ15" s="346"/>
    </row>
    <row r="16" spans="1:50" x14ac:dyDescent="0.15">
      <c r="B16" s="108" t="s">
        <v>1199</v>
      </c>
      <c r="C16" s="42" t="s">
        <v>1019</v>
      </c>
      <c r="D16" s="42" t="s">
        <v>1020</v>
      </c>
      <c r="E16" s="42" t="s">
        <v>1021</v>
      </c>
      <c r="F16" s="42" t="s">
        <v>1022</v>
      </c>
      <c r="G16" s="42" t="s">
        <v>1023</v>
      </c>
      <c r="H16" s="42" t="s">
        <v>1024</v>
      </c>
      <c r="I16" s="42" t="s">
        <v>1025</v>
      </c>
      <c r="J16" s="42" t="s">
        <v>1026</v>
      </c>
      <c r="K16" s="42" t="s">
        <v>1027</v>
      </c>
      <c r="L16" s="42" t="s">
        <v>1028</v>
      </c>
      <c r="M16" s="42" t="s">
        <v>1029</v>
      </c>
      <c r="N16" s="42" t="s">
        <v>1030</v>
      </c>
      <c r="O16" s="42" t="s">
        <v>1031</v>
      </c>
      <c r="P16" s="42" t="s">
        <v>1032</v>
      </c>
      <c r="Q16" s="42" t="s">
        <v>1033</v>
      </c>
      <c r="R16" s="42" t="s">
        <v>1034</v>
      </c>
      <c r="S16" s="76"/>
      <c r="T16" s="108" t="s">
        <v>1199</v>
      </c>
      <c r="U16" s="42" t="s">
        <v>1019</v>
      </c>
      <c r="V16" s="42" t="s">
        <v>1020</v>
      </c>
      <c r="W16" s="42" t="s">
        <v>1021</v>
      </c>
      <c r="X16" s="42" t="s">
        <v>1022</v>
      </c>
      <c r="Y16" s="42" t="s">
        <v>1023</v>
      </c>
      <c r="Z16" s="42" t="s">
        <v>1024</v>
      </c>
      <c r="AA16" s="42" t="s">
        <v>1025</v>
      </c>
      <c r="AB16" s="42" t="s">
        <v>1026</v>
      </c>
      <c r="AC16" s="42" t="s">
        <v>1027</v>
      </c>
      <c r="AD16" s="42" t="s">
        <v>1028</v>
      </c>
      <c r="AE16" s="42" t="s">
        <v>1029</v>
      </c>
      <c r="AF16" s="42" t="s">
        <v>1030</v>
      </c>
      <c r="AG16" s="42" t="s">
        <v>1031</v>
      </c>
      <c r="AH16" s="42" t="s">
        <v>1032</v>
      </c>
      <c r="AI16" s="42" t="s">
        <v>1033</v>
      </c>
      <c r="AJ16" s="42" t="s">
        <v>1034</v>
      </c>
    </row>
    <row r="17" spans="2:36" x14ac:dyDescent="0.15">
      <c r="B17" s="109" t="s">
        <v>1037</v>
      </c>
      <c r="C17" s="187" t="e">
        <f>SUMIFS('caseload data'!E:E,'caseload data'!$C:$C,'divisional &amp; regional caseload%'!$B$15,'caseload data'!$D:$D,"PO")/SUMIF('caseload data'!$C:$C,'divisional &amp; regional caseload%'!$B$15,'caseload data'!E:E)</f>
        <v>#DIV/0!</v>
      </c>
      <c r="D17" s="187" t="e">
        <f>SUMIFS('caseload data'!F:F,'caseload data'!$C:$C,'divisional &amp; regional caseload%'!$B$15,'caseload data'!$D:$D,"PO")/SUMIF('caseload data'!$C:$C,'divisional &amp; regional caseload%'!$B$15,'caseload data'!F:F)</f>
        <v>#DIV/0!</v>
      </c>
      <c r="E17" s="187" t="e">
        <f>SUMIFS('caseload data'!G:G,'caseload data'!$C:$C,'divisional &amp; regional caseload%'!$B$15,'caseload data'!$D:$D,"PO")/SUMIF('caseload data'!$C:$C,'divisional &amp; regional caseload%'!$B$15,'caseload data'!G:G)</f>
        <v>#DIV/0!</v>
      </c>
      <c r="F17" s="187" t="e">
        <f>SUMIFS('caseload data'!H:H,'caseload data'!$C:$C,'divisional &amp; regional caseload%'!$B$15,'caseload data'!$D:$D,"PO")/SUMIF('caseload data'!$C:$C,'divisional &amp; regional caseload%'!$B$15,'caseload data'!H:H)</f>
        <v>#DIV/0!</v>
      </c>
      <c r="G17" s="187" t="e">
        <f>SUMIFS('caseload data'!I:I,'caseload data'!$C:$C,'divisional &amp; regional caseload%'!$B$15,'caseload data'!$D:$D,"PO")/SUMIF('caseload data'!$C:$C,'divisional &amp; regional caseload%'!$B$15,'caseload data'!I:I)</f>
        <v>#DIV/0!</v>
      </c>
      <c r="H17" s="187" t="e">
        <f>SUMIFS('caseload data'!J:J,'caseload data'!$C:$C,'divisional &amp; regional caseload%'!$B$15,'caseload data'!$D:$D,"PO")/SUMIF('caseload data'!$C:$C,'divisional &amp; regional caseload%'!$B$15,'caseload data'!J:J)</f>
        <v>#DIV/0!</v>
      </c>
      <c r="I17" s="187" t="e">
        <f>SUMIFS('caseload data'!K:K,'caseload data'!$C:$C,'divisional &amp; regional caseload%'!$B$15,'caseload data'!$D:$D,"PO")/SUMIF('caseload data'!$C:$C,'divisional &amp; regional caseload%'!$B$15,'caseload data'!K:K)</f>
        <v>#DIV/0!</v>
      </c>
      <c r="J17" s="187" t="e">
        <f>SUMIFS('caseload data'!L:L,'caseload data'!$C:$C,'divisional &amp; regional caseload%'!$B$15,'caseload data'!$D:$D,"PO")/SUMIF('caseload data'!$C:$C,'divisional &amp; regional caseload%'!$B$15,'caseload data'!L:L)</f>
        <v>#DIV/0!</v>
      </c>
      <c r="K17" s="187" t="e">
        <f>SUMIFS('caseload data'!M:M,'caseload data'!$C:$C,'divisional &amp; regional caseload%'!$B$15,'caseload data'!$D:$D,"PO")/SUMIF('caseload data'!$C:$C,'divisional &amp; regional caseload%'!$B$15,'caseload data'!M:M)</f>
        <v>#DIV/0!</v>
      </c>
      <c r="L17" s="187" t="e">
        <f>SUMIFS('caseload data'!N:N,'caseload data'!$C:$C,'divisional &amp; regional caseload%'!$B$15,'caseload data'!$D:$D,"PO")/SUMIF('caseload data'!$C:$C,'divisional &amp; regional caseload%'!$B$15,'caseload data'!N:N)</f>
        <v>#DIV/0!</v>
      </c>
      <c r="M17" s="187" t="e">
        <f>SUMIFS('caseload data'!O:O,'caseload data'!$C:$C,'divisional &amp; regional caseload%'!$B$15,'caseload data'!$D:$D,"PO")/SUMIF('caseload data'!$C:$C,'divisional &amp; regional caseload%'!$B$15,'caseload data'!O:O)</f>
        <v>#DIV/0!</v>
      </c>
      <c r="N17" s="187" t="e">
        <f>SUMIFS('caseload data'!P:P,'caseload data'!$C:$C,'divisional &amp; regional caseload%'!$B$15,'caseload data'!$D:$D,"PO")/SUMIF('caseload data'!$C:$C,'divisional &amp; regional caseload%'!$B$15,'caseload data'!P:P)</f>
        <v>#DIV/0!</v>
      </c>
      <c r="O17" s="187" t="e">
        <f>SUMIFS('caseload data'!Q:Q,'caseload data'!$C:$C,'divisional &amp; regional caseload%'!$B$15,'caseload data'!$D:$D,"PO")/SUMIF('caseload data'!$C:$C,'divisional &amp; regional caseload%'!$B$15,'caseload data'!Q:Q)</f>
        <v>#DIV/0!</v>
      </c>
      <c r="P17" s="187" t="e">
        <f>SUMIFS('caseload data'!R:R,'caseload data'!$C:$C,'divisional &amp; regional caseload%'!$B$15,'caseload data'!$D:$D,"PO")/SUMIF('caseload data'!$C:$C,'divisional &amp; regional caseload%'!$B$15,'caseload data'!R:R)</f>
        <v>#DIV/0!</v>
      </c>
      <c r="Q17" s="187" t="e">
        <f>SUMIFS('caseload data'!S:S,'caseload data'!$C:$C,'divisional &amp; regional caseload%'!$B$15,'caseload data'!$D:$D,"PO")/SUMIF('caseload data'!$C:$C,'divisional &amp; regional caseload%'!$B$15,'caseload data'!S:S)</f>
        <v>#DIV/0!</v>
      </c>
      <c r="R17" s="187" t="e">
        <f>SUMIFS('caseload data'!T:T,'caseload data'!$C:$C,'divisional &amp; regional caseload%'!$B$15,'caseload data'!$D:$D,"PO")/SUMIF('caseload data'!$C:$C,'divisional &amp; regional caseload%'!$B$15,'caseload data'!T:T)</f>
        <v>#DIV/0!</v>
      </c>
      <c r="S17" s="76"/>
      <c r="T17" s="109" t="s">
        <v>1037</v>
      </c>
      <c r="U17" s="187" t="e">
        <f>SUMIFS('caseload data'!E:E,'caseload data'!$C:$C,'divisional &amp; regional caseload%'!$T$15,'caseload data'!$D:$D,"PO")/SUMIF('caseload data'!$C:$C,'divisional &amp; regional caseload%'!$T$15,'caseload data'!E:E)</f>
        <v>#DIV/0!</v>
      </c>
      <c r="V17" s="187" t="e">
        <f>SUMIFS('caseload data'!F:F,'caseload data'!$C:$C,'divisional &amp; regional caseload%'!$T$15,'caseload data'!$D:$D,"PO")/SUMIF('caseload data'!$C:$C,'divisional &amp; regional caseload%'!$T$15,'caseload data'!F:F)</f>
        <v>#DIV/0!</v>
      </c>
      <c r="W17" s="187" t="e">
        <f>SUMIFS('caseload data'!G:G,'caseload data'!$C:$C,'divisional &amp; regional caseload%'!$T$15,'caseload data'!$D:$D,"PO")/SUMIF('caseload data'!$C:$C,'divisional &amp; regional caseload%'!$T$15,'caseload data'!G:G)</f>
        <v>#DIV/0!</v>
      </c>
      <c r="X17" s="187" t="e">
        <f>SUMIFS('caseload data'!H:H,'caseload data'!$C:$C,'divisional &amp; regional caseload%'!$T$15,'caseload data'!$D:$D,"PO")/SUMIF('caseload data'!$C:$C,'divisional &amp; regional caseload%'!$T$15,'caseload data'!H:H)</f>
        <v>#DIV/0!</v>
      </c>
      <c r="Y17" s="187" t="e">
        <f>SUMIFS('caseload data'!I:I,'caseload data'!$C:$C,'divisional &amp; regional caseload%'!$T$15,'caseload data'!$D:$D,"PO")/SUMIF('caseload data'!$C:$C,'divisional &amp; regional caseload%'!$T$15,'caseload data'!I:I)</f>
        <v>#DIV/0!</v>
      </c>
      <c r="Z17" s="187" t="e">
        <f>SUMIFS('caseload data'!J:J,'caseload data'!$C:$C,'divisional &amp; regional caseload%'!$T$15,'caseload data'!$D:$D,"PO")/SUMIF('caseload data'!$C:$C,'divisional &amp; regional caseload%'!$T$15,'caseload data'!J:J)</f>
        <v>#DIV/0!</v>
      </c>
      <c r="AA17" s="187" t="e">
        <f>SUMIFS('caseload data'!K:K,'caseload data'!$C:$C,'divisional &amp; regional caseload%'!$T$15,'caseload data'!$D:$D,"PO")/SUMIF('caseload data'!$C:$C,'divisional &amp; regional caseload%'!$T$15,'caseload data'!K:K)</f>
        <v>#DIV/0!</v>
      </c>
      <c r="AB17" s="187" t="e">
        <f>SUMIFS('caseload data'!L:L,'caseload data'!$C:$C,'divisional &amp; regional caseload%'!$T$15,'caseload data'!$D:$D,"PO")/SUMIF('caseload data'!$C:$C,'divisional &amp; regional caseload%'!$T$15,'caseload data'!L:L)</f>
        <v>#DIV/0!</v>
      </c>
      <c r="AC17" s="187" t="e">
        <f>SUMIFS('caseload data'!M:M,'caseload data'!$C:$C,'divisional &amp; regional caseload%'!$T$15,'caseload data'!$D:$D,"PO")/SUMIF('caseload data'!$C:$C,'divisional &amp; regional caseload%'!$T$15,'caseload data'!M:M)</f>
        <v>#DIV/0!</v>
      </c>
      <c r="AD17" s="187" t="e">
        <f>SUMIFS('caseload data'!N:N,'caseload data'!$C:$C,'divisional &amp; regional caseload%'!$T$15,'caseload data'!$D:$D,"PO")/SUMIF('caseload data'!$C:$C,'divisional &amp; regional caseload%'!$T$15,'caseload data'!N:N)</f>
        <v>#DIV/0!</v>
      </c>
      <c r="AE17" s="187" t="e">
        <f>SUMIFS('caseload data'!O:O,'caseload data'!$C:$C,'divisional &amp; regional caseload%'!$T$15,'caseload data'!$D:$D,"PO")/SUMIF('caseload data'!$C:$C,'divisional &amp; regional caseload%'!$T$15,'caseload data'!O:O)</f>
        <v>#DIV/0!</v>
      </c>
      <c r="AF17" s="187" t="e">
        <f>SUMIFS('caseload data'!P:P,'caseload data'!$C:$C,'divisional &amp; regional caseload%'!$T$15,'caseload data'!$D:$D,"PO")/SUMIF('caseload data'!$C:$C,'divisional &amp; regional caseload%'!$T$15,'caseload data'!P:P)</f>
        <v>#DIV/0!</v>
      </c>
      <c r="AG17" s="187" t="e">
        <f>SUMIFS('caseload data'!Q:Q,'caseload data'!$C:$C,'divisional &amp; regional caseload%'!$T$15,'caseload data'!$D:$D,"PO")/SUMIF('caseload data'!$C:$C,'divisional &amp; regional caseload%'!$T$15,'caseload data'!Q:Q)</f>
        <v>#DIV/0!</v>
      </c>
      <c r="AH17" s="187" t="e">
        <f>SUMIFS('caseload data'!R:R,'caseload data'!$C:$C,'divisional &amp; regional caseload%'!$T$15,'caseload data'!$D:$D,"PO")/SUMIF('caseload data'!$C:$C,'divisional &amp; regional caseload%'!$T$15,'caseload data'!R:R)</f>
        <v>#DIV/0!</v>
      </c>
      <c r="AI17" s="187" t="e">
        <f>SUMIFS('caseload data'!S:S,'caseload data'!$C:$C,'divisional &amp; regional caseload%'!$T$15,'caseload data'!$D:$D,"PO")/SUMIF('caseload data'!$C:$C,'divisional &amp; regional caseload%'!$T$15,'caseload data'!S:S)</f>
        <v>#DIV/0!</v>
      </c>
      <c r="AJ17" s="187" t="e">
        <f>SUMIFS('caseload data'!T:T,'caseload data'!$C:$C,'divisional &amp; regional caseload%'!$T$15,'caseload data'!$D:$D,"PO")/SUMIF('caseload data'!$C:$C,'divisional &amp; regional caseload%'!$T$15,'caseload data'!T:T)</f>
        <v>#DIV/0!</v>
      </c>
    </row>
    <row r="18" spans="2:36" x14ac:dyDescent="0.15">
      <c r="B18" s="110" t="s">
        <v>1038</v>
      </c>
      <c r="C18" s="187" t="e">
        <f>SUMIFS('caseload data'!E:E,'caseload data'!$C:$C,'divisional &amp; regional caseload%'!$B$15,'caseload data'!$D:$D,"PSO")/SUMIF('caseload data'!$C:$C,'divisional &amp; regional caseload%'!$B$15,'caseload data'!E:E)</f>
        <v>#DIV/0!</v>
      </c>
      <c r="D18" s="187" t="e">
        <f>SUMIFS('caseload data'!F:F,'caseload data'!$C:$C,'divisional &amp; regional caseload%'!$B$15,'caseload data'!$D:$D,"PSO")/SUMIF('caseload data'!$C:$C,'divisional &amp; regional caseload%'!$B$15,'caseload data'!F:F)</f>
        <v>#DIV/0!</v>
      </c>
      <c r="E18" s="187" t="e">
        <f>SUMIFS('caseload data'!G:G,'caseload data'!$C:$C,'divisional &amp; regional caseload%'!$B$15,'caseload data'!$D:$D,"PSO")/SUMIF('caseload data'!$C:$C,'divisional &amp; regional caseload%'!$B$15,'caseload data'!G:G)</f>
        <v>#DIV/0!</v>
      </c>
      <c r="F18" s="187" t="e">
        <f>SUMIFS('caseload data'!H:H,'caseload data'!$C:$C,'divisional &amp; regional caseload%'!$B$15,'caseload data'!$D:$D,"PSO")/SUMIF('caseload data'!$C:$C,'divisional &amp; regional caseload%'!$B$15,'caseload data'!H:H)</f>
        <v>#DIV/0!</v>
      </c>
      <c r="G18" s="187" t="e">
        <f>SUMIFS('caseload data'!I:I,'caseload data'!$C:$C,'divisional &amp; regional caseload%'!$B$15,'caseload data'!$D:$D,"PSO")/SUMIF('caseload data'!$C:$C,'divisional &amp; regional caseload%'!$B$15,'caseload data'!I:I)</f>
        <v>#DIV/0!</v>
      </c>
      <c r="H18" s="187" t="e">
        <f>SUMIFS('caseload data'!J:J,'caseload data'!$C:$C,'divisional &amp; regional caseload%'!$B$15,'caseload data'!$D:$D,"PSO")/SUMIF('caseload data'!$C:$C,'divisional &amp; regional caseload%'!$B$15,'caseload data'!J:J)</f>
        <v>#DIV/0!</v>
      </c>
      <c r="I18" s="187" t="e">
        <f>SUMIFS('caseload data'!K:K,'caseload data'!$C:$C,'divisional &amp; regional caseload%'!$B$15,'caseload data'!$D:$D,"PSO")/SUMIF('caseload data'!$C:$C,'divisional &amp; regional caseload%'!$B$15,'caseload data'!K:K)</f>
        <v>#DIV/0!</v>
      </c>
      <c r="J18" s="187" t="e">
        <f>SUMIFS('caseload data'!L:L,'caseload data'!$C:$C,'divisional &amp; regional caseload%'!$B$15,'caseload data'!$D:$D,"PSO")/SUMIF('caseload data'!$C:$C,'divisional &amp; regional caseload%'!$B$15,'caseload data'!L:L)</f>
        <v>#DIV/0!</v>
      </c>
      <c r="K18" s="187" t="e">
        <f>SUMIFS('caseload data'!M:M,'caseload data'!$C:$C,'divisional &amp; regional caseload%'!$B$15,'caseload data'!$D:$D,"PSO")/SUMIF('caseload data'!$C:$C,'divisional &amp; regional caseload%'!$B$15,'caseload data'!M:M)</f>
        <v>#DIV/0!</v>
      </c>
      <c r="L18" s="187" t="e">
        <f>SUMIFS('caseload data'!N:N,'caseload data'!$C:$C,'divisional &amp; regional caseload%'!$B$15,'caseload data'!$D:$D,"PSO")/SUMIF('caseload data'!$C:$C,'divisional &amp; regional caseload%'!$B$15,'caseload data'!N:N)</f>
        <v>#DIV/0!</v>
      </c>
      <c r="M18" s="187" t="e">
        <f>SUMIFS('caseload data'!O:O,'caseload data'!$C:$C,'divisional &amp; regional caseload%'!$B$15,'caseload data'!$D:$D,"PSO")/SUMIF('caseload data'!$C:$C,'divisional &amp; regional caseload%'!$B$15,'caseload data'!O:O)</f>
        <v>#DIV/0!</v>
      </c>
      <c r="N18" s="187" t="e">
        <f>SUMIFS('caseload data'!P:P,'caseload data'!$C:$C,'divisional &amp; regional caseload%'!$B$15,'caseload data'!$D:$D,"PSO")/SUMIF('caseload data'!$C:$C,'divisional &amp; regional caseload%'!$B$15,'caseload data'!P:P)</f>
        <v>#DIV/0!</v>
      </c>
      <c r="O18" s="187" t="e">
        <f>SUMIFS('caseload data'!Q:Q,'caseload data'!$C:$C,'divisional &amp; regional caseload%'!$B$15,'caseload data'!$D:$D,"PSO")/SUMIF('caseload data'!$C:$C,'divisional &amp; regional caseload%'!$B$15,'caseload data'!Q:Q)</f>
        <v>#DIV/0!</v>
      </c>
      <c r="P18" s="187" t="e">
        <f>SUMIFS('caseload data'!R:R,'caseload data'!$C:$C,'divisional &amp; regional caseload%'!$B$15,'caseload data'!$D:$D,"PSO")/SUMIF('caseload data'!$C:$C,'divisional &amp; regional caseload%'!$B$15,'caseload data'!R:R)</f>
        <v>#DIV/0!</v>
      </c>
      <c r="Q18" s="187" t="e">
        <f>SUMIFS('caseload data'!S:S,'caseload data'!$C:$C,'divisional &amp; regional caseload%'!$B$15,'caseload data'!$D:$D,"PSO")/SUMIF('caseload data'!$C:$C,'divisional &amp; regional caseload%'!$B$15,'caseload data'!S:S)</f>
        <v>#DIV/0!</v>
      </c>
      <c r="R18" s="187" t="e">
        <f>SUMIFS('caseload data'!T:T,'caseload data'!$C:$C,'divisional &amp; regional caseload%'!$B$15,'caseload data'!$D:$D,"PSO")/SUMIF('caseload data'!$C:$C,'divisional &amp; regional caseload%'!$B$15,'caseload data'!T:T)</f>
        <v>#DIV/0!</v>
      </c>
      <c r="S18" s="76"/>
      <c r="T18" s="110" t="s">
        <v>1038</v>
      </c>
      <c r="U18" s="187" t="e">
        <f>SUMIFS('caseload data'!E:E,'caseload data'!$C:$C,'divisional &amp; regional caseload%'!$T$15,'caseload data'!$D:$D,"PSO")/SUMIF('caseload data'!$C:$C,'divisional &amp; regional caseload%'!$T$15,'caseload data'!E:E)</f>
        <v>#DIV/0!</v>
      </c>
      <c r="V18" s="187" t="e">
        <f>SUMIFS('caseload data'!F:F,'caseload data'!$C:$C,'divisional &amp; regional caseload%'!$T$15,'caseload data'!$D:$D,"PSO")/SUMIF('caseload data'!$C:$C,'divisional &amp; regional caseload%'!$T$15,'caseload data'!F:F)</f>
        <v>#DIV/0!</v>
      </c>
      <c r="W18" s="187" t="e">
        <f>SUMIFS('caseload data'!G:G,'caseload data'!$C:$C,'divisional &amp; regional caseload%'!$T$15,'caseload data'!$D:$D,"PSO")/SUMIF('caseload data'!$C:$C,'divisional &amp; regional caseload%'!$T$15,'caseload data'!G:G)</f>
        <v>#DIV/0!</v>
      </c>
      <c r="X18" s="187" t="e">
        <f>SUMIFS('caseload data'!H:H,'caseload data'!$C:$C,'divisional &amp; regional caseload%'!$T$15,'caseload data'!$D:$D,"PSO")/SUMIF('caseload data'!$C:$C,'divisional &amp; regional caseload%'!$T$15,'caseload data'!H:H)</f>
        <v>#DIV/0!</v>
      </c>
      <c r="Y18" s="187" t="e">
        <f>SUMIFS('caseload data'!I:I,'caseload data'!$C:$C,'divisional &amp; regional caseload%'!$T$15,'caseload data'!$D:$D,"PSO")/SUMIF('caseload data'!$C:$C,'divisional &amp; regional caseload%'!$T$15,'caseload data'!I:I)</f>
        <v>#DIV/0!</v>
      </c>
      <c r="Z18" s="187" t="e">
        <f>SUMIFS('caseload data'!J:J,'caseload data'!$C:$C,'divisional &amp; regional caseload%'!$T$15,'caseload data'!$D:$D,"PSO")/SUMIF('caseload data'!$C:$C,'divisional &amp; regional caseload%'!$T$15,'caseload data'!J:J)</f>
        <v>#DIV/0!</v>
      </c>
      <c r="AA18" s="187" t="e">
        <f>SUMIFS('caseload data'!K:K,'caseload data'!$C:$C,'divisional &amp; regional caseload%'!$T$15,'caseload data'!$D:$D,"PSO")/SUMIF('caseload data'!$C:$C,'divisional &amp; regional caseload%'!$T$15,'caseload data'!K:K)</f>
        <v>#DIV/0!</v>
      </c>
      <c r="AB18" s="187" t="e">
        <f>SUMIFS('caseload data'!L:L,'caseload data'!$C:$C,'divisional &amp; regional caseload%'!$T$15,'caseload data'!$D:$D,"PSO")/SUMIF('caseload data'!$C:$C,'divisional &amp; regional caseload%'!$T$15,'caseload data'!L:L)</f>
        <v>#DIV/0!</v>
      </c>
      <c r="AC18" s="187" t="e">
        <f>SUMIFS('caseload data'!M:M,'caseload data'!$C:$C,'divisional &amp; regional caseload%'!$T$15,'caseload data'!$D:$D,"PSO")/SUMIF('caseload data'!$C:$C,'divisional &amp; regional caseload%'!$T$15,'caseload data'!M:M)</f>
        <v>#DIV/0!</v>
      </c>
      <c r="AD18" s="187" t="e">
        <f>SUMIFS('caseload data'!N:N,'caseload data'!$C:$C,'divisional &amp; regional caseload%'!$T$15,'caseload data'!$D:$D,"PSO")/SUMIF('caseload data'!$C:$C,'divisional &amp; regional caseload%'!$T$15,'caseload data'!N:N)</f>
        <v>#DIV/0!</v>
      </c>
      <c r="AE18" s="187" t="e">
        <f>SUMIFS('caseload data'!O:O,'caseload data'!$C:$C,'divisional &amp; regional caseload%'!$T$15,'caseload data'!$D:$D,"PSO")/SUMIF('caseload data'!$C:$C,'divisional &amp; regional caseload%'!$T$15,'caseload data'!O:O)</f>
        <v>#DIV/0!</v>
      </c>
      <c r="AF18" s="187" t="e">
        <f>SUMIFS('caseload data'!P:P,'caseload data'!$C:$C,'divisional &amp; regional caseload%'!$T$15,'caseload data'!$D:$D,"PSO")/SUMIF('caseload data'!$C:$C,'divisional &amp; regional caseload%'!$T$15,'caseload data'!P:P)</f>
        <v>#DIV/0!</v>
      </c>
      <c r="AG18" s="187" t="e">
        <f>SUMIFS('caseload data'!Q:Q,'caseload data'!$C:$C,'divisional &amp; regional caseload%'!$T$15,'caseload data'!$D:$D,"PSO")/SUMIF('caseload data'!$C:$C,'divisional &amp; regional caseload%'!$T$15,'caseload data'!Q:Q)</f>
        <v>#DIV/0!</v>
      </c>
      <c r="AH18" s="187" t="e">
        <f>SUMIFS('caseload data'!R:R,'caseload data'!$C:$C,'divisional &amp; regional caseload%'!$T$15,'caseload data'!$D:$D,"PSO")/SUMIF('caseload data'!$C:$C,'divisional &amp; regional caseload%'!$T$15,'caseload data'!R:R)</f>
        <v>#DIV/0!</v>
      </c>
      <c r="AI18" s="187" t="e">
        <f>SUMIFS('caseload data'!S:S,'caseload data'!$C:$C,'divisional &amp; regional caseload%'!$T$15,'caseload data'!$D:$D,"PSO")/SUMIF('caseload data'!$C:$C,'divisional &amp; regional caseload%'!$T$15,'caseload data'!S:S)</f>
        <v>#DIV/0!</v>
      </c>
      <c r="AJ18" s="187" t="e">
        <f>SUMIFS('caseload data'!T:T,'caseload data'!$C:$C,'divisional &amp; regional caseload%'!$T$15,'caseload data'!$D:$D,"PSO")/SUMIF('caseload data'!$C:$C,'divisional &amp; regional caseload%'!$T$15,'caseload data'!T:T)</f>
        <v>#DIV/0!</v>
      </c>
    </row>
    <row r="19" spans="2:36" x14ac:dyDescent="0.15">
      <c r="B19" s="110" t="s">
        <v>1039</v>
      </c>
      <c r="C19" s="187" t="e">
        <f>SUMIFS('caseload data'!E:E,'caseload data'!$C:$C,'divisional &amp; regional caseload%'!$B$15,'caseload data'!$D:$D,"TPO")/SUMIF('caseload data'!$C:$C,'divisional &amp; regional caseload%'!$B$15,'caseload data'!E:E)</f>
        <v>#DIV/0!</v>
      </c>
      <c r="D19" s="187" t="e">
        <f>SUMIFS('caseload data'!F:F,'caseload data'!$C:$C,'divisional &amp; regional caseload%'!$B$15,'caseload data'!$D:$D,"TPO")/SUMIF('caseload data'!$C:$C,'divisional &amp; regional caseload%'!$B$15,'caseload data'!F:F)</f>
        <v>#DIV/0!</v>
      </c>
      <c r="E19" s="187" t="e">
        <f>SUMIFS('caseload data'!G:G,'caseload data'!$C:$C,'divisional &amp; regional caseload%'!$B$15,'caseload data'!$D:$D,"TPO")/SUMIF('caseload data'!$C:$C,'divisional &amp; regional caseload%'!$B$15,'caseload data'!G:G)</f>
        <v>#DIV/0!</v>
      </c>
      <c r="F19" s="187" t="e">
        <f>SUMIFS('caseload data'!H:H,'caseload data'!$C:$C,'divisional &amp; regional caseload%'!$B$15,'caseload data'!$D:$D,"TPO")/SUMIF('caseload data'!$C:$C,'divisional &amp; regional caseload%'!$B$15,'caseload data'!H:H)</f>
        <v>#DIV/0!</v>
      </c>
      <c r="G19" s="187" t="e">
        <f>SUMIFS('caseload data'!I:I,'caseload data'!$C:$C,'divisional &amp; regional caseload%'!$B$15,'caseload data'!$D:$D,"TPO")/SUMIF('caseload data'!$C:$C,'divisional &amp; regional caseload%'!$B$15,'caseload data'!I:I)</f>
        <v>#DIV/0!</v>
      </c>
      <c r="H19" s="187" t="e">
        <f>SUMIFS('caseload data'!J:J,'caseload data'!$C:$C,'divisional &amp; regional caseload%'!$B$15,'caseload data'!$D:$D,"TPO")/SUMIF('caseload data'!$C:$C,'divisional &amp; regional caseload%'!$B$15,'caseload data'!J:J)</f>
        <v>#DIV/0!</v>
      </c>
      <c r="I19" s="187" t="e">
        <f>SUMIFS('caseload data'!K:K,'caseload data'!$C:$C,'divisional &amp; regional caseload%'!$B$15,'caseload data'!$D:$D,"TPO")/SUMIF('caseload data'!$C:$C,'divisional &amp; regional caseload%'!$B$15,'caseload data'!K:K)</f>
        <v>#DIV/0!</v>
      </c>
      <c r="J19" s="187" t="e">
        <f>SUMIFS('caseload data'!L:L,'caseload data'!$C:$C,'divisional &amp; regional caseload%'!$B$15,'caseload data'!$D:$D,"TPO")/SUMIF('caseload data'!$C:$C,'divisional &amp; regional caseload%'!$B$15,'caseload data'!L:L)</f>
        <v>#DIV/0!</v>
      </c>
      <c r="K19" s="187" t="e">
        <f>SUMIFS('caseload data'!M:M,'caseload data'!$C:$C,'divisional &amp; regional caseload%'!$B$15,'caseload data'!$D:$D,"TPO")/SUMIF('caseload data'!$C:$C,'divisional &amp; regional caseload%'!$B$15,'caseload data'!M:M)</f>
        <v>#DIV/0!</v>
      </c>
      <c r="L19" s="187" t="e">
        <f>SUMIFS('caseload data'!N:N,'caseload data'!$C:$C,'divisional &amp; regional caseload%'!$B$15,'caseload data'!$D:$D,"TPO")/SUMIF('caseload data'!$C:$C,'divisional &amp; regional caseload%'!$B$15,'caseload data'!N:N)</f>
        <v>#DIV/0!</v>
      </c>
      <c r="M19" s="187" t="e">
        <f>SUMIFS('caseload data'!O:O,'caseload data'!$C:$C,'divisional &amp; regional caseload%'!$B$15,'caseload data'!$D:$D,"TPO")/SUMIF('caseload data'!$C:$C,'divisional &amp; regional caseload%'!$B$15,'caseload data'!O:O)</f>
        <v>#DIV/0!</v>
      </c>
      <c r="N19" s="187" t="e">
        <f>SUMIFS('caseload data'!P:P,'caseload data'!$C:$C,'divisional &amp; regional caseload%'!$B$15,'caseload data'!$D:$D,"TPO")/SUMIF('caseload data'!$C:$C,'divisional &amp; regional caseload%'!$B$15,'caseload data'!P:P)</f>
        <v>#DIV/0!</v>
      </c>
      <c r="O19" s="187" t="e">
        <f>SUMIFS('caseload data'!Q:Q,'caseload data'!$C:$C,'divisional &amp; regional caseload%'!$B$15,'caseload data'!$D:$D,"TPO")/SUMIF('caseload data'!$C:$C,'divisional &amp; regional caseload%'!$B$15,'caseload data'!Q:Q)</f>
        <v>#DIV/0!</v>
      </c>
      <c r="P19" s="187" t="e">
        <f>SUMIFS('caseload data'!R:R,'caseload data'!$C:$C,'divisional &amp; regional caseload%'!$B$15,'caseload data'!$D:$D,"TPO")/SUMIF('caseload data'!$C:$C,'divisional &amp; regional caseload%'!$B$15,'caseload data'!R:R)</f>
        <v>#DIV/0!</v>
      </c>
      <c r="Q19" s="187" t="e">
        <f>SUMIFS('caseload data'!S:S,'caseload data'!$C:$C,'divisional &amp; regional caseload%'!$B$15,'caseload data'!$D:$D,"TPO")/SUMIF('caseload data'!$C:$C,'divisional &amp; regional caseload%'!$B$15,'caseload data'!S:S)</f>
        <v>#DIV/0!</v>
      </c>
      <c r="R19" s="187" t="e">
        <f>SUMIFS('caseload data'!T:T,'caseload data'!$C:$C,'divisional &amp; regional caseload%'!$B$15,'caseload data'!$D:$D,"TPO")/SUMIF('caseload data'!$C:$C,'divisional &amp; regional caseload%'!$B$15,'caseload data'!T:T)</f>
        <v>#DIV/0!</v>
      </c>
      <c r="S19" s="76"/>
      <c r="T19" s="110" t="s">
        <v>1039</v>
      </c>
      <c r="U19" s="187" t="e">
        <f>SUMIFS('caseload data'!E:E,'caseload data'!$C:$C,'divisional &amp; regional caseload%'!$T$15,'caseload data'!$D:$D,"TPO")/SUMIF('caseload data'!$C:$C,'divisional &amp; regional caseload%'!$T$15,'caseload data'!E:E)</f>
        <v>#DIV/0!</v>
      </c>
      <c r="V19" s="187" t="e">
        <f>SUMIFS('caseload data'!F:F,'caseload data'!$C:$C,'divisional &amp; regional caseload%'!$T$15,'caseload data'!$D:$D,"TPO")/SUMIF('caseload data'!$C:$C,'divisional &amp; regional caseload%'!$T$15,'caseload data'!F:F)</f>
        <v>#DIV/0!</v>
      </c>
      <c r="W19" s="187" t="e">
        <f>SUMIFS('caseload data'!G:G,'caseload data'!$C:$C,'divisional &amp; regional caseload%'!$T$15,'caseload data'!$D:$D,"TPO")/SUMIF('caseload data'!$C:$C,'divisional &amp; regional caseload%'!$T$15,'caseload data'!G:G)</f>
        <v>#DIV/0!</v>
      </c>
      <c r="X19" s="187" t="e">
        <f>SUMIFS('caseload data'!H:H,'caseload data'!$C:$C,'divisional &amp; regional caseload%'!$T$15,'caseload data'!$D:$D,"TPO")/SUMIF('caseload data'!$C:$C,'divisional &amp; regional caseload%'!$T$15,'caseload data'!H:H)</f>
        <v>#DIV/0!</v>
      </c>
      <c r="Y19" s="187" t="e">
        <f>SUMIFS('caseload data'!I:I,'caseload data'!$C:$C,'divisional &amp; regional caseload%'!$T$15,'caseload data'!$D:$D,"TPO")/SUMIF('caseload data'!$C:$C,'divisional &amp; regional caseload%'!$T$15,'caseload data'!I:I)</f>
        <v>#DIV/0!</v>
      </c>
      <c r="Z19" s="187" t="e">
        <f>SUMIFS('caseload data'!J:J,'caseload data'!$C:$C,'divisional &amp; regional caseload%'!$T$15,'caseload data'!$D:$D,"TPO")/SUMIF('caseload data'!$C:$C,'divisional &amp; regional caseload%'!$T$15,'caseload data'!J:J)</f>
        <v>#DIV/0!</v>
      </c>
      <c r="AA19" s="187" t="e">
        <f>SUMIFS('caseload data'!K:K,'caseload data'!$C:$C,'divisional &amp; regional caseload%'!$T$15,'caseload data'!$D:$D,"TPO")/SUMIF('caseload data'!$C:$C,'divisional &amp; regional caseload%'!$T$15,'caseload data'!K:K)</f>
        <v>#DIV/0!</v>
      </c>
      <c r="AB19" s="187" t="e">
        <f>SUMIFS('caseload data'!L:L,'caseload data'!$C:$C,'divisional &amp; regional caseload%'!$T$15,'caseload data'!$D:$D,"TPO")/SUMIF('caseload data'!$C:$C,'divisional &amp; regional caseload%'!$T$15,'caseload data'!L:L)</f>
        <v>#DIV/0!</v>
      </c>
      <c r="AC19" s="187" t="e">
        <f>SUMIFS('caseload data'!M:M,'caseload data'!$C:$C,'divisional &amp; regional caseload%'!$T$15,'caseload data'!$D:$D,"TPO")/SUMIF('caseload data'!$C:$C,'divisional &amp; regional caseload%'!$T$15,'caseload data'!M:M)</f>
        <v>#DIV/0!</v>
      </c>
      <c r="AD19" s="187" t="e">
        <f>SUMIFS('caseload data'!N:N,'caseload data'!$C:$C,'divisional &amp; regional caseload%'!$T$15,'caseload data'!$D:$D,"TPO")/SUMIF('caseload data'!$C:$C,'divisional &amp; regional caseload%'!$T$15,'caseload data'!N:N)</f>
        <v>#DIV/0!</v>
      </c>
      <c r="AE19" s="187" t="e">
        <f>SUMIFS('caseload data'!O:O,'caseload data'!$C:$C,'divisional &amp; regional caseload%'!$T$15,'caseload data'!$D:$D,"TPO")/SUMIF('caseload data'!$C:$C,'divisional &amp; regional caseload%'!$T$15,'caseload data'!O:O)</f>
        <v>#DIV/0!</v>
      </c>
      <c r="AF19" s="187" t="e">
        <f>SUMIFS('caseload data'!P:P,'caseload data'!$C:$C,'divisional &amp; regional caseload%'!$T$15,'caseload data'!$D:$D,"TPO")/SUMIF('caseload data'!$C:$C,'divisional &amp; regional caseload%'!$T$15,'caseload data'!P:P)</f>
        <v>#DIV/0!</v>
      </c>
      <c r="AG19" s="187" t="e">
        <f>SUMIFS('caseload data'!Q:Q,'caseload data'!$C:$C,'divisional &amp; regional caseload%'!$T$15,'caseload data'!$D:$D,"TPO")/SUMIF('caseload data'!$C:$C,'divisional &amp; regional caseload%'!$T$15,'caseload data'!Q:Q)</f>
        <v>#DIV/0!</v>
      </c>
      <c r="AH19" s="187" t="e">
        <f>SUMIFS('caseload data'!R:R,'caseload data'!$C:$C,'divisional &amp; regional caseload%'!$T$15,'caseload data'!$D:$D,"TPO")/SUMIF('caseload data'!$C:$C,'divisional &amp; regional caseload%'!$T$15,'caseload data'!R:R)</f>
        <v>#DIV/0!</v>
      </c>
      <c r="AI19" s="187" t="e">
        <f>SUMIFS('caseload data'!S:S,'caseload data'!$C:$C,'divisional &amp; regional caseload%'!$T$15,'caseload data'!$D:$D,"TPO")/SUMIF('caseload data'!$C:$C,'divisional &amp; regional caseload%'!$T$15,'caseload data'!S:S)</f>
        <v>#DIV/0!</v>
      </c>
      <c r="AJ19" s="187" t="e">
        <f>SUMIFS('caseload data'!T:T,'caseload data'!$C:$C,'divisional &amp; regional caseload%'!$T$15,'caseload data'!$D:$D,"TPO")/SUMIF('caseload data'!$C:$C,'divisional &amp; regional caseload%'!$T$15,'caseload data'!T:T)</f>
        <v>#DIV/0!</v>
      </c>
    </row>
    <row r="20" spans="2:36" x14ac:dyDescent="0.15">
      <c r="B20" s="111" t="s">
        <v>1040</v>
      </c>
      <c r="C20" s="187" t="e">
        <f>SUMIFS('caseload data'!E:E,'caseload data'!$C:$C,'divisional &amp; regional caseload%'!$B$15,'caseload data'!$D:$D,"SPO")/SUMIF('caseload data'!$C:$C,'divisional &amp; regional caseload%'!$B$15,'caseload data'!E:E)</f>
        <v>#DIV/0!</v>
      </c>
      <c r="D20" s="187" t="e">
        <f>SUMIFS('caseload data'!F:F,'caseload data'!$C:$C,'divisional &amp; regional caseload%'!$B$15,'caseload data'!$D:$D,"SPO")/SUMIF('caseload data'!$C:$C,'divisional &amp; regional caseload%'!$B$15,'caseload data'!F:F)</f>
        <v>#DIV/0!</v>
      </c>
      <c r="E20" s="187" t="e">
        <f>SUMIFS('caseload data'!G:G,'caseload data'!$C:$C,'divisional &amp; regional caseload%'!$B$15,'caseload data'!$D:$D,"SPO")/SUMIF('caseload data'!$C:$C,'divisional &amp; regional caseload%'!$B$15,'caseload data'!G:G)</f>
        <v>#DIV/0!</v>
      </c>
      <c r="F20" s="187" t="e">
        <f>SUMIFS('caseload data'!H:H,'caseload data'!$C:$C,'divisional &amp; regional caseload%'!$B$15,'caseload data'!$D:$D,"SPO")/SUMIF('caseload data'!$C:$C,'divisional &amp; regional caseload%'!$B$15,'caseload data'!H:H)</f>
        <v>#DIV/0!</v>
      </c>
      <c r="G20" s="187" t="e">
        <f>SUMIFS('caseload data'!I:I,'caseload data'!$C:$C,'divisional &amp; regional caseload%'!$B$15,'caseload data'!$D:$D,"SPO")/SUMIF('caseload data'!$C:$C,'divisional &amp; regional caseload%'!$B$15,'caseload data'!I:I)</f>
        <v>#DIV/0!</v>
      </c>
      <c r="H20" s="187" t="e">
        <f>SUMIFS('caseload data'!J:J,'caseload data'!$C:$C,'divisional &amp; regional caseload%'!$B$15,'caseload data'!$D:$D,"SPO")/SUMIF('caseload data'!$C:$C,'divisional &amp; regional caseload%'!$B$15,'caseload data'!J:J)</f>
        <v>#DIV/0!</v>
      </c>
      <c r="I20" s="187" t="e">
        <f>SUMIFS('caseload data'!K:K,'caseload data'!$C:$C,'divisional &amp; regional caseload%'!$B$15,'caseload data'!$D:$D,"SPO")/SUMIF('caseload data'!$C:$C,'divisional &amp; regional caseload%'!$B$15,'caseload data'!K:K)</f>
        <v>#DIV/0!</v>
      </c>
      <c r="J20" s="187" t="e">
        <f>SUMIFS('caseload data'!L:L,'caseload data'!$C:$C,'divisional &amp; regional caseload%'!$B$15,'caseload data'!$D:$D,"SPO")/SUMIF('caseload data'!$C:$C,'divisional &amp; regional caseload%'!$B$15,'caseload data'!L:L)</f>
        <v>#DIV/0!</v>
      </c>
      <c r="K20" s="187" t="e">
        <f>SUMIFS('caseload data'!M:M,'caseload data'!$C:$C,'divisional &amp; regional caseload%'!$B$15,'caseload data'!$D:$D,"SPO")/SUMIF('caseload data'!$C:$C,'divisional &amp; regional caseload%'!$B$15,'caseload data'!M:M)</f>
        <v>#DIV/0!</v>
      </c>
      <c r="L20" s="187" t="e">
        <f>SUMIFS('caseload data'!N:N,'caseload data'!$C:$C,'divisional &amp; regional caseload%'!$B$15,'caseload data'!$D:$D,"SPO")/SUMIF('caseload data'!$C:$C,'divisional &amp; regional caseload%'!$B$15,'caseload data'!N:N)</f>
        <v>#DIV/0!</v>
      </c>
      <c r="M20" s="187" t="e">
        <f>SUMIFS('caseload data'!O:O,'caseload data'!$C:$C,'divisional &amp; regional caseload%'!$B$15,'caseload data'!$D:$D,"SPO")/SUMIF('caseload data'!$C:$C,'divisional &amp; regional caseload%'!$B$15,'caseload data'!O:O)</f>
        <v>#DIV/0!</v>
      </c>
      <c r="N20" s="187" t="e">
        <f>SUMIFS('caseload data'!P:P,'caseload data'!$C:$C,'divisional &amp; regional caseload%'!$B$15,'caseload data'!$D:$D,"SPO")/SUMIF('caseload data'!$C:$C,'divisional &amp; regional caseload%'!$B$15,'caseload data'!P:P)</f>
        <v>#DIV/0!</v>
      </c>
      <c r="O20" s="187" t="e">
        <f>SUMIFS('caseload data'!Q:Q,'caseload data'!$C:$C,'divisional &amp; regional caseload%'!$B$15,'caseload data'!$D:$D,"SPO")/SUMIF('caseload data'!$C:$C,'divisional &amp; regional caseload%'!$B$15,'caseload data'!Q:Q)</f>
        <v>#DIV/0!</v>
      </c>
      <c r="P20" s="187" t="e">
        <f>SUMIFS('caseload data'!R:R,'caseload data'!$C:$C,'divisional &amp; regional caseload%'!$B$15,'caseload data'!$D:$D,"SPO")/SUMIF('caseload data'!$C:$C,'divisional &amp; regional caseload%'!$B$15,'caseload data'!R:R)</f>
        <v>#DIV/0!</v>
      </c>
      <c r="Q20" s="187" t="e">
        <f>SUMIFS('caseload data'!S:S,'caseload data'!$C:$C,'divisional &amp; regional caseload%'!$B$15,'caseload data'!$D:$D,"SPO")/SUMIF('caseload data'!$C:$C,'divisional &amp; regional caseload%'!$B$15,'caseload data'!S:S)</f>
        <v>#DIV/0!</v>
      </c>
      <c r="R20" s="187" t="e">
        <f>SUMIFS('caseload data'!T:T,'caseload data'!$C:$C,'divisional &amp; regional caseload%'!$B$15,'caseload data'!$D:$D,"SPO")/SUMIF('caseload data'!$C:$C,'divisional &amp; regional caseload%'!$B$15,'caseload data'!T:T)</f>
        <v>#DIV/0!</v>
      </c>
      <c r="S20" s="76"/>
      <c r="T20" s="111" t="s">
        <v>1040</v>
      </c>
      <c r="U20" s="187" t="e">
        <f>SUMIFS('caseload data'!E:E,'caseload data'!$C:$C,'divisional &amp; regional caseload%'!$T$15,'caseload data'!$D:$D,"SPO")/SUMIF('caseload data'!$C:$C,'divisional &amp; regional caseload%'!$T$15,'caseload data'!E:E)</f>
        <v>#DIV/0!</v>
      </c>
      <c r="V20" s="187" t="e">
        <f>SUMIFS('caseload data'!F:F,'caseload data'!$C:$C,'divisional &amp; regional caseload%'!$T$15,'caseload data'!$D:$D,"SPO")/SUMIF('caseload data'!$C:$C,'divisional &amp; regional caseload%'!$T$15,'caseload data'!F:F)</f>
        <v>#DIV/0!</v>
      </c>
      <c r="W20" s="187" t="e">
        <f>SUMIFS('caseload data'!G:G,'caseload data'!$C:$C,'divisional &amp; regional caseload%'!$T$15,'caseload data'!$D:$D,"SPO")/SUMIF('caseload data'!$C:$C,'divisional &amp; regional caseload%'!$T$15,'caseload data'!G:G)</f>
        <v>#DIV/0!</v>
      </c>
      <c r="X20" s="187" t="e">
        <f>SUMIFS('caseload data'!H:H,'caseload data'!$C:$C,'divisional &amp; regional caseload%'!$T$15,'caseload data'!$D:$D,"SPO")/SUMIF('caseload data'!$C:$C,'divisional &amp; regional caseload%'!$T$15,'caseload data'!H:H)</f>
        <v>#DIV/0!</v>
      </c>
      <c r="Y20" s="187" t="e">
        <f>SUMIFS('caseload data'!I:I,'caseload data'!$C:$C,'divisional &amp; regional caseload%'!$T$15,'caseload data'!$D:$D,"SPO")/SUMIF('caseload data'!$C:$C,'divisional &amp; regional caseload%'!$T$15,'caseload data'!I:I)</f>
        <v>#DIV/0!</v>
      </c>
      <c r="Z20" s="187" t="e">
        <f>SUMIFS('caseload data'!J:J,'caseload data'!$C:$C,'divisional &amp; regional caseload%'!$T$15,'caseload data'!$D:$D,"SPO")/SUMIF('caseload data'!$C:$C,'divisional &amp; regional caseload%'!$T$15,'caseload data'!J:J)</f>
        <v>#DIV/0!</v>
      </c>
      <c r="AA20" s="187" t="e">
        <f>SUMIFS('caseload data'!K:K,'caseload data'!$C:$C,'divisional &amp; regional caseload%'!$T$15,'caseload data'!$D:$D,"SPO")/SUMIF('caseload data'!$C:$C,'divisional &amp; regional caseload%'!$T$15,'caseload data'!K:K)</f>
        <v>#DIV/0!</v>
      </c>
      <c r="AB20" s="187" t="e">
        <f>SUMIFS('caseload data'!L:L,'caseload data'!$C:$C,'divisional &amp; regional caseload%'!$T$15,'caseload data'!$D:$D,"SPO")/SUMIF('caseload data'!$C:$C,'divisional &amp; regional caseload%'!$T$15,'caseload data'!L:L)</f>
        <v>#DIV/0!</v>
      </c>
      <c r="AC20" s="187" t="e">
        <f>SUMIFS('caseload data'!M:M,'caseload data'!$C:$C,'divisional &amp; regional caseload%'!$T$15,'caseload data'!$D:$D,"SPO")/SUMIF('caseload data'!$C:$C,'divisional &amp; regional caseload%'!$T$15,'caseload data'!M:M)</f>
        <v>#DIV/0!</v>
      </c>
      <c r="AD20" s="187" t="e">
        <f>SUMIFS('caseload data'!N:N,'caseload data'!$C:$C,'divisional &amp; regional caseload%'!$T$15,'caseload data'!$D:$D,"SPO")/SUMIF('caseload data'!$C:$C,'divisional &amp; regional caseload%'!$T$15,'caseload data'!N:N)</f>
        <v>#DIV/0!</v>
      </c>
      <c r="AE20" s="187" t="e">
        <f>SUMIFS('caseload data'!O:O,'caseload data'!$C:$C,'divisional &amp; regional caseload%'!$T$15,'caseload data'!$D:$D,"SPO")/SUMIF('caseload data'!$C:$C,'divisional &amp; regional caseload%'!$T$15,'caseload data'!O:O)</f>
        <v>#DIV/0!</v>
      </c>
      <c r="AF20" s="187" t="e">
        <f>SUMIFS('caseload data'!P:P,'caseload data'!$C:$C,'divisional &amp; regional caseload%'!$T$15,'caseload data'!$D:$D,"SPO")/SUMIF('caseload data'!$C:$C,'divisional &amp; regional caseload%'!$T$15,'caseload data'!P:P)</f>
        <v>#DIV/0!</v>
      </c>
      <c r="AG20" s="187" t="e">
        <f>SUMIFS('caseload data'!Q:Q,'caseload data'!$C:$C,'divisional &amp; regional caseload%'!$T$15,'caseload data'!$D:$D,"SPO")/SUMIF('caseload data'!$C:$C,'divisional &amp; regional caseload%'!$T$15,'caseload data'!Q:Q)</f>
        <v>#DIV/0!</v>
      </c>
      <c r="AH20" s="187" t="e">
        <f>SUMIFS('caseload data'!R:R,'caseload data'!$C:$C,'divisional &amp; regional caseload%'!$T$15,'caseload data'!$D:$D,"SPO")/SUMIF('caseload data'!$C:$C,'divisional &amp; regional caseload%'!$T$15,'caseload data'!R:R)</f>
        <v>#DIV/0!</v>
      </c>
      <c r="AI20" s="187" t="e">
        <f>SUMIFS('caseload data'!S:S,'caseload data'!$C:$C,'divisional &amp; regional caseload%'!$T$15,'caseload data'!$D:$D,"SPO")/SUMIF('caseload data'!$C:$C,'divisional &amp; regional caseload%'!$T$15,'caseload data'!S:S)</f>
        <v>#DIV/0!</v>
      </c>
      <c r="AJ20" s="187" t="e">
        <f>SUMIFS('caseload data'!T:T,'caseload data'!$C:$C,'divisional &amp; regional caseload%'!$T$15,'caseload data'!$D:$D,"SPO")/SUMIF('caseload data'!$C:$C,'divisional &amp; regional caseload%'!$T$15,'caseload data'!T:T)</f>
        <v>#DIV/0!</v>
      </c>
    </row>
    <row r="21" spans="2:36" x14ac:dyDescent="0.15">
      <c r="B21" s="10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04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</row>
    <row r="22" spans="2:36" ht="30.75" customHeight="1" x14ac:dyDescent="0.15">
      <c r="B22" s="162" t="str">
        <f>HLOOKUP($B$5,Region_Table,6,0)</f>
        <v>Cumbria - N51</v>
      </c>
      <c r="C22" s="333" t="s">
        <v>1257</v>
      </c>
      <c r="D22" s="334"/>
      <c r="E22" s="334"/>
      <c r="F22" s="334"/>
      <c r="G22" s="334"/>
      <c r="H22" s="334"/>
      <c r="I22" s="334"/>
      <c r="J22" s="334"/>
      <c r="K22" s="334"/>
      <c r="L22" s="334"/>
      <c r="M22" s="343"/>
      <c r="N22" s="343"/>
      <c r="O22" s="344"/>
      <c r="P22" s="337">
        <f>SUMIF('caseload data'!$C:$C,'divisional &amp; regional caseload%'!B22,'caseload data'!V:V)</f>
        <v>0</v>
      </c>
      <c r="Q22" s="345"/>
      <c r="R22" s="346"/>
      <c r="S22" s="76"/>
      <c r="T22" s="162" t="str">
        <f>HLOOKUP($B$5,Region_Table,7,0)</f>
        <v>East Lancashire</v>
      </c>
      <c r="U22" s="333" t="s">
        <v>1257</v>
      </c>
      <c r="V22" s="334"/>
      <c r="W22" s="334"/>
      <c r="X22" s="334"/>
      <c r="Y22" s="334"/>
      <c r="Z22" s="334"/>
      <c r="AA22" s="334"/>
      <c r="AB22" s="334"/>
      <c r="AC22" s="334"/>
      <c r="AD22" s="334"/>
      <c r="AE22" s="343"/>
      <c r="AF22" s="343"/>
      <c r="AG22" s="344"/>
      <c r="AH22" s="337">
        <f>SUMIF('caseload data'!$C:$C,'divisional &amp; regional caseload%'!T22,'caseload data'!V:V)</f>
        <v>0</v>
      </c>
      <c r="AI22" s="345"/>
      <c r="AJ22" s="346"/>
    </row>
    <row r="23" spans="2:36" x14ac:dyDescent="0.15">
      <c r="B23" s="108" t="s">
        <v>1199</v>
      </c>
      <c r="C23" s="42" t="s">
        <v>1019</v>
      </c>
      <c r="D23" s="42" t="s">
        <v>1020</v>
      </c>
      <c r="E23" s="42" t="s">
        <v>1021</v>
      </c>
      <c r="F23" s="42" t="s">
        <v>1022</v>
      </c>
      <c r="G23" s="42" t="s">
        <v>1023</v>
      </c>
      <c r="H23" s="42" t="s">
        <v>1024</v>
      </c>
      <c r="I23" s="42" t="s">
        <v>1025</v>
      </c>
      <c r="J23" s="42" t="s">
        <v>1026</v>
      </c>
      <c r="K23" s="42" t="s">
        <v>1027</v>
      </c>
      <c r="L23" s="42" t="s">
        <v>1028</v>
      </c>
      <c r="M23" s="42" t="s">
        <v>1029</v>
      </c>
      <c r="N23" s="42" t="s">
        <v>1030</v>
      </c>
      <c r="O23" s="42" t="s">
        <v>1031</v>
      </c>
      <c r="P23" s="42" t="s">
        <v>1032</v>
      </c>
      <c r="Q23" s="42" t="s">
        <v>1033</v>
      </c>
      <c r="R23" s="42" t="s">
        <v>1034</v>
      </c>
      <c r="S23" s="76"/>
      <c r="T23" s="108" t="s">
        <v>1199</v>
      </c>
      <c r="U23" s="42" t="s">
        <v>1019</v>
      </c>
      <c r="V23" s="42" t="s">
        <v>1020</v>
      </c>
      <c r="W23" s="42" t="s">
        <v>1021</v>
      </c>
      <c r="X23" s="42" t="s">
        <v>1022</v>
      </c>
      <c r="Y23" s="42" t="s">
        <v>1023</v>
      </c>
      <c r="Z23" s="42" t="s">
        <v>1024</v>
      </c>
      <c r="AA23" s="42" t="s">
        <v>1025</v>
      </c>
      <c r="AB23" s="42" t="s">
        <v>1026</v>
      </c>
      <c r="AC23" s="42" t="s">
        <v>1027</v>
      </c>
      <c r="AD23" s="42" t="s">
        <v>1028</v>
      </c>
      <c r="AE23" s="42" t="s">
        <v>1029</v>
      </c>
      <c r="AF23" s="42" t="s">
        <v>1030</v>
      </c>
      <c r="AG23" s="42" t="s">
        <v>1031</v>
      </c>
      <c r="AH23" s="42" t="s">
        <v>1032</v>
      </c>
      <c r="AI23" s="42" t="s">
        <v>1033</v>
      </c>
      <c r="AJ23" s="42" t="s">
        <v>1034</v>
      </c>
    </row>
    <row r="24" spans="2:36" x14ac:dyDescent="0.15">
      <c r="B24" s="109" t="s">
        <v>1037</v>
      </c>
      <c r="C24" s="187" t="e">
        <f>SUMIFS('caseload data'!E:E,'caseload data'!$C:$C,'divisional &amp; regional caseload%'!$B$22,'caseload data'!$D:$D,"PO")/SUMIF('caseload data'!$C:$C,'divisional &amp; regional caseload%'!$B$22,'caseload data'!E:E)</f>
        <v>#DIV/0!</v>
      </c>
      <c r="D24" s="187" t="e">
        <f>SUMIFS('caseload data'!F:F,'caseload data'!$C:$C,'divisional &amp; regional caseload%'!$B$22,'caseload data'!$D:$D,"PO")/SUMIF('caseload data'!$C:$C,'divisional &amp; regional caseload%'!$B$22,'caseload data'!F:F)</f>
        <v>#DIV/0!</v>
      </c>
      <c r="E24" s="187" t="e">
        <f>SUMIFS('caseload data'!G:G,'caseload data'!$C:$C,'divisional &amp; regional caseload%'!$B$22,'caseload data'!$D:$D,"PO")/SUMIF('caseload data'!$C:$C,'divisional &amp; regional caseload%'!$B$22,'caseload data'!G:G)</f>
        <v>#DIV/0!</v>
      </c>
      <c r="F24" s="187" t="e">
        <f>SUMIFS('caseload data'!H:H,'caseload data'!$C:$C,'divisional &amp; regional caseload%'!$B$22,'caseload data'!$D:$D,"PO")/SUMIF('caseload data'!$C:$C,'divisional &amp; regional caseload%'!$B$22,'caseload data'!H:H)</f>
        <v>#DIV/0!</v>
      </c>
      <c r="G24" s="187" t="e">
        <f>SUMIFS('caseload data'!I:I,'caseload data'!$C:$C,'divisional &amp; regional caseload%'!$B$22,'caseload data'!$D:$D,"PO")/SUMIF('caseload data'!$C:$C,'divisional &amp; regional caseload%'!$B$22,'caseload data'!I:I)</f>
        <v>#DIV/0!</v>
      </c>
      <c r="H24" s="187" t="e">
        <f>SUMIFS('caseload data'!J:J,'caseload data'!$C:$C,'divisional &amp; regional caseload%'!$B$22,'caseload data'!$D:$D,"PO")/SUMIF('caseload data'!$C:$C,'divisional &amp; regional caseload%'!$B$22,'caseload data'!J:J)</f>
        <v>#DIV/0!</v>
      </c>
      <c r="I24" s="187" t="e">
        <f>SUMIFS('caseload data'!K:K,'caseload data'!$C:$C,'divisional &amp; regional caseload%'!$B$22,'caseload data'!$D:$D,"PO")/SUMIF('caseload data'!$C:$C,'divisional &amp; regional caseload%'!$B$22,'caseload data'!K:K)</f>
        <v>#DIV/0!</v>
      </c>
      <c r="J24" s="187" t="e">
        <f>SUMIFS('caseload data'!L:L,'caseload data'!$C:$C,'divisional &amp; regional caseload%'!$B$22,'caseload data'!$D:$D,"PO")/SUMIF('caseload data'!$C:$C,'divisional &amp; regional caseload%'!$B$22,'caseload data'!L:L)</f>
        <v>#DIV/0!</v>
      </c>
      <c r="K24" s="187" t="e">
        <f>SUMIFS('caseload data'!M:M,'caseload data'!$C:$C,'divisional &amp; regional caseload%'!$B$22,'caseload data'!$D:$D,"PO")/SUMIF('caseload data'!$C:$C,'divisional &amp; regional caseload%'!$B$22,'caseload data'!M:M)</f>
        <v>#DIV/0!</v>
      </c>
      <c r="L24" s="187" t="e">
        <f>SUMIFS('caseload data'!N:N,'caseload data'!$C:$C,'divisional &amp; regional caseload%'!$B$22,'caseload data'!$D:$D,"PO")/SUMIF('caseload data'!$C:$C,'divisional &amp; regional caseload%'!$B$22,'caseload data'!N:N)</f>
        <v>#DIV/0!</v>
      </c>
      <c r="M24" s="187" t="e">
        <f>SUMIFS('caseload data'!O:O,'caseload data'!$C:$C,'divisional &amp; regional caseload%'!$B$22,'caseload data'!$D:$D,"PO")/SUMIF('caseload data'!$C:$C,'divisional &amp; regional caseload%'!$B$22,'caseload data'!O:O)</f>
        <v>#DIV/0!</v>
      </c>
      <c r="N24" s="187" t="e">
        <f>SUMIFS('caseload data'!P:P,'caseload data'!$C:$C,'divisional &amp; regional caseload%'!$B$22,'caseload data'!$D:$D,"PO")/SUMIF('caseload data'!$C:$C,'divisional &amp; regional caseload%'!$B$22,'caseload data'!P:P)</f>
        <v>#DIV/0!</v>
      </c>
      <c r="O24" s="187" t="e">
        <f>SUMIFS('caseload data'!Q:Q,'caseload data'!$C:$C,'divisional &amp; regional caseload%'!$B$22,'caseload data'!$D:$D,"PO")/SUMIF('caseload data'!$C:$C,'divisional &amp; regional caseload%'!$B$22,'caseload data'!Q:Q)</f>
        <v>#DIV/0!</v>
      </c>
      <c r="P24" s="187" t="e">
        <f>SUMIFS('caseload data'!R:R,'caseload data'!$C:$C,'divisional &amp; regional caseload%'!$B$22,'caseload data'!$D:$D,"PO")/SUMIF('caseload data'!$C:$C,'divisional &amp; regional caseload%'!$B$22,'caseload data'!R:R)</f>
        <v>#DIV/0!</v>
      </c>
      <c r="Q24" s="187" t="e">
        <f>SUMIFS('caseload data'!S:S,'caseload data'!$C:$C,'divisional &amp; regional caseload%'!$B$22,'caseload data'!$D:$D,"PO")/SUMIF('caseload data'!$C:$C,'divisional &amp; regional caseload%'!$B$22,'caseload data'!S:S)</f>
        <v>#DIV/0!</v>
      </c>
      <c r="R24" s="187" t="e">
        <f>SUMIFS('caseload data'!T:T,'caseload data'!$C:$C,'divisional &amp; regional caseload%'!$B$22,'caseload data'!$D:$D,"PO")/SUMIF('caseload data'!$C:$C,'divisional &amp; regional caseload%'!$B$22,'caseload data'!T:T)</f>
        <v>#DIV/0!</v>
      </c>
      <c r="S24" s="76"/>
      <c r="T24" s="109" t="s">
        <v>1037</v>
      </c>
      <c r="U24" s="187" t="str">
        <f>IFERROR(SUMIFS('caseload data'!E:E,'caseload data'!$C:$C,'divisional &amp; regional caseload%'!$T$22,'caseload data'!$D:$D,"PO")/SUMIF('caseload data'!$C:$C,'divisional &amp; regional caseload%'!$T$22,'caseload data'!E:E),"")</f>
        <v/>
      </c>
      <c r="V24" s="187" t="str">
        <f>IFERROR(SUMIFS('caseload data'!F:F,'caseload data'!$C:$C,'divisional &amp; regional caseload%'!$T$22,'caseload data'!$D:$D,"PO")/SUMIF('caseload data'!$C:$C,'divisional &amp; regional caseload%'!$T$22,'caseload data'!F:F),"")</f>
        <v/>
      </c>
      <c r="W24" s="187" t="str">
        <f>IFERROR(SUMIFS('caseload data'!G:G,'caseload data'!$C:$C,'divisional &amp; regional caseload%'!$T$22,'caseload data'!$D:$D,"PO")/SUMIF('caseload data'!$C:$C,'divisional &amp; regional caseload%'!$T$22,'caseload data'!G:G),"")</f>
        <v/>
      </c>
      <c r="X24" s="187" t="str">
        <f>IFERROR(SUMIFS('caseload data'!H:H,'caseload data'!$C:$C,'divisional &amp; regional caseload%'!$T$22,'caseload data'!$D:$D,"PO")/SUMIF('caseload data'!$C:$C,'divisional &amp; regional caseload%'!$T$22,'caseload data'!H:H),"")</f>
        <v/>
      </c>
      <c r="Y24" s="187" t="str">
        <f>IFERROR(SUMIFS('caseload data'!I:I,'caseload data'!$C:$C,'divisional &amp; regional caseload%'!$T$22,'caseload data'!$D:$D,"PO")/SUMIF('caseload data'!$C:$C,'divisional &amp; regional caseload%'!$T$22,'caseload data'!I:I),"")</f>
        <v/>
      </c>
      <c r="Z24" s="187" t="str">
        <f>IFERROR(SUMIFS('caseload data'!J:J,'caseload data'!$C:$C,'divisional &amp; regional caseload%'!$T$22,'caseload data'!$D:$D,"PO")/SUMIF('caseload data'!$C:$C,'divisional &amp; regional caseload%'!$T$22,'caseload data'!J:J),"")</f>
        <v/>
      </c>
      <c r="AA24" s="187" t="str">
        <f>IFERROR(SUMIFS('caseload data'!K:K,'caseload data'!$C:$C,'divisional &amp; regional caseload%'!$T$22,'caseload data'!$D:$D,"PO")/SUMIF('caseload data'!$C:$C,'divisional &amp; regional caseload%'!$T$22,'caseload data'!K:K),"")</f>
        <v/>
      </c>
      <c r="AB24" s="187" t="str">
        <f>IFERROR(SUMIFS('caseload data'!L:L,'caseload data'!$C:$C,'divisional &amp; regional caseload%'!$T$22,'caseload data'!$D:$D,"PO")/SUMIF('caseload data'!$C:$C,'divisional &amp; regional caseload%'!$T$22,'caseload data'!L:L),"")</f>
        <v/>
      </c>
      <c r="AC24" s="187" t="str">
        <f>IFERROR(SUMIFS('caseload data'!M:M,'caseload data'!$C:$C,'divisional &amp; regional caseload%'!$T$22,'caseload data'!$D:$D,"PO")/SUMIF('caseload data'!$C:$C,'divisional &amp; regional caseload%'!$T$22,'caseload data'!M:M),"")</f>
        <v/>
      </c>
      <c r="AD24" s="187" t="str">
        <f>IFERROR(SUMIFS('caseload data'!N:N,'caseload data'!$C:$C,'divisional &amp; regional caseload%'!$T$22,'caseload data'!$D:$D,"PO")/SUMIF('caseload data'!$C:$C,'divisional &amp; regional caseload%'!$T$22,'caseload data'!N:N),"")</f>
        <v/>
      </c>
      <c r="AE24" s="187" t="str">
        <f>IFERROR(SUMIFS('caseload data'!O:O,'caseload data'!$C:$C,'divisional &amp; regional caseload%'!$T$22,'caseload data'!$D:$D,"PO")/SUMIF('caseload data'!$C:$C,'divisional &amp; regional caseload%'!$T$22,'caseload data'!O:O),"")</f>
        <v/>
      </c>
      <c r="AF24" s="187" t="str">
        <f>IFERROR(SUMIFS('caseload data'!P:P,'caseload data'!$C:$C,'divisional &amp; regional caseload%'!$T$22,'caseload data'!$D:$D,"PO")/SUMIF('caseload data'!$C:$C,'divisional &amp; regional caseload%'!$T$22,'caseload data'!P:P),"")</f>
        <v/>
      </c>
      <c r="AG24" s="187" t="str">
        <f>IFERROR(SUMIFS('caseload data'!Q:Q,'caseload data'!$C:$C,'divisional &amp; regional caseload%'!$T$22,'caseload data'!$D:$D,"PO")/SUMIF('caseload data'!$C:$C,'divisional &amp; regional caseload%'!$T$22,'caseload data'!Q:Q),"")</f>
        <v/>
      </c>
      <c r="AH24" s="187" t="str">
        <f>IFERROR(SUMIFS('caseload data'!R:R,'caseload data'!$C:$C,'divisional &amp; regional caseload%'!$T$22,'caseload data'!$D:$D,"PO")/SUMIF('caseload data'!$C:$C,'divisional &amp; regional caseload%'!$T$22,'caseload data'!R:R),"")</f>
        <v/>
      </c>
      <c r="AI24" s="187" t="str">
        <f>IFERROR(SUMIFS('caseload data'!S:S,'caseload data'!$C:$C,'divisional &amp; regional caseload%'!$T$22,'caseload data'!$D:$D,"PO")/SUMIF('caseload data'!$C:$C,'divisional &amp; regional caseload%'!$T$22,'caseload data'!S:S),"")</f>
        <v/>
      </c>
      <c r="AJ24" s="187" t="str">
        <f>IFERROR(SUMIFS('caseload data'!T:T,'caseload data'!$C:$C,'divisional &amp; regional caseload%'!$T$22,'caseload data'!$D:$D,"PO")/SUMIF('caseload data'!$C:$C,'divisional &amp; regional caseload%'!$T$22,'caseload data'!T:T),"")</f>
        <v/>
      </c>
    </row>
    <row r="25" spans="2:36" x14ac:dyDescent="0.15">
      <c r="B25" s="110" t="s">
        <v>1038</v>
      </c>
      <c r="C25" s="187" t="e">
        <f>SUMIFS('caseload data'!E:E,'caseload data'!$C:$C,'divisional &amp; regional caseload%'!$B$22,'caseload data'!$D:$D,"PSO")/SUMIF('caseload data'!$C:$C,'divisional &amp; regional caseload%'!$B$22,'caseload data'!E:E)</f>
        <v>#DIV/0!</v>
      </c>
      <c r="D25" s="187" t="e">
        <f>SUMIFS('caseload data'!F:F,'caseload data'!$C:$C,'divisional &amp; regional caseload%'!$B$22,'caseload data'!$D:$D,"PSO")/SUMIF('caseload data'!$C:$C,'divisional &amp; regional caseload%'!$B$22,'caseload data'!F:F)</f>
        <v>#DIV/0!</v>
      </c>
      <c r="E25" s="187" t="e">
        <f>SUMIFS('caseload data'!G:G,'caseload data'!$C:$C,'divisional &amp; regional caseload%'!$B$22,'caseload data'!$D:$D,"PSO")/SUMIF('caseload data'!$C:$C,'divisional &amp; regional caseload%'!$B$22,'caseload data'!G:G)</f>
        <v>#DIV/0!</v>
      </c>
      <c r="F25" s="187" t="e">
        <f>SUMIFS('caseload data'!H:H,'caseload data'!$C:$C,'divisional &amp; regional caseload%'!$B$22,'caseload data'!$D:$D,"PSO")/SUMIF('caseload data'!$C:$C,'divisional &amp; regional caseload%'!$B$22,'caseload data'!H:H)</f>
        <v>#DIV/0!</v>
      </c>
      <c r="G25" s="187" t="e">
        <f>SUMIFS('caseload data'!I:I,'caseload data'!$C:$C,'divisional &amp; regional caseload%'!$B$22,'caseload data'!$D:$D,"PSO")/SUMIF('caseload data'!$C:$C,'divisional &amp; regional caseload%'!$B$22,'caseload data'!I:I)</f>
        <v>#DIV/0!</v>
      </c>
      <c r="H25" s="187" t="e">
        <f>SUMIFS('caseload data'!J:J,'caseload data'!$C:$C,'divisional &amp; regional caseload%'!$B$22,'caseload data'!$D:$D,"PSO")/SUMIF('caseload data'!$C:$C,'divisional &amp; regional caseload%'!$B$22,'caseload data'!J:J)</f>
        <v>#DIV/0!</v>
      </c>
      <c r="I25" s="187" t="e">
        <f>SUMIFS('caseload data'!K:K,'caseload data'!$C:$C,'divisional &amp; regional caseload%'!$B$22,'caseload data'!$D:$D,"PSO")/SUMIF('caseload data'!$C:$C,'divisional &amp; regional caseload%'!$B$22,'caseload data'!K:K)</f>
        <v>#DIV/0!</v>
      </c>
      <c r="J25" s="187" t="e">
        <f>SUMIFS('caseload data'!L:L,'caseload data'!$C:$C,'divisional &amp; regional caseload%'!$B$22,'caseload data'!$D:$D,"PSO")/SUMIF('caseload data'!$C:$C,'divisional &amp; regional caseload%'!$B$22,'caseload data'!L:L)</f>
        <v>#DIV/0!</v>
      </c>
      <c r="K25" s="187" t="e">
        <f>SUMIFS('caseload data'!M:M,'caseload data'!$C:$C,'divisional &amp; regional caseload%'!$B$22,'caseload data'!$D:$D,"PSO")/SUMIF('caseload data'!$C:$C,'divisional &amp; regional caseload%'!$B$22,'caseload data'!M:M)</f>
        <v>#DIV/0!</v>
      </c>
      <c r="L25" s="187" t="e">
        <f>SUMIFS('caseload data'!N:N,'caseload data'!$C:$C,'divisional &amp; regional caseload%'!$B$22,'caseload data'!$D:$D,"PSO")/SUMIF('caseload data'!$C:$C,'divisional &amp; regional caseload%'!$B$22,'caseload data'!N:N)</f>
        <v>#DIV/0!</v>
      </c>
      <c r="M25" s="187" t="e">
        <f>SUMIFS('caseload data'!O:O,'caseload data'!$C:$C,'divisional &amp; regional caseload%'!$B$22,'caseload data'!$D:$D,"PSO")/SUMIF('caseload data'!$C:$C,'divisional &amp; regional caseload%'!$B$22,'caseload data'!O:O)</f>
        <v>#DIV/0!</v>
      </c>
      <c r="N25" s="187" t="e">
        <f>SUMIFS('caseload data'!P:P,'caseload data'!$C:$C,'divisional &amp; regional caseload%'!$B$22,'caseload data'!$D:$D,"PSO")/SUMIF('caseload data'!$C:$C,'divisional &amp; regional caseload%'!$B$22,'caseload data'!P:P)</f>
        <v>#DIV/0!</v>
      </c>
      <c r="O25" s="187" t="e">
        <f>SUMIFS('caseload data'!Q:Q,'caseload data'!$C:$C,'divisional &amp; regional caseload%'!$B$22,'caseload data'!$D:$D,"PSO")/SUMIF('caseload data'!$C:$C,'divisional &amp; regional caseload%'!$B$22,'caseload data'!Q:Q)</f>
        <v>#DIV/0!</v>
      </c>
      <c r="P25" s="187" t="e">
        <f>SUMIFS('caseload data'!R:R,'caseload data'!$C:$C,'divisional &amp; regional caseload%'!$B$22,'caseload data'!$D:$D,"PSO")/SUMIF('caseload data'!$C:$C,'divisional &amp; regional caseload%'!$B$22,'caseload data'!R:R)</f>
        <v>#DIV/0!</v>
      </c>
      <c r="Q25" s="187" t="e">
        <f>SUMIFS('caseload data'!S:S,'caseload data'!$C:$C,'divisional &amp; regional caseload%'!$B$22,'caseload data'!$D:$D,"PSO")/SUMIF('caseload data'!$C:$C,'divisional &amp; regional caseload%'!$B$22,'caseload data'!S:S)</f>
        <v>#DIV/0!</v>
      </c>
      <c r="R25" s="187" t="e">
        <f>SUMIFS('caseload data'!T:T,'caseload data'!$C:$C,'divisional &amp; regional caseload%'!$B$22,'caseload data'!$D:$D,"PSO")/SUMIF('caseload data'!$C:$C,'divisional &amp; regional caseload%'!$B$22,'caseload data'!T:T)</f>
        <v>#DIV/0!</v>
      </c>
      <c r="S25" s="76"/>
      <c r="T25" s="110" t="s">
        <v>1038</v>
      </c>
      <c r="U25" s="187" t="str">
        <f>IFERROR(SUMIFS('caseload data'!E:E,'caseload data'!$C:$C,'divisional &amp; regional caseload%'!$T$22,'caseload data'!$D:$D,"PSO")/SUMIF('caseload data'!$C:$C,'divisional &amp; regional caseload%'!$T$22,'caseload data'!E:E),"")</f>
        <v/>
      </c>
      <c r="V25" s="187" t="str">
        <f>IFERROR(SUMIFS('caseload data'!F:F,'caseload data'!$C:$C,'divisional &amp; regional caseload%'!$T$22,'caseload data'!$D:$D,"PSO")/SUMIF('caseload data'!$C:$C,'divisional &amp; regional caseload%'!$T$22,'caseload data'!F:F),"")</f>
        <v/>
      </c>
      <c r="W25" s="187" t="str">
        <f>IFERROR(SUMIFS('caseload data'!G:G,'caseload data'!$C:$C,'divisional &amp; regional caseload%'!$T$22,'caseload data'!$D:$D,"PSO")/SUMIF('caseload data'!$C:$C,'divisional &amp; regional caseload%'!$T$22,'caseload data'!G:G),"")</f>
        <v/>
      </c>
      <c r="X25" s="187" t="str">
        <f>IFERROR(SUMIFS('caseload data'!H:H,'caseload data'!$C:$C,'divisional &amp; regional caseload%'!$T$22,'caseload data'!$D:$D,"PSO")/SUMIF('caseload data'!$C:$C,'divisional &amp; regional caseload%'!$T$22,'caseload data'!H:H),"")</f>
        <v/>
      </c>
      <c r="Y25" s="187" t="str">
        <f>IFERROR(SUMIFS('caseload data'!I:I,'caseload data'!$C:$C,'divisional &amp; regional caseload%'!$T$22,'caseload data'!$D:$D,"PSO")/SUMIF('caseload data'!$C:$C,'divisional &amp; regional caseload%'!$T$22,'caseload data'!I:I),"")</f>
        <v/>
      </c>
      <c r="Z25" s="187" t="str">
        <f>IFERROR(SUMIFS('caseload data'!J:J,'caseload data'!$C:$C,'divisional &amp; regional caseload%'!$T$22,'caseload data'!$D:$D,"PSO")/SUMIF('caseload data'!$C:$C,'divisional &amp; regional caseload%'!$T$22,'caseload data'!J:J),"")</f>
        <v/>
      </c>
      <c r="AA25" s="187" t="str">
        <f>IFERROR(SUMIFS('caseload data'!K:K,'caseload data'!$C:$C,'divisional &amp; regional caseload%'!$T$22,'caseload data'!$D:$D,"PSO")/SUMIF('caseload data'!$C:$C,'divisional &amp; regional caseload%'!$T$22,'caseload data'!K:K),"")</f>
        <v/>
      </c>
      <c r="AB25" s="187" t="str">
        <f>IFERROR(SUMIFS('caseload data'!L:L,'caseload data'!$C:$C,'divisional &amp; regional caseload%'!$T$22,'caseload data'!$D:$D,"PSO")/SUMIF('caseload data'!$C:$C,'divisional &amp; regional caseload%'!$T$22,'caseload data'!L:L),"")</f>
        <v/>
      </c>
      <c r="AC25" s="187" t="str">
        <f>IFERROR(SUMIFS('caseload data'!M:M,'caseload data'!$C:$C,'divisional &amp; regional caseload%'!$T$22,'caseload data'!$D:$D,"PSO")/SUMIF('caseload data'!$C:$C,'divisional &amp; regional caseload%'!$T$22,'caseload data'!M:M),"")</f>
        <v/>
      </c>
      <c r="AD25" s="187" t="str">
        <f>IFERROR(SUMIFS('caseload data'!N:N,'caseload data'!$C:$C,'divisional &amp; regional caseload%'!$T$22,'caseload data'!$D:$D,"PSO")/SUMIF('caseload data'!$C:$C,'divisional &amp; regional caseload%'!$T$22,'caseload data'!N:N),"")</f>
        <v/>
      </c>
      <c r="AE25" s="187" t="str">
        <f>IFERROR(SUMIFS('caseload data'!O:O,'caseload data'!$C:$C,'divisional &amp; regional caseload%'!$T$22,'caseload data'!$D:$D,"PSO")/SUMIF('caseload data'!$C:$C,'divisional &amp; regional caseload%'!$T$22,'caseload data'!O:O),"")</f>
        <v/>
      </c>
      <c r="AF25" s="187" t="str">
        <f>IFERROR(SUMIFS('caseload data'!P:P,'caseload data'!$C:$C,'divisional &amp; regional caseload%'!$T$22,'caseload data'!$D:$D,"PSO")/SUMIF('caseload data'!$C:$C,'divisional &amp; regional caseload%'!$T$22,'caseload data'!P:P),"")</f>
        <v/>
      </c>
      <c r="AG25" s="187" t="str">
        <f>IFERROR(SUMIFS('caseload data'!Q:Q,'caseload data'!$C:$C,'divisional &amp; regional caseload%'!$T$22,'caseload data'!$D:$D,"PSO")/SUMIF('caseload data'!$C:$C,'divisional &amp; regional caseload%'!$T$22,'caseload data'!Q:Q),"")</f>
        <v/>
      </c>
      <c r="AH25" s="187" t="str">
        <f>IFERROR(SUMIFS('caseload data'!R:R,'caseload data'!$C:$C,'divisional &amp; regional caseload%'!$T$22,'caseload data'!$D:$D,"PSO")/SUMIF('caseload data'!$C:$C,'divisional &amp; regional caseload%'!$T$22,'caseload data'!R:R),"")</f>
        <v/>
      </c>
      <c r="AI25" s="187" t="str">
        <f>IFERROR(SUMIFS('caseload data'!S:S,'caseload data'!$C:$C,'divisional &amp; regional caseload%'!$T$22,'caseload data'!$D:$D,"PSO")/SUMIF('caseload data'!$C:$C,'divisional &amp; regional caseload%'!$T$22,'caseload data'!S:S),"")</f>
        <v/>
      </c>
      <c r="AJ25" s="187" t="str">
        <f>IFERROR(SUMIFS('caseload data'!T:T,'caseload data'!$C:$C,'divisional &amp; regional caseload%'!$T$22,'caseload data'!$D:$D,"PSO")/SUMIF('caseload data'!$C:$C,'divisional &amp; regional caseload%'!$T$22,'caseload data'!T:T),"")</f>
        <v/>
      </c>
    </row>
    <row r="26" spans="2:36" x14ac:dyDescent="0.15">
      <c r="B26" s="110" t="s">
        <v>1039</v>
      </c>
      <c r="C26" s="187" t="e">
        <f>SUMIFS('caseload data'!E:E,'caseload data'!$C:$C,'divisional &amp; regional caseload%'!$B$22,'caseload data'!$D:$D,"TPO")/SUMIF('caseload data'!$C:$C,'divisional &amp; regional caseload%'!$B$22,'caseload data'!E:E)</f>
        <v>#DIV/0!</v>
      </c>
      <c r="D26" s="187" t="e">
        <f>SUMIFS('caseload data'!F:F,'caseload data'!$C:$C,'divisional &amp; regional caseload%'!$B$22,'caseload data'!$D:$D,"TPO")/SUMIF('caseload data'!$C:$C,'divisional &amp; regional caseload%'!$B$22,'caseload data'!F:F)</f>
        <v>#DIV/0!</v>
      </c>
      <c r="E26" s="187" t="e">
        <f>SUMIFS('caseload data'!G:G,'caseload data'!$C:$C,'divisional &amp; regional caseload%'!$B$22,'caseload data'!$D:$D,"TPO")/SUMIF('caseload data'!$C:$C,'divisional &amp; regional caseload%'!$B$22,'caseload data'!G:G)</f>
        <v>#DIV/0!</v>
      </c>
      <c r="F26" s="187" t="e">
        <f>SUMIFS('caseload data'!H:H,'caseload data'!$C:$C,'divisional &amp; regional caseload%'!$B$22,'caseload data'!$D:$D,"TPO")/SUMIF('caseload data'!$C:$C,'divisional &amp; regional caseload%'!$B$22,'caseload data'!H:H)</f>
        <v>#DIV/0!</v>
      </c>
      <c r="G26" s="187" t="e">
        <f>SUMIFS('caseload data'!I:I,'caseload data'!$C:$C,'divisional &amp; regional caseload%'!$B$22,'caseload data'!$D:$D,"TPO")/SUMIF('caseload data'!$C:$C,'divisional &amp; regional caseload%'!$B$22,'caseload data'!I:I)</f>
        <v>#DIV/0!</v>
      </c>
      <c r="H26" s="187" t="e">
        <f>SUMIFS('caseload data'!J:J,'caseload data'!$C:$C,'divisional &amp; regional caseload%'!$B$22,'caseload data'!$D:$D,"TPO")/SUMIF('caseload data'!$C:$C,'divisional &amp; regional caseload%'!$B$22,'caseload data'!J:J)</f>
        <v>#DIV/0!</v>
      </c>
      <c r="I26" s="187" t="e">
        <f>SUMIFS('caseload data'!K:K,'caseload data'!$C:$C,'divisional &amp; regional caseload%'!$B$22,'caseload data'!$D:$D,"TPO")/SUMIF('caseload data'!$C:$C,'divisional &amp; regional caseload%'!$B$22,'caseload data'!K:K)</f>
        <v>#DIV/0!</v>
      </c>
      <c r="J26" s="187" t="e">
        <f>SUMIFS('caseload data'!L:L,'caseload data'!$C:$C,'divisional &amp; regional caseload%'!$B$22,'caseload data'!$D:$D,"TPO")/SUMIF('caseload data'!$C:$C,'divisional &amp; regional caseload%'!$B$22,'caseload data'!L:L)</f>
        <v>#DIV/0!</v>
      </c>
      <c r="K26" s="187" t="e">
        <f>SUMIFS('caseload data'!M:M,'caseload data'!$C:$C,'divisional &amp; regional caseload%'!$B$22,'caseload data'!$D:$D,"TPO")/SUMIF('caseload data'!$C:$C,'divisional &amp; regional caseload%'!$B$22,'caseload data'!M:M)</f>
        <v>#DIV/0!</v>
      </c>
      <c r="L26" s="187" t="e">
        <f>SUMIFS('caseload data'!N:N,'caseload data'!$C:$C,'divisional &amp; regional caseload%'!$B$22,'caseload data'!$D:$D,"TPO")/SUMIF('caseload data'!$C:$C,'divisional &amp; regional caseload%'!$B$22,'caseload data'!N:N)</f>
        <v>#DIV/0!</v>
      </c>
      <c r="M26" s="187" t="e">
        <f>SUMIFS('caseload data'!O:O,'caseload data'!$C:$C,'divisional &amp; regional caseload%'!$B$22,'caseload data'!$D:$D,"TPO")/SUMIF('caseload data'!$C:$C,'divisional &amp; regional caseload%'!$B$22,'caseload data'!O:O)</f>
        <v>#DIV/0!</v>
      </c>
      <c r="N26" s="187" t="e">
        <f>SUMIFS('caseload data'!P:P,'caseload data'!$C:$C,'divisional &amp; regional caseload%'!$B$22,'caseload data'!$D:$D,"TPO")/SUMIF('caseload data'!$C:$C,'divisional &amp; regional caseload%'!$B$22,'caseload data'!P:P)</f>
        <v>#DIV/0!</v>
      </c>
      <c r="O26" s="187" t="e">
        <f>SUMIFS('caseload data'!Q:Q,'caseload data'!$C:$C,'divisional &amp; regional caseload%'!$B$22,'caseload data'!$D:$D,"TPO")/SUMIF('caseload data'!$C:$C,'divisional &amp; regional caseload%'!$B$22,'caseload data'!Q:Q)</f>
        <v>#DIV/0!</v>
      </c>
      <c r="P26" s="187" t="e">
        <f>SUMIFS('caseload data'!R:R,'caseload data'!$C:$C,'divisional &amp; regional caseload%'!$B$22,'caseload data'!$D:$D,"TPO")/SUMIF('caseload data'!$C:$C,'divisional &amp; regional caseload%'!$B$22,'caseload data'!R:R)</f>
        <v>#DIV/0!</v>
      </c>
      <c r="Q26" s="187" t="e">
        <f>SUMIFS('caseload data'!S:S,'caseload data'!$C:$C,'divisional &amp; regional caseload%'!$B$22,'caseload data'!$D:$D,"TPO")/SUMIF('caseload data'!$C:$C,'divisional &amp; regional caseload%'!$B$22,'caseload data'!S:S)</f>
        <v>#DIV/0!</v>
      </c>
      <c r="R26" s="187" t="e">
        <f>SUMIFS('caseload data'!T:T,'caseload data'!$C:$C,'divisional &amp; regional caseload%'!$B$22,'caseload data'!$D:$D,"TPO")/SUMIF('caseload data'!$C:$C,'divisional &amp; regional caseload%'!$B$22,'caseload data'!T:T)</f>
        <v>#DIV/0!</v>
      </c>
      <c r="S26" s="76"/>
      <c r="T26" s="110" t="s">
        <v>1039</v>
      </c>
      <c r="U26" s="187" t="str">
        <f>IFERROR(SUMIFS('caseload data'!E:E,'caseload data'!$C:$C,'divisional &amp; regional caseload%'!$T$22,'caseload data'!$D:$D,"TPO")/SUMIF('caseload data'!$C:$C,'divisional &amp; regional caseload%'!$T$22,'caseload data'!E:E),"")</f>
        <v/>
      </c>
      <c r="V26" s="187" t="str">
        <f>IFERROR(SUMIFS('caseload data'!F:F,'caseload data'!$C:$C,'divisional &amp; regional caseload%'!$T$22,'caseload data'!$D:$D,"TPO")/SUMIF('caseload data'!$C:$C,'divisional &amp; regional caseload%'!$T$22,'caseload data'!F:F),"")</f>
        <v/>
      </c>
      <c r="W26" s="187" t="str">
        <f>IFERROR(SUMIFS('caseload data'!G:G,'caseload data'!$C:$C,'divisional &amp; regional caseload%'!$T$22,'caseload data'!$D:$D,"TPO")/SUMIF('caseload data'!$C:$C,'divisional &amp; regional caseload%'!$T$22,'caseload data'!G:G),"")</f>
        <v/>
      </c>
      <c r="X26" s="187" t="str">
        <f>IFERROR(SUMIFS('caseload data'!H:H,'caseload data'!$C:$C,'divisional &amp; regional caseload%'!$T$22,'caseload data'!$D:$D,"TPO")/SUMIF('caseload data'!$C:$C,'divisional &amp; regional caseload%'!$T$22,'caseload data'!H:H),"")</f>
        <v/>
      </c>
      <c r="Y26" s="187" t="str">
        <f>IFERROR(SUMIFS('caseload data'!I:I,'caseload data'!$C:$C,'divisional &amp; regional caseload%'!$T$22,'caseload data'!$D:$D,"TPO")/SUMIF('caseload data'!$C:$C,'divisional &amp; regional caseload%'!$T$22,'caseload data'!I:I),"")</f>
        <v/>
      </c>
      <c r="Z26" s="187" t="str">
        <f>IFERROR(SUMIFS('caseload data'!J:J,'caseload data'!$C:$C,'divisional &amp; regional caseload%'!$T$22,'caseload data'!$D:$D,"TPO")/SUMIF('caseload data'!$C:$C,'divisional &amp; regional caseload%'!$T$22,'caseload data'!J:J),"")</f>
        <v/>
      </c>
      <c r="AA26" s="187" t="str">
        <f>IFERROR(SUMIFS('caseload data'!K:K,'caseload data'!$C:$C,'divisional &amp; regional caseload%'!$T$22,'caseload data'!$D:$D,"TPO")/SUMIF('caseload data'!$C:$C,'divisional &amp; regional caseload%'!$T$22,'caseload data'!K:K),"")</f>
        <v/>
      </c>
      <c r="AB26" s="187" t="str">
        <f>IFERROR(SUMIFS('caseload data'!L:L,'caseload data'!$C:$C,'divisional &amp; regional caseload%'!$T$22,'caseload data'!$D:$D,"TPO")/SUMIF('caseload data'!$C:$C,'divisional &amp; regional caseload%'!$T$22,'caseload data'!L:L),"")</f>
        <v/>
      </c>
      <c r="AC26" s="187" t="str">
        <f>IFERROR(SUMIFS('caseload data'!M:M,'caseload data'!$C:$C,'divisional &amp; regional caseload%'!$T$22,'caseload data'!$D:$D,"TPO")/SUMIF('caseload data'!$C:$C,'divisional &amp; regional caseload%'!$T$22,'caseload data'!M:M),"")</f>
        <v/>
      </c>
      <c r="AD26" s="187" t="str">
        <f>IFERROR(SUMIFS('caseload data'!N:N,'caseload data'!$C:$C,'divisional &amp; regional caseload%'!$T$22,'caseload data'!$D:$D,"TPO")/SUMIF('caseload data'!$C:$C,'divisional &amp; regional caseload%'!$T$22,'caseload data'!N:N),"")</f>
        <v/>
      </c>
      <c r="AE26" s="187" t="str">
        <f>IFERROR(SUMIFS('caseload data'!O:O,'caseload data'!$C:$C,'divisional &amp; regional caseload%'!$T$22,'caseload data'!$D:$D,"TPO")/SUMIF('caseload data'!$C:$C,'divisional &amp; regional caseload%'!$T$22,'caseload data'!O:O),"")</f>
        <v/>
      </c>
      <c r="AF26" s="187" t="str">
        <f>IFERROR(SUMIFS('caseload data'!P:P,'caseload data'!$C:$C,'divisional &amp; regional caseload%'!$T$22,'caseload data'!$D:$D,"TPO")/SUMIF('caseload data'!$C:$C,'divisional &amp; regional caseload%'!$T$22,'caseload data'!P:P),"")</f>
        <v/>
      </c>
      <c r="AG26" s="187" t="str">
        <f>IFERROR(SUMIFS('caseload data'!Q:Q,'caseload data'!$C:$C,'divisional &amp; regional caseload%'!$T$22,'caseload data'!$D:$D,"TPO")/SUMIF('caseload data'!$C:$C,'divisional &amp; regional caseload%'!$T$22,'caseload data'!Q:Q),"")</f>
        <v/>
      </c>
      <c r="AH26" s="187" t="str">
        <f>IFERROR(SUMIFS('caseload data'!R:R,'caseload data'!$C:$C,'divisional &amp; regional caseload%'!$T$22,'caseload data'!$D:$D,"TPO")/SUMIF('caseload data'!$C:$C,'divisional &amp; regional caseload%'!$T$22,'caseload data'!R:R),"")</f>
        <v/>
      </c>
      <c r="AI26" s="187" t="str">
        <f>IFERROR(SUMIFS('caseload data'!S:S,'caseload data'!$C:$C,'divisional &amp; regional caseload%'!$T$22,'caseload data'!$D:$D,"TPO")/SUMIF('caseload data'!$C:$C,'divisional &amp; regional caseload%'!$T$22,'caseload data'!S:S),"")</f>
        <v/>
      </c>
      <c r="AJ26" s="187" t="str">
        <f>IFERROR(SUMIFS('caseload data'!T:T,'caseload data'!$C:$C,'divisional &amp; regional caseload%'!$T$22,'caseload data'!$D:$D,"TPO")/SUMIF('caseload data'!$C:$C,'divisional &amp; regional caseload%'!$T$22,'caseload data'!T:T),"")</f>
        <v/>
      </c>
    </row>
    <row r="27" spans="2:36" x14ac:dyDescent="0.15">
      <c r="B27" s="111" t="s">
        <v>1040</v>
      </c>
      <c r="C27" s="187" t="e">
        <f>SUMIFS('caseload data'!E:E,'caseload data'!$C:$C,'divisional &amp; regional caseload%'!$B$22,'caseload data'!$D:$D,"SPO")/SUMIF('caseload data'!$C:$C,'divisional &amp; regional caseload%'!$B$22,'caseload data'!E:E)</f>
        <v>#DIV/0!</v>
      </c>
      <c r="D27" s="187" t="e">
        <f>SUMIFS('caseload data'!F:F,'caseload data'!$C:$C,'divisional &amp; regional caseload%'!$B$22,'caseload data'!$D:$D,"SPO")/SUMIF('caseload data'!$C:$C,'divisional &amp; regional caseload%'!$B$22,'caseload data'!F:F)</f>
        <v>#DIV/0!</v>
      </c>
      <c r="E27" s="187" t="e">
        <f>SUMIFS('caseload data'!G:G,'caseload data'!$C:$C,'divisional &amp; regional caseload%'!$B$22,'caseload data'!$D:$D,"SPO")/SUMIF('caseload data'!$C:$C,'divisional &amp; regional caseload%'!$B$22,'caseload data'!G:G)</f>
        <v>#DIV/0!</v>
      </c>
      <c r="F27" s="187" t="e">
        <f>SUMIFS('caseload data'!H:H,'caseload data'!$C:$C,'divisional &amp; regional caseload%'!$B$22,'caseload data'!$D:$D,"SPO")/SUMIF('caseload data'!$C:$C,'divisional &amp; regional caseload%'!$B$22,'caseload data'!H:H)</f>
        <v>#DIV/0!</v>
      </c>
      <c r="G27" s="187" t="e">
        <f>SUMIFS('caseload data'!I:I,'caseload data'!$C:$C,'divisional &amp; regional caseload%'!$B$22,'caseload data'!$D:$D,"SPO")/SUMIF('caseload data'!$C:$C,'divisional &amp; regional caseload%'!$B$22,'caseload data'!I:I)</f>
        <v>#DIV/0!</v>
      </c>
      <c r="H27" s="187" t="e">
        <f>SUMIFS('caseload data'!J:J,'caseload data'!$C:$C,'divisional &amp; regional caseload%'!$B$22,'caseload data'!$D:$D,"SPO")/SUMIF('caseload data'!$C:$C,'divisional &amp; regional caseload%'!$B$22,'caseload data'!J:J)</f>
        <v>#DIV/0!</v>
      </c>
      <c r="I27" s="187" t="e">
        <f>SUMIFS('caseload data'!K:K,'caseload data'!$C:$C,'divisional &amp; regional caseload%'!$B$22,'caseload data'!$D:$D,"SPO")/SUMIF('caseload data'!$C:$C,'divisional &amp; regional caseload%'!$B$22,'caseload data'!K:K)</f>
        <v>#DIV/0!</v>
      </c>
      <c r="J27" s="187" t="e">
        <f>SUMIFS('caseload data'!L:L,'caseload data'!$C:$C,'divisional &amp; regional caseload%'!$B$22,'caseload data'!$D:$D,"SPO")/SUMIF('caseload data'!$C:$C,'divisional &amp; regional caseload%'!$B$22,'caseload data'!L:L)</f>
        <v>#DIV/0!</v>
      </c>
      <c r="K27" s="187" t="e">
        <f>SUMIFS('caseload data'!M:M,'caseload data'!$C:$C,'divisional &amp; regional caseload%'!$B$22,'caseload data'!$D:$D,"SPO")/SUMIF('caseload data'!$C:$C,'divisional &amp; regional caseload%'!$B$22,'caseload data'!M:M)</f>
        <v>#DIV/0!</v>
      </c>
      <c r="L27" s="187" t="e">
        <f>SUMIFS('caseload data'!N:N,'caseload data'!$C:$C,'divisional &amp; regional caseload%'!$B$22,'caseload data'!$D:$D,"SPO")/SUMIF('caseload data'!$C:$C,'divisional &amp; regional caseload%'!$B$22,'caseload data'!N:N)</f>
        <v>#DIV/0!</v>
      </c>
      <c r="M27" s="187" t="e">
        <f>SUMIFS('caseload data'!O:O,'caseload data'!$C:$C,'divisional &amp; regional caseload%'!$B$22,'caseload data'!$D:$D,"SPO")/SUMIF('caseload data'!$C:$C,'divisional &amp; regional caseload%'!$B$22,'caseload data'!O:O)</f>
        <v>#DIV/0!</v>
      </c>
      <c r="N27" s="187" t="e">
        <f>SUMIFS('caseload data'!P:P,'caseload data'!$C:$C,'divisional &amp; regional caseload%'!$B$22,'caseload data'!$D:$D,"SPO")/SUMIF('caseload data'!$C:$C,'divisional &amp; regional caseload%'!$B$22,'caseload data'!P:P)</f>
        <v>#DIV/0!</v>
      </c>
      <c r="O27" s="187" t="e">
        <f>SUMIFS('caseload data'!Q:Q,'caseload data'!$C:$C,'divisional &amp; regional caseload%'!$B$22,'caseload data'!$D:$D,"SPO")/SUMIF('caseload data'!$C:$C,'divisional &amp; regional caseload%'!$B$22,'caseload data'!Q:Q)</f>
        <v>#DIV/0!</v>
      </c>
      <c r="P27" s="187" t="e">
        <f>SUMIFS('caseload data'!R:R,'caseload data'!$C:$C,'divisional &amp; regional caseload%'!$B$22,'caseload data'!$D:$D,"SPO")/SUMIF('caseload data'!$C:$C,'divisional &amp; regional caseload%'!$B$22,'caseload data'!R:R)</f>
        <v>#DIV/0!</v>
      </c>
      <c r="Q27" s="187" t="e">
        <f>SUMIFS('caseload data'!S:S,'caseload data'!$C:$C,'divisional &amp; regional caseload%'!$B$22,'caseload data'!$D:$D,"SPO")/SUMIF('caseload data'!$C:$C,'divisional &amp; regional caseload%'!$B$22,'caseload data'!S:S)</f>
        <v>#DIV/0!</v>
      </c>
      <c r="R27" s="187" t="e">
        <f>SUMIFS('caseload data'!T:T,'caseload data'!$C:$C,'divisional &amp; regional caseload%'!$B$22,'caseload data'!$D:$D,"SPO")/SUMIF('caseload data'!$C:$C,'divisional &amp; regional caseload%'!$B$22,'caseload data'!T:T)</f>
        <v>#DIV/0!</v>
      </c>
      <c r="S27" s="76"/>
      <c r="T27" s="111" t="s">
        <v>1040</v>
      </c>
      <c r="U27" s="187" t="str">
        <f>IFERROR(SUMIFS('caseload data'!E:E,'caseload data'!$C:$C,'divisional &amp; regional caseload%'!$T$22,'caseload data'!$D:$D,"SPO")/SUMIF('caseload data'!$C:$C,'divisional &amp; regional caseload%'!$T$22,'caseload data'!E:E),"")</f>
        <v/>
      </c>
      <c r="V27" s="187" t="str">
        <f>IFERROR(SUMIFS('caseload data'!F:F,'caseload data'!$C:$C,'divisional &amp; regional caseload%'!$T$22,'caseload data'!$D:$D,"SPO")/SUMIF('caseload data'!$C:$C,'divisional &amp; regional caseload%'!$T$22,'caseload data'!F:F),"")</f>
        <v/>
      </c>
      <c r="W27" s="187" t="str">
        <f>IFERROR(SUMIFS('caseload data'!G:G,'caseload data'!$C:$C,'divisional &amp; regional caseload%'!$T$22,'caseload data'!$D:$D,"SPO")/SUMIF('caseload data'!$C:$C,'divisional &amp; regional caseload%'!$T$22,'caseload data'!G:G),"")</f>
        <v/>
      </c>
      <c r="X27" s="187" t="str">
        <f>IFERROR(SUMIFS('caseload data'!H:H,'caseload data'!$C:$C,'divisional &amp; regional caseload%'!$T$22,'caseload data'!$D:$D,"SPO")/SUMIF('caseload data'!$C:$C,'divisional &amp; regional caseload%'!$T$22,'caseload data'!H:H),"")</f>
        <v/>
      </c>
      <c r="Y27" s="187" t="str">
        <f>IFERROR(SUMIFS('caseload data'!I:I,'caseload data'!$C:$C,'divisional &amp; regional caseload%'!$T$22,'caseload data'!$D:$D,"SPO")/SUMIF('caseload data'!$C:$C,'divisional &amp; regional caseload%'!$T$22,'caseload data'!I:I),"")</f>
        <v/>
      </c>
      <c r="Z27" s="187" t="str">
        <f>IFERROR(SUMIFS('caseload data'!J:J,'caseload data'!$C:$C,'divisional &amp; regional caseload%'!$T$22,'caseload data'!$D:$D,"SPO")/SUMIF('caseload data'!$C:$C,'divisional &amp; regional caseload%'!$T$22,'caseload data'!J:J),"")</f>
        <v/>
      </c>
      <c r="AA27" s="187" t="str">
        <f>IFERROR(SUMIFS('caseload data'!K:K,'caseload data'!$C:$C,'divisional &amp; regional caseload%'!$T$22,'caseload data'!$D:$D,"SPO")/SUMIF('caseload data'!$C:$C,'divisional &amp; regional caseload%'!$T$22,'caseload data'!K:K),"")</f>
        <v/>
      </c>
      <c r="AB27" s="187" t="str">
        <f>IFERROR(SUMIFS('caseload data'!L:L,'caseload data'!$C:$C,'divisional &amp; regional caseload%'!$T$22,'caseload data'!$D:$D,"SPO")/SUMIF('caseload data'!$C:$C,'divisional &amp; regional caseload%'!$T$22,'caseload data'!L:L),"")</f>
        <v/>
      </c>
      <c r="AC27" s="187" t="str">
        <f>IFERROR(SUMIFS('caseload data'!M:M,'caseload data'!$C:$C,'divisional &amp; regional caseload%'!$T$22,'caseload data'!$D:$D,"SPO")/SUMIF('caseload data'!$C:$C,'divisional &amp; regional caseload%'!$T$22,'caseload data'!M:M),"")</f>
        <v/>
      </c>
      <c r="AD27" s="187" t="str">
        <f>IFERROR(SUMIFS('caseload data'!N:N,'caseload data'!$C:$C,'divisional &amp; regional caseload%'!$T$22,'caseload data'!$D:$D,"SPO")/SUMIF('caseload data'!$C:$C,'divisional &amp; regional caseload%'!$T$22,'caseload data'!N:N),"")</f>
        <v/>
      </c>
      <c r="AE27" s="187" t="str">
        <f>IFERROR(SUMIFS('caseload data'!O:O,'caseload data'!$C:$C,'divisional &amp; regional caseload%'!$T$22,'caseload data'!$D:$D,"SPO")/SUMIF('caseload data'!$C:$C,'divisional &amp; regional caseload%'!$T$22,'caseload data'!O:O),"")</f>
        <v/>
      </c>
      <c r="AF27" s="187" t="str">
        <f>IFERROR(SUMIFS('caseload data'!P:P,'caseload data'!$C:$C,'divisional &amp; regional caseload%'!$T$22,'caseload data'!$D:$D,"SPO")/SUMIF('caseload data'!$C:$C,'divisional &amp; regional caseload%'!$T$22,'caseload data'!P:P),"")</f>
        <v/>
      </c>
      <c r="AG27" s="187" t="str">
        <f>IFERROR(SUMIFS('caseload data'!Q:Q,'caseload data'!$C:$C,'divisional &amp; regional caseload%'!$T$22,'caseload data'!$D:$D,"SPO")/SUMIF('caseload data'!$C:$C,'divisional &amp; regional caseload%'!$T$22,'caseload data'!Q:Q),"")</f>
        <v/>
      </c>
      <c r="AH27" s="187" t="str">
        <f>IFERROR(SUMIFS('caseload data'!R:R,'caseload data'!$C:$C,'divisional &amp; regional caseload%'!$T$22,'caseload data'!$D:$D,"SPO")/SUMIF('caseload data'!$C:$C,'divisional &amp; regional caseload%'!$T$22,'caseload data'!R:R),"")</f>
        <v/>
      </c>
      <c r="AI27" s="187" t="str">
        <f>IFERROR(SUMIFS('caseload data'!S:S,'caseload data'!$C:$C,'divisional &amp; regional caseload%'!$T$22,'caseload data'!$D:$D,"SPO")/SUMIF('caseload data'!$C:$C,'divisional &amp; regional caseload%'!$T$22,'caseload data'!S:S),"")</f>
        <v/>
      </c>
      <c r="AJ27" s="187" t="str">
        <f>IFERROR(SUMIFS('caseload data'!T:T,'caseload data'!$C:$C,'divisional &amp; regional caseload%'!$T$22,'caseload data'!$D:$D,"SPO")/SUMIF('caseload data'!$C:$C,'divisional &amp; regional caseload%'!$T$22,'caseload data'!T:T),"")</f>
        <v/>
      </c>
    </row>
    <row r="28" spans="2:36" x14ac:dyDescent="0.15">
      <c r="B28" s="104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04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</row>
    <row r="29" spans="2:36" ht="29.25" customHeight="1" x14ac:dyDescent="0.15">
      <c r="B29" s="162" t="str">
        <f>HLOOKUP($B$5,Region_Table,8,0)</f>
        <v>Halton and Warrington</v>
      </c>
      <c r="C29" s="333" t="s">
        <v>1257</v>
      </c>
      <c r="D29" s="334"/>
      <c r="E29" s="334"/>
      <c r="F29" s="334"/>
      <c r="G29" s="334"/>
      <c r="H29" s="334"/>
      <c r="I29" s="334"/>
      <c r="J29" s="334"/>
      <c r="K29" s="334"/>
      <c r="L29" s="334"/>
      <c r="M29" s="343"/>
      <c r="N29" s="343"/>
      <c r="O29" s="344"/>
      <c r="P29" s="337">
        <f>SUMIF('caseload data'!$C:$C,'divisional &amp; regional caseload%'!B29,'caseload data'!V:V)</f>
        <v>0</v>
      </c>
      <c r="Q29" s="345"/>
      <c r="R29" s="346"/>
      <c r="S29" s="76"/>
      <c r="T29" s="162" t="str">
        <f>HLOOKUP($B$5,Region_Table,9,0)</f>
        <v>Knowsley and St Helens</v>
      </c>
      <c r="U29" s="333" t="s">
        <v>1257</v>
      </c>
      <c r="V29" s="334"/>
      <c r="W29" s="334"/>
      <c r="X29" s="334"/>
      <c r="Y29" s="334"/>
      <c r="Z29" s="334"/>
      <c r="AA29" s="334"/>
      <c r="AB29" s="334"/>
      <c r="AC29" s="334"/>
      <c r="AD29" s="334"/>
      <c r="AE29" s="343"/>
      <c r="AF29" s="343"/>
      <c r="AG29" s="344"/>
      <c r="AH29" s="337">
        <f>SUMIF('caseload data'!$C:$C,'divisional &amp; regional caseload%'!T29,'caseload data'!V:V)</f>
        <v>0</v>
      </c>
      <c r="AI29" s="345"/>
      <c r="AJ29" s="346"/>
    </row>
    <row r="30" spans="2:36" x14ac:dyDescent="0.15">
      <c r="B30" s="108" t="s">
        <v>1199</v>
      </c>
      <c r="C30" s="42" t="s">
        <v>1019</v>
      </c>
      <c r="D30" s="42" t="s">
        <v>1020</v>
      </c>
      <c r="E30" s="42" t="s">
        <v>1021</v>
      </c>
      <c r="F30" s="42" t="s">
        <v>1022</v>
      </c>
      <c r="G30" s="42" t="s">
        <v>1023</v>
      </c>
      <c r="H30" s="42" t="s">
        <v>1024</v>
      </c>
      <c r="I30" s="42" t="s">
        <v>1025</v>
      </c>
      <c r="J30" s="42" t="s">
        <v>1026</v>
      </c>
      <c r="K30" s="42" t="s">
        <v>1027</v>
      </c>
      <c r="L30" s="42" t="s">
        <v>1028</v>
      </c>
      <c r="M30" s="42" t="s">
        <v>1029</v>
      </c>
      <c r="N30" s="42" t="s">
        <v>1030</v>
      </c>
      <c r="O30" s="42" t="s">
        <v>1031</v>
      </c>
      <c r="P30" s="42" t="s">
        <v>1032</v>
      </c>
      <c r="Q30" s="42" t="s">
        <v>1033</v>
      </c>
      <c r="R30" s="42" t="s">
        <v>1034</v>
      </c>
      <c r="S30" s="76"/>
      <c r="T30" s="108" t="s">
        <v>1199</v>
      </c>
      <c r="U30" s="42" t="s">
        <v>1019</v>
      </c>
      <c r="V30" s="42" t="s">
        <v>1020</v>
      </c>
      <c r="W30" s="42" t="s">
        <v>1021</v>
      </c>
      <c r="X30" s="42" t="s">
        <v>1022</v>
      </c>
      <c r="Y30" s="42" t="s">
        <v>1023</v>
      </c>
      <c r="Z30" s="42" t="s">
        <v>1024</v>
      </c>
      <c r="AA30" s="42" t="s">
        <v>1025</v>
      </c>
      <c r="AB30" s="42" t="s">
        <v>1026</v>
      </c>
      <c r="AC30" s="42" t="s">
        <v>1027</v>
      </c>
      <c r="AD30" s="42" t="s">
        <v>1028</v>
      </c>
      <c r="AE30" s="42" t="s">
        <v>1029</v>
      </c>
      <c r="AF30" s="42" t="s">
        <v>1030</v>
      </c>
      <c r="AG30" s="42" t="s">
        <v>1031</v>
      </c>
      <c r="AH30" s="42" t="s">
        <v>1032</v>
      </c>
      <c r="AI30" s="42" t="s">
        <v>1033</v>
      </c>
      <c r="AJ30" s="42" t="s">
        <v>1034</v>
      </c>
    </row>
    <row r="31" spans="2:36" x14ac:dyDescent="0.15">
      <c r="B31" s="109" t="s">
        <v>1037</v>
      </c>
      <c r="C31" s="187" t="str">
        <f>IFERROR(SUMIFS('caseload data'!E:E,'caseload data'!$C:$C,'divisional &amp; regional caseload%'!$B$29,'caseload data'!$D:$D,"PO")/SUMIF('caseload data'!$C:$C,'divisional &amp; regional caseload%'!$B$29,'caseload data'!E:E),"")</f>
        <v/>
      </c>
      <c r="D31" s="187" t="str">
        <f>IFERROR(SUMIFS('caseload data'!F:F,'caseload data'!$C:$C,'divisional &amp; regional caseload%'!$B$29,'caseload data'!$D:$D,"PO")/SUMIF('caseload data'!$C:$C,'divisional &amp; regional caseload%'!$B$29,'caseload data'!F:F),"")</f>
        <v/>
      </c>
      <c r="E31" s="187" t="str">
        <f>IFERROR(SUMIFS('caseload data'!G:G,'caseload data'!$C:$C,'divisional &amp; regional caseload%'!$B$29,'caseload data'!$D:$D,"PO")/SUMIF('caseload data'!$C:$C,'divisional &amp; regional caseload%'!$B$29,'caseload data'!G:G),"")</f>
        <v/>
      </c>
      <c r="F31" s="187" t="str">
        <f>IFERROR(SUMIFS('caseload data'!H:H,'caseload data'!$C:$C,'divisional &amp; regional caseload%'!$B$29,'caseload data'!$D:$D,"PO")/SUMIF('caseload data'!$C:$C,'divisional &amp; regional caseload%'!$B$29,'caseload data'!H:H),"")</f>
        <v/>
      </c>
      <c r="G31" s="187" t="str">
        <f>IFERROR(SUMIFS('caseload data'!I:I,'caseload data'!$C:$C,'divisional &amp; regional caseload%'!$B$29,'caseload data'!$D:$D,"PO")/SUMIF('caseload data'!$C:$C,'divisional &amp; regional caseload%'!$B$29,'caseload data'!I:I),"")</f>
        <v/>
      </c>
      <c r="H31" s="187" t="str">
        <f>IFERROR(SUMIFS('caseload data'!J:J,'caseload data'!$C:$C,'divisional &amp; regional caseload%'!$B$29,'caseload data'!$D:$D,"PO")/SUMIF('caseload data'!$C:$C,'divisional &amp; regional caseload%'!$B$29,'caseload data'!J:J),"")</f>
        <v/>
      </c>
      <c r="I31" s="187" t="str">
        <f>IFERROR(SUMIFS('caseload data'!K:K,'caseload data'!$C:$C,'divisional &amp; regional caseload%'!$B$29,'caseload data'!$D:$D,"PO")/SUMIF('caseload data'!$C:$C,'divisional &amp; regional caseload%'!$B$29,'caseload data'!K:K),"")</f>
        <v/>
      </c>
      <c r="J31" s="187" t="str">
        <f>IFERROR(SUMIFS('caseload data'!L:L,'caseload data'!$C:$C,'divisional &amp; regional caseload%'!$B$29,'caseload data'!$D:$D,"PO")/SUMIF('caseload data'!$C:$C,'divisional &amp; regional caseload%'!$B$29,'caseload data'!L:L),"")</f>
        <v/>
      </c>
      <c r="K31" s="187" t="str">
        <f>IFERROR(SUMIFS('caseload data'!M:M,'caseload data'!$C:$C,'divisional &amp; regional caseload%'!$B$29,'caseload data'!$D:$D,"PO")/SUMIF('caseload data'!$C:$C,'divisional &amp; regional caseload%'!$B$29,'caseload data'!M:M),"")</f>
        <v/>
      </c>
      <c r="L31" s="187" t="str">
        <f>IFERROR(SUMIFS('caseload data'!N:N,'caseload data'!$C:$C,'divisional &amp; regional caseload%'!$B$29,'caseload data'!$D:$D,"PO")/SUMIF('caseload data'!$C:$C,'divisional &amp; regional caseload%'!$B$29,'caseload data'!N:N),"")</f>
        <v/>
      </c>
      <c r="M31" s="187" t="str">
        <f>IFERROR(SUMIFS('caseload data'!O:O,'caseload data'!$C:$C,'divisional &amp; regional caseload%'!$B$29,'caseload data'!$D:$D,"PO")/SUMIF('caseload data'!$C:$C,'divisional &amp; regional caseload%'!$B$29,'caseload data'!O:O),"")</f>
        <v/>
      </c>
      <c r="N31" s="187" t="str">
        <f>IFERROR(SUMIFS('caseload data'!P:P,'caseload data'!$C:$C,'divisional &amp; regional caseload%'!$B$29,'caseload data'!$D:$D,"PO")/SUMIF('caseload data'!$C:$C,'divisional &amp; regional caseload%'!$B$29,'caseload data'!P:P),"")</f>
        <v/>
      </c>
      <c r="O31" s="187" t="str">
        <f>IFERROR(SUMIFS('caseload data'!Q:Q,'caseload data'!$C:$C,'divisional &amp; regional caseload%'!$B$29,'caseload data'!$D:$D,"PO")/SUMIF('caseload data'!$C:$C,'divisional &amp; regional caseload%'!$B$29,'caseload data'!Q:Q),"")</f>
        <v/>
      </c>
      <c r="P31" s="187" t="str">
        <f>IFERROR(SUMIFS('caseload data'!R:R,'caseload data'!$C:$C,'divisional &amp; regional caseload%'!$B$29,'caseload data'!$D:$D,"PO")/SUMIF('caseload data'!$C:$C,'divisional &amp; regional caseload%'!$B$29,'caseload data'!R:R),"")</f>
        <v/>
      </c>
      <c r="Q31" s="187" t="str">
        <f>IFERROR(SUMIFS('caseload data'!S:S,'caseload data'!$C:$C,'divisional &amp; regional caseload%'!$B$29,'caseload data'!$D:$D,"PO")/SUMIF('caseload data'!$C:$C,'divisional &amp; regional caseload%'!$B$29,'caseload data'!S:S),"")</f>
        <v/>
      </c>
      <c r="R31" s="187" t="str">
        <f>IFERROR(SUMIFS('caseload data'!T:T,'caseload data'!$C:$C,'divisional &amp; regional caseload%'!$B$29,'caseload data'!$D:$D,"PO")/SUMIF('caseload data'!$C:$C,'divisional &amp; regional caseload%'!$B$29,'caseload data'!T:T),"")</f>
        <v/>
      </c>
      <c r="S31" s="76"/>
      <c r="T31" s="109" t="s">
        <v>1037</v>
      </c>
      <c r="U31" s="187" t="str">
        <f>IFERROR(SUMIFS('caseload data'!E:E,'caseload data'!$C:$C,'divisional &amp; regional caseload%'!$T$29,'caseload data'!$D:$D,"PO")/SUMIF('caseload data'!$C:$C,'divisional &amp; regional caseload%'!$T$29,'caseload data'!E:E),"")</f>
        <v/>
      </c>
      <c r="V31" s="187" t="str">
        <f>IFERROR(SUMIFS('caseload data'!F:F,'caseload data'!$C:$C,'divisional &amp; regional caseload%'!$T$29,'caseload data'!$D:$D,"PO")/SUMIF('caseload data'!$C:$C,'divisional &amp; regional caseload%'!$T$29,'caseload data'!F:F),"")</f>
        <v/>
      </c>
      <c r="W31" s="187" t="str">
        <f>IFERROR(SUMIFS('caseload data'!G:G,'caseload data'!$C:$C,'divisional &amp; regional caseload%'!$T$29,'caseload data'!$D:$D,"PO")/SUMIF('caseload data'!$C:$C,'divisional &amp; regional caseload%'!$T$29,'caseload data'!G:G),"")</f>
        <v/>
      </c>
      <c r="X31" s="187" t="str">
        <f>IFERROR(SUMIFS('caseload data'!H:H,'caseload data'!$C:$C,'divisional &amp; regional caseload%'!$T$29,'caseload data'!$D:$D,"PO")/SUMIF('caseload data'!$C:$C,'divisional &amp; regional caseload%'!$T$29,'caseload data'!H:H),"")</f>
        <v/>
      </c>
      <c r="Y31" s="187" t="str">
        <f>IFERROR(SUMIFS('caseload data'!I:I,'caseload data'!$C:$C,'divisional &amp; regional caseload%'!$T$29,'caseload data'!$D:$D,"PO")/SUMIF('caseload data'!$C:$C,'divisional &amp; regional caseload%'!$T$29,'caseload data'!I:I),"")</f>
        <v/>
      </c>
      <c r="Z31" s="187" t="str">
        <f>IFERROR(SUMIFS('caseload data'!J:J,'caseload data'!$C:$C,'divisional &amp; regional caseload%'!$T$29,'caseload data'!$D:$D,"PO")/SUMIF('caseload data'!$C:$C,'divisional &amp; regional caseload%'!$T$29,'caseload data'!J:J),"")</f>
        <v/>
      </c>
      <c r="AA31" s="187" t="str">
        <f>IFERROR(SUMIFS('caseload data'!K:K,'caseload data'!$C:$C,'divisional &amp; regional caseload%'!$T$29,'caseload data'!$D:$D,"PO")/SUMIF('caseload data'!$C:$C,'divisional &amp; regional caseload%'!$T$29,'caseload data'!K:K),"")</f>
        <v/>
      </c>
      <c r="AB31" s="187" t="str">
        <f>IFERROR(SUMIFS('caseload data'!L:L,'caseload data'!$C:$C,'divisional &amp; regional caseload%'!$T$29,'caseload data'!$D:$D,"PO")/SUMIF('caseload data'!$C:$C,'divisional &amp; regional caseload%'!$T$29,'caseload data'!L:L),"")</f>
        <v/>
      </c>
      <c r="AC31" s="187" t="str">
        <f>IFERROR(SUMIFS('caseload data'!M:M,'caseload data'!$C:$C,'divisional &amp; regional caseload%'!$T$29,'caseload data'!$D:$D,"PO")/SUMIF('caseload data'!$C:$C,'divisional &amp; regional caseload%'!$T$29,'caseload data'!M:M),"")</f>
        <v/>
      </c>
      <c r="AD31" s="187" t="str">
        <f>IFERROR(SUMIFS('caseload data'!N:N,'caseload data'!$C:$C,'divisional &amp; regional caseload%'!$T$29,'caseload data'!$D:$D,"PO")/SUMIF('caseload data'!$C:$C,'divisional &amp; regional caseload%'!$T$29,'caseload data'!N:N),"")</f>
        <v/>
      </c>
      <c r="AE31" s="187" t="str">
        <f>IFERROR(SUMIFS('caseload data'!O:O,'caseload data'!$C:$C,'divisional &amp; regional caseload%'!$T$29,'caseload data'!$D:$D,"PO")/SUMIF('caseload data'!$C:$C,'divisional &amp; regional caseload%'!$T$29,'caseload data'!O:O),"")</f>
        <v/>
      </c>
      <c r="AF31" s="187" t="str">
        <f>IFERROR(SUMIFS('caseload data'!P:P,'caseload data'!$C:$C,'divisional &amp; regional caseload%'!$T$29,'caseload data'!$D:$D,"PO")/SUMIF('caseload data'!$C:$C,'divisional &amp; regional caseload%'!$T$29,'caseload data'!P:P),"")</f>
        <v/>
      </c>
      <c r="AG31" s="187" t="str">
        <f>IFERROR(SUMIFS('caseload data'!Q:Q,'caseload data'!$C:$C,'divisional &amp; regional caseload%'!$T$29,'caseload data'!$D:$D,"PO")/SUMIF('caseload data'!$C:$C,'divisional &amp; regional caseload%'!$T$29,'caseload data'!Q:Q),"")</f>
        <v/>
      </c>
      <c r="AH31" s="187" t="str">
        <f>IFERROR(SUMIFS('caseload data'!R:R,'caseload data'!$C:$C,'divisional &amp; regional caseload%'!$T$29,'caseload data'!$D:$D,"PO")/SUMIF('caseload data'!$C:$C,'divisional &amp; regional caseload%'!$T$29,'caseload data'!R:R),"")</f>
        <v/>
      </c>
      <c r="AI31" s="187" t="str">
        <f>IFERROR(SUMIFS('caseload data'!S:S,'caseload data'!$C:$C,'divisional &amp; regional caseload%'!$T$29,'caseload data'!$D:$D,"PO")/SUMIF('caseload data'!$C:$C,'divisional &amp; regional caseload%'!$T$29,'caseload data'!S:S),"")</f>
        <v/>
      </c>
      <c r="AJ31" s="187" t="str">
        <f>IFERROR(SUMIFS('caseload data'!T:T,'caseload data'!$C:$C,'divisional &amp; regional caseload%'!$T$29,'caseload data'!$D:$D,"PO")/SUMIF('caseload data'!$C:$C,'divisional &amp; regional caseload%'!$T$29,'caseload data'!T:T),"")</f>
        <v/>
      </c>
    </row>
    <row r="32" spans="2:36" x14ac:dyDescent="0.15">
      <c r="B32" s="110" t="s">
        <v>1038</v>
      </c>
      <c r="C32" s="187" t="str">
        <f>IFERROR(SUMIFS('caseload data'!E:E,'caseload data'!$C:$C,'divisional &amp; regional caseload%'!$B$29,'caseload data'!$D:$D,"PSO")/SUMIF('caseload data'!$C:$C,'divisional &amp; regional caseload%'!$B$29,'caseload data'!E:E),"")</f>
        <v/>
      </c>
      <c r="D32" s="187" t="str">
        <f>IFERROR(SUMIFS('caseload data'!F:F,'caseload data'!$C:$C,'divisional &amp; regional caseload%'!$B$29,'caseload data'!$D:$D,"PSO")/SUMIF('caseload data'!$C:$C,'divisional &amp; regional caseload%'!$B$29,'caseload data'!F:F),"")</f>
        <v/>
      </c>
      <c r="E32" s="187" t="str">
        <f>IFERROR(SUMIFS('caseload data'!G:G,'caseload data'!$C:$C,'divisional &amp; regional caseload%'!$B$29,'caseload data'!$D:$D,"PSO")/SUMIF('caseload data'!$C:$C,'divisional &amp; regional caseload%'!$B$29,'caseload data'!G:G),"")</f>
        <v/>
      </c>
      <c r="F32" s="187" t="str">
        <f>IFERROR(SUMIFS('caseload data'!H:H,'caseload data'!$C:$C,'divisional &amp; regional caseload%'!$B$29,'caseload data'!$D:$D,"PSO")/SUMIF('caseload data'!$C:$C,'divisional &amp; regional caseload%'!$B$29,'caseload data'!H:H),"")</f>
        <v/>
      </c>
      <c r="G32" s="187" t="str">
        <f>IFERROR(SUMIFS('caseload data'!I:I,'caseload data'!$C:$C,'divisional &amp; regional caseload%'!$B$29,'caseload data'!$D:$D,"PSO")/SUMIF('caseload data'!$C:$C,'divisional &amp; regional caseload%'!$B$29,'caseload data'!I:I),"")</f>
        <v/>
      </c>
      <c r="H32" s="187" t="str">
        <f>IFERROR(SUMIFS('caseload data'!J:J,'caseload data'!$C:$C,'divisional &amp; regional caseload%'!$B$29,'caseload data'!$D:$D,"PSO")/SUMIF('caseload data'!$C:$C,'divisional &amp; regional caseload%'!$B$29,'caseload data'!J:J),"")</f>
        <v/>
      </c>
      <c r="I32" s="187" t="str">
        <f>IFERROR(SUMIFS('caseload data'!K:K,'caseload data'!$C:$C,'divisional &amp; regional caseload%'!$B$29,'caseload data'!$D:$D,"PSO")/SUMIF('caseload data'!$C:$C,'divisional &amp; regional caseload%'!$B$29,'caseload data'!K:K),"")</f>
        <v/>
      </c>
      <c r="J32" s="187" t="str">
        <f>IFERROR(SUMIFS('caseload data'!L:L,'caseload data'!$C:$C,'divisional &amp; regional caseload%'!$B$29,'caseload data'!$D:$D,"PSO")/SUMIF('caseload data'!$C:$C,'divisional &amp; regional caseload%'!$B$29,'caseload data'!L:L),"")</f>
        <v/>
      </c>
      <c r="K32" s="187" t="str">
        <f>IFERROR(SUMIFS('caseload data'!M:M,'caseload data'!$C:$C,'divisional &amp; regional caseload%'!$B$29,'caseload data'!$D:$D,"PSO")/SUMIF('caseload data'!$C:$C,'divisional &amp; regional caseload%'!$B$29,'caseload data'!M:M),"")</f>
        <v/>
      </c>
      <c r="L32" s="187" t="str">
        <f>IFERROR(SUMIFS('caseload data'!N:N,'caseload data'!$C:$C,'divisional &amp; regional caseload%'!$B$29,'caseload data'!$D:$D,"PSO")/SUMIF('caseload data'!$C:$C,'divisional &amp; regional caseload%'!$B$29,'caseload data'!N:N),"")</f>
        <v/>
      </c>
      <c r="M32" s="187" t="str">
        <f>IFERROR(SUMIFS('caseload data'!O:O,'caseload data'!$C:$C,'divisional &amp; regional caseload%'!$B$29,'caseload data'!$D:$D,"PSO")/SUMIF('caseload data'!$C:$C,'divisional &amp; regional caseload%'!$B$29,'caseload data'!O:O),"")</f>
        <v/>
      </c>
      <c r="N32" s="187" t="str">
        <f>IFERROR(SUMIFS('caseload data'!P:P,'caseload data'!$C:$C,'divisional &amp; regional caseload%'!$B$29,'caseload data'!$D:$D,"PSO")/SUMIF('caseload data'!$C:$C,'divisional &amp; regional caseload%'!$B$29,'caseload data'!P:P),"")</f>
        <v/>
      </c>
      <c r="O32" s="187" t="str">
        <f>IFERROR(SUMIFS('caseload data'!Q:Q,'caseload data'!$C:$C,'divisional &amp; regional caseload%'!$B$29,'caseload data'!$D:$D,"PSO")/SUMIF('caseload data'!$C:$C,'divisional &amp; regional caseload%'!$B$29,'caseload data'!Q:Q),"")</f>
        <v/>
      </c>
      <c r="P32" s="187" t="str">
        <f>IFERROR(SUMIFS('caseload data'!R:R,'caseload data'!$C:$C,'divisional &amp; regional caseload%'!$B$29,'caseload data'!$D:$D,"PSO")/SUMIF('caseload data'!$C:$C,'divisional &amp; regional caseload%'!$B$29,'caseload data'!R:R),"")</f>
        <v/>
      </c>
      <c r="Q32" s="187" t="str">
        <f>IFERROR(SUMIFS('caseload data'!S:S,'caseload data'!$C:$C,'divisional &amp; regional caseload%'!$B$29,'caseload data'!$D:$D,"PSO")/SUMIF('caseload data'!$C:$C,'divisional &amp; regional caseload%'!$B$29,'caseload data'!S:S),"")</f>
        <v/>
      </c>
      <c r="R32" s="187" t="str">
        <f>IFERROR(SUMIFS('caseload data'!T:T,'caseload data'!$C:$C,'divisional &amp; regional caseload%'!$B$29,'caseload data'!$D:$D,"PSO")/SUMIF('caseload data'!$C:$C,'divisional &amp; regional caseload%'!$B$29,'caseload data'!T:T),"")</f>
        <v/>
      </c>
      <c r="S32" s="76"/>
      <c r="T32" s="110" t="s">
        <v>1038</v>
      </c>
      <c r="U32" s="187" t="str">
        <f>IFERROR(SUMIFS('caseload data'!E:E,'caseload data'!$C:$C,'divisional &amp; regional caseload%'!$T$29,'caseload data'!$D:$D,"PSO")/SUMIF('caseload data'!$C:$C,'divisional &amp; regional caseload%'!$T$29,'caseload data'!E:E),"")</f>
        <v/>
      </c>
      <c r="V32" s="187" t="str">
        <f>IFERROR(SUMIFS('caseload data'!F:F,'caseload data'!$C:$C,'divisional &amp; regional caseload%'!$T$29,'caseload data'!$D:$D,"PSO")/SUMIF('caseload data'!$C:$C,'divisional &amp; regional caseload%'!$T$29,'caseload data'!F:F),"")</f>
        <v/>
      </c>
      <c r="W32" s="187" t="str">
        <f>IFERROR(SUMIFS('caseload data'!G:G,'caseload data'!$C:$C,'divisional &amp; regional caseload%'!$T$29,'caseload data'!$D:$D,"PSO")/SUMIF('caseload data'!$C:$C,'divisional &amp; regional caseload%'!$T$29,'caseload data'!G:G),"")</f>
        <v/>
      </c>
      <c r="X32" s="187" t="str">
        <f>IFERROR(SUMIFS('caseload data'!H:H,'caseload data'!$C:$C,'divisional &amp; regional caseload%'!$T$29,'caseload data'!$D:$D,"PSO")/SUMIF('caseload data'!$C:$C,'divisional &amp; regional caseload%'!$T$29,'caseload data'!H:H),"")</f>
        <v/>
      </c>
      <c r="Y32" s="187" t="str">
        <f>IFERROR(SUMIFS('caseload data'!I:I,'caseload data'!$C:$C,'divisional &amp; regional caseload%'!$T$29,'caseload data'!$D:$D,"PSO")/SUMIF('caseload data'!$C:$C,'divisional &amp; regional caseload%'!$T$29,'caseload data'!I:I),"")</f>
        <v/>
      </c>
      <c r="Z32" s="187" t="str">
        <f>IFERROR(SUMIFS('caseload data'!J:J,'caseload data'!$C:$C,'divisional &amp; regional caseload%'!$T$29,'caseload data'!$D:$D,"PSO")/SUMIF('caseload data'!$C:$C,'divisional &amp; regional caseload%'!$T$29,'caseload data'!J:J),"")</f>
        <v/>
      </c>
      <c r="AA32" s="187" t="str">
        <f>IFERROR(SUMIFS('caseload data'!K:K,'caseload data'!$C:$C,'divisional &amp; regional caseload%'!$T$29,'caseload data'!$D:$D,"PSO")/SUMIF('caseload data'!$C:$C,'divisional &amp; regional caseload%'!$T$29,'caseload data'!K:K),"")</f>
        <v/>
      </c>
      <c r="AB32" s="187" t="str">
        <f>IFERROR(SUMIFS('caseload data'!L:L,'caseload data'!$C:$C,'divisional &amp; regional caseload%'!$T$29,'caseload data'!$D:$D,"PSO")/SUMIF('caseload data'!$C:$C,'divisional &amp; regional caseload%'!$T$29,'caseload data'!L:L),"")</f>
        <v/>
      </c>
      <c r="AC32" s="187" t="str">
        <f>IFERROR(SUMIFS('caseload data'!M:M,'caseload data'!$C:$C,'divisional &amp; regional caseload%'!$T$29,'caseload data'!$D:$D,"PSO")/SUMIF('caseload data'!$C:$C,'divisional &amp; regional caseload%'!$T$29,'caseload data'!M:M),"")</f>
        <v/>
      </c>
      <c r="AD32" s="187" t="str">
        <f>IFERROR(SUMIFS('caseload data'!N:N,'caseload data'!$C:$C,'divisional &amp; regional caseload%'!$T$29,'caseload data'!$D:$D,"PSO")/SUMIF('caseload data'!$C:$C,'divisional &amp; regional caseload%'!$T$29,'caseload data'!N:N),"")</f>
        <v/>
      </c>
      <c r="AE32" s="187" t="str">
        <f>IFERROR(SUMIFS('caseload data'!O:O,'caseload data'!$C:$C,'divisional &amp; regional caseload%'!$T$29,'caseload data'!$D:$D,"PSO")/SUMIF('caseload data'!$C:$C,'divisional &amp; regional caseload%'!$T$29,'caseload data'!O:O),"")</f>
        <v/>
      </c>
      <c r="AF32" s="187" t="str">
        <f>IFERROR(SUMIFS('caseload data'!P:P,'caseload data'!$C:$C,'divisional &amp; regional caseload%'!$T$29,'caseload data'!$D:$D,"PSO")/SUMIF('caseload data'!$C:$C,'divisional &amp; regional caseload%'!$T$29,'caseload data'!P:P),"")</f>
        <v/>
      </c>
      <c r="AG32" s="187" t="str">
        <f>IFERROR(SUMIFS('caseload data'!Q:Q,'caseload data'!$C:$C,'divisional &amp; regional caseload%'!$T$29,'caseload data'!$D:$D,"PSO")/SUMIF('caseload data'!$C:$C,'divisional &amp; regional caseload%'!$T$29,'caseload data'!Q:Q),"")</f>
        <v/>
      </c>
      <c r="AH32" s="187" t="str">
        <f>IFERROR(SUMIFS('caseload data'!R:R,'caseload data'!$C:$C,'divisional &amp; regional caseload%'!$T$29,'caseload data'!$D:$D,"PSO")/SUMIF('caseload data'!$C:$C,'divisional &amp; regional caseload%'!$T$29,'caseload data'!R:R),"")</f>
        <v/>
      </c>
      <c r="AI32" s="187" t="str">
        <f>IFERROR(SUMIFS('caseload data'!S:S,'caseload data'!$C:$C,'divisional &amp; regional caseload%'!$T$29,'caseload data'!$D:$D,"PSO")/SUMIF('caseload data'!$C:$C,'divisional &amp; regional caseload%'!$T$29,'caseload data'!S:S),"")</f>
        <v/>
      </c>
      <c r="AJ32" s="187" t="str">
        <f>IFERROR(SUMIFS('caseload data'!T:T,'caseload data'!$C:$C,'divisional &amp; regional caseload%'!$T$29,'caseload data'!$D:$D,"PSO")/SUMIF('caseload data'!$C:$C,'divisional &amp; regional caseload%'!$T$29,'caseload data'!T:T),"")</f>
        <v/>
      </c>
    </row>
    <row r="33" spans="2:36" x14ac:dyDescent="0.15">
      <c r="B33" s="110" t="s">
        <v>1039</v>
      </c>
      <c r="C33" s="187" t="str">
        <f>IFERROR(SUMIFS('caseload data'!E:E,'caseload data'!$C:$C,'divisional &amp; regional caseload%'!$B$29,'caseload data'!$D:$D,"TPO")/SUMIF('caseload data'!$C:$C,'divisional &amp; regional caseload%'!$B$29,'caseload data'!E:E),"")</f>
        <v/>
      </c>
      <c r="D33" s="187" t="str">
        <f>IFERROR(SUMIFS('caseload data'!F:F,'caseload data'!$C:$C,'divisional &amp; regional caseload%'!$B$29,'caseload data'!$D:$D,"TPO")/SUMIF('caseload data'!$C:$C,'divisional &amp; regional caseload%'!$B$29,'caseload data'!F:F),"")</f>
        <v/>
      </c>
      <c r="E33" s="187" t="str">
        <f>IFERROR(SUMIFS('caseload data'!G:G,'caseload data'!$C:$C,'divisional &amp; regional caseload%'!$B$29,'caseload data'!$D:$D,"TPO")/SUMIF('caseload data'!$C:$C,'divisional &amp; regional caseload%'!$B$29,'caseload data'!G:G),"")</f>
        <v/>
      </c>
      <c r="F33" s="187" t="str">
        <f>IFERROR(SUMIFS('caseload data'!H:H,'caseload data'!$C:$C,'divisional &amp; regional caseload%'!$B$29,'caseload data'!$D:$D,"TPO")/SUMIF('caseload data'!$C:$C,'divisional &amp; regional caseload%'!$B$29,'caseload data'!H:H),"")</f>
        <v/>
      </c>
      <c r="G33" s="187" t="str">
        <f>IFERROR(SUMIFS('caseload data'!I:I,'caseload data'!$C:$C,'divisional &amp; regional caseload%'!$B$29,'caseload data'!$D:$D,"TPO")/SUMIF('caseload data'!$C:$C,'divisional &amp; regional caseload%'!$B$29,'caseload data'!I:I),"")</f>
        <v/>
      </c>
      <c r="H33" s="187" t="str">
        <f>IFERROR(SUMIFS('caseload data'!J:J,'caseload data'!$C:$C,'divisional &amp; regional caseload%'!$B$29,'caseload data'!$D:$D,"TPO")/SUMIF('caseload data'!$C:$C,'divisional &amp; regional caseload%'!$B$29,'caseload data'!J:J),"")</f>
        <v/>
      </c>
      <c r="I33" s="187" t="str">
        <f>IFERROR(SUMIFS('caseload data'!K:K,'caseload data'!$C:$C,'divisional &amp; regional caseload%'!$B$29,'caseload data'!$D:$D,"TPO")/SUMIF('caseload data'!$C:$C,'divisional &amp; regional caseload%'!$B$29,'caseload data'!K:K),"")</f>
        <v/>
      </c>
      <c r="J33" s="187" t="str">
        <f>IFERROR(SUMIFS('caseload data'!L:L,'caseload data'!$C:$C,'divisional &amp; regional caseload%'!$B$29,'caseload data'!$D:$D,"TPO")/SUMIF('caseload data'!$C:$C,'divisional &amp; regional caseload%'!$B$29,'caseload data'!L:L),"")</f>
        <v/>
      </c>
      <c r="K33" s="187" t="str">
        <f>IFERROR(SUMIFS('caseload data'!M:M,'caseload data'!$C:$C,'divisional &amp; regional caseload%'!$B$29,'caseload data'!$D:$D,"TPO")/SUMIF('caseload data'!$C:$C,'divisional &amp; regional caseload%'!$B$29,'caseload data'!M:M),"")</f>
        <v/>
      </c>
      <c r="L33" s="187" t="str">
        <f>IFERROR(SUMIFS('caseload data'!N:N,'caseload data'!$C:$C,'divisional &amp; regional caseload%'!$B$29,'caseload data'!$D:$D,"TPO")/SUMIF('caseload data'!$C:$C,'divisional &amp; regional caseload%'!$B$29,'caseload data'!N:N),"")</f>
        <v/>
      </c>
      <c r="M33" s="187" t="str">
        <f>IFERROR(SUMIFS('caseload data'!O:O,'caseload data'!$C:$C,'divisional &amp; regional caseload%'!$B$29,'caseload data'!$D:$D,"TPO")/SUMIF('caseload data'!$C:$C,'divisional &amp; regional caseload%'!$B$29,'caseload data'!O:O),"")</f>
        <v/>
      </c>
      <c r="N33" s="187" t="str">
        <f>IFERROR(SUMIFS('caseload data'!P:P,'caseload data'!$C:$C,'divisional &amp; regional caseload%'!$B$29,'caseload data'!$D:$D,"TPO")/SUMIF('caseload data'!$C:$C,'divisional &amp; regional caseload%'!$B$29,'caseload data'!P:P),"")</f>
        <v/>
      </c>
      <c r="O33" s="187" t="str">
        <f>IFERROR(SUMIFS('caseload data'!Q:Q,'caseload data'!$C:$C,'divisional &amp; regional caseload%'!$B$29,'caseload data'!$D:$D,"TPO")/SUMIF('caseload data'!$C:$C,'divisional &amp; regional caseload%'!$B$29,'caseload data'!Q:Q),"")</f>
        <v/>
      </c>
      <c r="P33" s="187" t="str">
        <f>IFERROR(SUMIFS('caseload data'!R:R,'caseload data'!$C:$C,'divisional &amp; regional caseload%'!$B$29,'caseload data'!$D:$D,"TPO")/SUMIF('caseload data'!$C:$C,'divisional &amp; regional caseload%'!$B$29,'caseload data'!R:R),"")</f>
        <v/>
      </c>
      <c r="Q33" s="187" t="str">
        <f>IFERROR(SUMIFS('caseload data'!S:S,'caseload data'!$C:$C,'divisional &amp; regional caseload%'!$B$29,'caseload data'!$D:$D,"TPO")/SUMIF('caseload data'!$C:$C,'divisional &amp; regional caseload%'!$B$29,'caseload data'!S:S),"")</f>
        <v/>
      </c>
      <c r="R33" s="187" t="str">
        <f>IFERROR(SUMIFS('caseload data'!T:T,'caseload data'!$C:$C,'divisional &amp; regional caseload%'!$B$29,'caseload data'!$D:$D,"TPO")/SUMIF('caseload data'!$C:$C,'divisional &amp; regional caseload%'!$B$29,'caseload data'!T:T),"")</f>
        <v/>
      </c>
      <c r="S33" s="76"/>
      <c r="T33" s="110" t="s">
        <v>1039</v>
      </c>
      <c r="U33" s="187" t="str">
        <f>IFERROR(SUMIFS('caseload data'!E:E,'caseload data'!$C:$C,'divisional &amp; regional caseload%'!$T$29,'caseload data'!$D:$D,"TPO")/SUMIF('caseload data'!$C:$C,'divisional &amp; regional caseload%'!$T$29,'caseload data'!E:E),"")</f>
        <v/>
      </c>
      <c r="V33" s="187" t="str">
        <f>IFERROR(SUMIFS('caseload data'!F:F,'caseload data'!$C:$C,'divisional &amp; regional caseload%'!$T$29,'caseload data'!$D:$D,"TPO")/SUMIF('caseload data'!$C:$C,'divisional &amp; regional caseload%'!$T$29,'caseload data'!F:F),"")</f>
        <v/>
      </c>
      <c r="W33" s="187" t="str">
        <f>IFERROR(SUMIFS('caseload data'!G:G,'caseload data'!$C:$C,'divisional &amp; regional caseload%'!$T$29,'caseload data'!$D:$D,"TPO")/SUMIF('caseload data'!$C:$C,'divisional &amp; regional caseload%'!$T$29,'caseload data'!G:G),"")</f>
        <v/>
      </c>
      <c r="X33" s="187" t="str">
        <f>IFERROR(SUMIFS('caseload data'!H:H,'caseload data'!$C:$C,'divisional &amp; regional caseload%'!$T$29,'caseload data'!$D:$D,"TPO")/SUMIF('caseload data'!$C:$C,'divisional &amp; regional caseload%'!$T$29,'caseload data'!H:H),"")</f>
        <v/>
      </c>
      <c r="Y33" s="187" t="str">
        <f>IFERROR(SUMIFS('caseload data'!I:I,'caseload data'!$C:$C,'divisional &amp; regional caseload%'!$T$29,'caseload data'!$D:$D,"TPO")/SUMIF('caseload data'!$C:$C,'divisional &amp; regional caseload%'!$T$29,'caseload data'!I:I),"")</f>
        <v/>
      </c>
      <c r="Z33" s="187" t="str">
        <f>IFERROR(SUMIFS('caseload data'!J:J,'caseload data'!$C:$C,'divisional &amp; regional caseload%'!$T$29,'caseload data'!$D:$D,"TPO")/SUMIF('caseload data'!$C:$C,'divisional &amp; regional caseload%'!$T$29,'caseload data'!J:J),"")</f>
        <v/>
      </c>
      <c r="AA33" s="187" t="str">
        <f>IFERROR(SUMIFS('caseload data'!K:K,'caseload data'!$C:$C,'divisional &amp; regional caseload%'!$T$29,'caseload data'!$D:$D,"TPO")/SUMIF('caseload data'!$C:$C,'divisional &amp; regional caseload%'!$T$29,'caseload data'!K:K),"")</f>
        <v/>
      </c>
      <c r="AB33" s="187" t="str">
        <f>IFERROR(SUMIFS('caseload data'!L:L,'caseload data'!$C:$C,'divisional &amp; regional caseload%'!$T$29,'caseload data'!$D:$D,"TPO")/SUMIF('caseload data'!$C:$C,'divisional &amp; regional caseload%'!$T$29,'caseload data'!L:L),"")</f>
        <v/>
      </c>
      <c r="AC33" s="187" t="str">
        <f>IFERROR(SUMIFS('caseload data'!M:M,'caseload data'!$C:$C,'divisional &amp; regional caseload%'!$T$29,'caseload data'!$D:$D,"TPO")/SUMIF('caseload data'!$C:$C,'divisional &amp; regional caseload%'!$T$29,'caseload data'!M:M),"")</f>
        <v/>
      </c>
      <c r="AD33" s="187" t="str">
        <f>IFERROR(SUMIFS('caseload data'!N:N,'caseload data'!$C:$C,'divisional &amp; regional caseload%'!$T$29,'caseload data'!$D:$D,"TPO")/SUMIF('caseload data'!$C:$C,'divisional &amp; regional caseload%'!$T$29,'caseload data'!N:N),"")</f>
        <v/>
      </c>
      <c r="AE33" s="187" t="str">
        <f>IFERROR(SUMIFS('caseload data'!O:O,'caseload data'!$C:$C,'divisional &amp; regional caseload%'!$T$29,'caseload data'!$D:$D,"TPO")/SUMIF('caseload data'!$C:$C,'divisional &amp; regional caseload%'!$T$29,'caseload data'!O:O),"")</f>
        <v/>
      </c>
      <c r="AF33" s="187" t="str">
        <f>IFERROR(SUMIFS('caseload data'!P:P,'caseload data'!$C:$C,'divisional &amp; regional caseload%'!$T$29,'caseload data'!$D:$D,"TPO")/SUMIF('caseload data'!$C:$C,'divisional &amp; regional caseload%'!$T$29,'caseload data'!P:P),"")</f>
        <v/>
      </c>
      <c r="AG33" s="187" t="str">
        <f>IFERROR(SUMIFS('caseload data'!Q:Q,'caseload data'!$C:$C,'divisional &amp; regional caseload%'!$T$29,'caseload data'!$D:$D,"TPO")/SUMIF('caseload data'!$C:$C,'divisional &amp; regional caseload%'!$T$29,'caseload data'!Q:Q),"")</f>
        <v/>
      </c>
      <c r="AH33" s="187" t="str">
        <f>IFERROR(SUMIFS('caseload data'!R:R,'caseload data'!$C:$C,'divisional &amp; regional caseload%'!$T$29,'caseload data'!$D:$D,"TPO")/SUMIF('caseload data'!$C:$C,'divisional &amp; regional caseload%'!$T$29,'caseload data'!R:R),"")</f>
        <v/>
      </c>
      <c r="AI33" s="187" t="str">
        <f>IFERROR(SUMIFS('caseload data'!S:S,'caseload data'!$C:$C,'divisional &amp; regional caseload%'!$T$29,'caseload data'!$D:$D,"TPO")/SUMIF('caseload data'!$C:$C,'divisional &amp; regional caseload%'!$T$29,'caseload data'!S:S),"")</f>
        <v/>
      </c>
      <c r="AJ33" s="187" t="str">
        <f>IFERROR(SUMIFS('caseload data'!T:T,'caseload data'!$C:$C,'divisional &amp; regional caseload%'!$T$29,'caseload data'!$D:$D,"TPO")/SUMIF('caseload data'!$C:$C,'divisional &amp; regional caseload%'!$T$29,'caseload data'!T:T),"")</f>
        <v/>
      </c>
    </row>
    <row r="34" spans="2:36" x14ac:dyDescent="0.15">
      <c r="B34" s="111" t="s">
        <v>1040</v>
      </c>
      <c r="C34" s="187" t="str">
        <f>IFERROR(SUMIFS('caseload data'!E:E,'caseload data'!$C:$C,'divisional &amp; regional caseload%'!$B$29,'caseload data'!$D:$D,"SPO")/SUMIF('caseload data'!$C:$C,'divisional &amp; regional caseload%'!$B$29,'caseload data'!E:E),"")</f>
        <v/>
      </c>
      <c r="D34" s="187" t="str">
        <f>IFERROR(SUMIFS('caseload data'!F:F,'caseload data'!$C:$C,'divisional &amp; regional caseload%'!$B$29,'caseload data'!$D:$D,"SPO")/SUMIF('caseload data'!$C:$C,'divisional &amp; regional caseload%'!$B$29,'caseload data'!F:F),"")</f>
        <v/>
      </c>
      <c r="E34" s="187" t="str">
        <f>IFERROR(SUMIFS('caseload data'!G:G,'caseload data'!$C:$C,'divisional &amp; regional caseload%'!$B$29,'caseload data'!$D:$D,"SPO")/SUMIF('caseload data'!$C:$C,'divisional &amp; regional caseload%'!$B$29,'caseload data'!G:G),"")</f>
        <v/>
      </c>
      <c r="F34" s="187" t="str">
        <f>IFERROR(SUMIFS('caseload data'!H:H,'caseload data'!$C:$C,'divisional &amp; regional caseload%'!$B$29,'caseload data'!$D:$D,"SPO")/SUMIF('caseload data'!$C:$C,'divisional &amp; regional caseload%'!$B$29,'caseload data'!H:H),"")</f>
        <v/>
      </c>
      <c r="G34" s="187" t="str">
        <f>IFERROR(SUMIFS('caseload data'!I:I,'caseload data'!$C:$C,'divisional &amp; regional caseload%'!$B$29,'caseload data'!$D:$D,"SPO")/SUMIF('caseload data'!$C:$C,'divisional &amp; regional caseload%'!$B$29,'caseload data'!I:I),"")</f>
        <v/>
      </c>
      <c r="H34" s="187" t="str">
        <f>IFERROR(SUMIFS('caseload data'!J:J,'caseload data'!$C:$C,'divisional &amp; regional caseload%'!$B$29,'caseload data'!$D:$D,"SPO")/SUMIF('caseload data'!$C:$C,'divisional &amp; regional caseload%'!$B$29,'caseload data'!J:J),"")</f>
        <v/>
      </c>
      <c r="I34" s="187" t="str">
        <f>IFERROR(SUMIFS('caseload data'!K:K,'caseload data'!$C:$C,'divisional &amp; regional caseload%'!$B$29,'caseload data'!$D:$D,"SPO")/SUMIF('caseload data'!$C:$C,'divisional &amp; regional caseload%'!$B$29,'caseload data'!K:K),"")</f>
        <v/>
      </c>
      <c r="J34" s="187" t="str">
        <f>IFERROR(SUMIFS('caseload data'!L:L,'caseload data'!$C:$C,'divisional &amp; regional caseload%'!$B$29,'caseload data'!$D:$D,"SPO")/SUMIF('caseload data'!$C:$C,'divisional &amp; regional caseload%'!$B$29,'caseload data'!L:L),"")</f>
        <v/>
      </c>
      <c r="K34" s="187" t="str">
        <f>IFERROR(SUMIFS('caseload data'!M:M,'caseload data'!$C:$C,'divisional &amp; regional caseload%'!$B$29,'caseload data'!$D:$D,"SPO")/SUMIF('caseload data'!$C:$C,'divisional &amp; regional caseload%'!$B$29,'caseload data'!M:M),"")</f>
        <v/>
      </c>
      <c r="L34" s="187" t="str">
        <f>IFERROR(SUMIFS('caseload data'!N:N,'caseload data'!$C:$C,'divisional &amp; regional caseload%'!$B$29,'caseload data'!$D:$D,"SPO")/SUMIF('caseload data'!$C:$C,'divisional &amp; regional caseload%'!$B$29,'caseload data'!N:N),"")</f>
        <v/>
      </c>
      <c r="M34" s="187" t="str">
        <f>IFERROR(SUMIFS('caseload data'!O:O,'caseload data'!$C:$C,'divisional &amp; regional caseload%'!$B$29,'caseload data'!$D:$D,"SPO")/SUMIF('caseload data'!$C:$C,'divisional &amp; regional caseload%'!$B$29,'caseload data'!O:O),"")</f>
        <v/>
      </c>
      <c r="N34" s="187" t="str">
        <f>IFERROR(SUMIFS('caseload data'!P:P,'caseload data'!$C:$C,'divisional &amp; regional caseload%'!$B$29,'caseload data'!$D:$D,"SPO")/SUMIF('caseload data'!$C:$C,'divisional &amp; regional caseload%'!$B$29,'caseload data'!P:P),"")</f>
        <v/>
      </c>
      <c r="O34" s="187" t="str">
        <f>IFERROR(SUMIFS('caseload data'!Q:Q,'caseload data'!$C:$C,'divisional &amp; regional caseload%'!$B$29,'caseload data'!$D:$D,"SPO")/SUMIF('caseload data'!$C:$C,'divisional &amp; regional caseload%'!$B$29,'caseload data'!Q:Q),"")</f>
        <v/>
      </c>
      <c r="P34" s="187" t="str">
        <f>IFERROR(SUMIFS('caseload data'!R:R,'caseload data'!$C:$C,'divisional &amp; regional caseload%'!$B$29,'caseload data'!$D:$D,"SPO")/SUMIF('caseload data'!$C:$C,'divisional &amp; regional caseload%'!$B$29,'caseload data'!R:R),"")</f>
        <v/>
      </c>
      <c r="Q34" s="187" t="str">
        <f>IFERROR(SUMIFS('caseload data'!S:S,'caseload data'!$C:$C,'divisional &amp; regional caseload%'!$B$29,'caseload data'!$D:$D,"SPO")/SUMIF('caseload data'!$C:$C,'divisional &amp; regional caseload%'!$B$29,'caseload data'!S:S),"")</f>
        <v/>
      </c>
      <c r="R34" s="187" t="str">
        <f>IFERROR(SUMIFS('caseload data'!T:T,'caseload data'!$C:$C,'divisional &amp; regional caseload%'!$B$29,'caseload data'!$D:$D,"SPO")/SUMIF('caseload data'!$C:$C,'divisional &amp; regional caseload%'!$B$29,'caseload data'!T:T),"")</f>
        <v/>
      </c>
      <c r="S34" s="76"/>
      <c r="T34" s="111" t="s">
        <v>1040</v>
      </c>
      <c r="U34" s="187" t="str">
        <f>IFERROR(SUMIFS('caseload data'!E:E,'caseload data'!$C:$C,'divisional &amp; regional caseload%'!$T$29,'caseload data'!$D:$D,"SPO")/SUMIF('caseload data'!$C:$C,'divisional &amp; regional caseload%'!$T$29,'caseload data'!E:E),"")</f>
        <v/>
      </c>
      <c r="V34" s="187" t="str">
        <f>IFERROR(SUMIFS('caseload data'!F:F,'caseload data'!$C:$C,'divisional &amp; regional caseload%'!$T$29,'caseload data'!$D:$D,"SPO")/SUMIF('caseload data'!$C:$C,'divisional &amp; regional caseload%'!$T$29,'caseload data'!F:F),"")</f>
        <v/>
      </c>
      <c r="W34" s="187" t="str">
        <f>IFERROR(SUMIFS('caseload data'!G:G,'caseload data'!$C:$C,'divisional &amp; regional caseload%'!$T$29,'caseload data'!$D:$D,"SPO")/SUMIF('caseload data'!$C:$C,'divisional &amp; regional caseload%'!$T$29,'caseload data'!G:G),"")</f>
        <v/>
      </c>
      <c r="X34" s="187" t="str">
        <f>IFERROR(SUMIFS('caseload data'!H:H,'caseload data'!$C:$C,'divisional &amp; regional caseload%'!$T$29,'caseload data'!$D:$D,"SPO")/SUMIF('caseload data'!$C:$C,'divisional &amp; regional caseload%'!$T$29,'caseload data'!H:H),"")</f>
        <v/>
      </c>
      <c r="Y34" s="187" t="str">
        <f>IFERROR(SUMIFS('caseload data'!I:I,'caseload data'!$C:$C,'divisional &amp; regional caseload%'!$T$29,'caseload data'!$D:$D,"SPO")/SUMIF('caseload data'!$C:$C,'divisional &amp; regional caseload%'!$T$29,'caseload data'!I:I),"")</f>
        <v/>
      </c>
      <c r="Z34" s="187" t="str">
        <f>IFERROR(SUMIFS('caseload data'!J:J,'caseload data'!$C:$C,'divisional &amp; regional caseload%'!$T$29,'caseload data'!$D:$D,"SPO")/SUMIF('caseload data'!$C:$C,'divisional &amp; regional caseload%'!$T$29,'caseload data'!J:J),"")</f>
        <v/>
      </c>
      <c r="AA34" s="187" t="str">
        <f>IFERROR(SUMIFS('caseload data'!K:K,'caseload data'!$C:$C,'divisional &amp; regional caseload%'!$T$29,'caseload data'!$D:$D,"SPO")/SUMIF('caseload data'!$C:$C,'divisional &amp; regional caseload%'!$T$29,'caseload data'!K:K),"")</f>
        <v/>
      </c>
      <c r="AB34" s="187" t="str">
        <f>IFERROR(SUMIFS('caseload data'!L:L,'caseload data'!$C:$C,'divisional &amp; regional caseload%'!$T$29,'caseload data'!$D:$D,"SPO")/SUMIF('caseload data'!$C:$C,'divisional &amp; regional caseload%'!$T$29,'caseload data'!L:L),"")</f>
        <v/>
      </c>
      <c r="AC34" s="187" t="str">
        <f>IFERROR(SUMIFS('caseload data'!M:M,'caseload data'!$C:$C,'divisional &amp; regional caseload%'!$T$29,'caseload data'!$D:$D,"SPO")/SUMIF('caseload data'!$C:$C,'divisional &amp; regional caseload%'!$T$29,'caseload data'!M:M),"")</f>
        <v/>
      </c>
      <c r="AD34" s="187" t="str">
        <f>IFERROR(SUMIFS('caseload data'!N:N,'caseload data'!$C:$C,'divisional &amp; regional caseload%'!$T$29,'caseload data'!$D:$D,"SPO")/SUMIF('caseload data'!$C:$C,'divisional &amp; regional caseload%'!$T$29,'caseload data'!N:N),"")</f>
        <v/>
      </c>
      <c r="AE34" s="187" t="str">
        <f>IFERROR(SUMIFS('caseload data'!O:O,'caseload data'!$C:$C,'divisional &amp; regional caseload%'!$T$29,'caseload data'!$D:$D,"SPO")/SUMIF('caseload data'!$C:$C,'divisional &amp; regional caseload%'!$T$29,'caseload data'!O:O),"")</f>
        <v/>
      </c>
      <c r="AF34" s="187" t="str">
        <f>IFERROR(SUMIFS('caseload data'!P:P,'caseload data'!$C:$C,'divisional &amp; regional caseload%'!$T$29,'caseload data'!$D:$D,"SPO")/SUMIF('caseload data'!$C:$C,'divisional &amp; regional caseload%'!$T$29,'caseload data'!P:P),"")</f>
        <v/>
      </c>
      <c r="AG34" s="187" t="str">
        <f>IFERROR(SUMIFS('caseload data'!Q:Q,'caseload data'!$C:$C,'divisional &amp; regional caseload%'!$T$29,'caseload data'!$D:$D,"SPO")/SUMIF('caseload data'!$C:$C,'divisional &amp; regional caseload%'!$T$29,'caseload data'!Q:Q),"")</f>
        <v/>
      </c>
      <c r="AH34" s="187" t="str">
        <f>IFERROR(SUMIFS('caseload data'!R:R,'caseload data'!$C:$C,'divisional &amp; regional caseload%'!$T$29,'caseload data'!$D:$D,"SPO")/SUMIF('caseload data'!$C:$C,'divisional &amp; regional caseload%'!$T$29,'caseload data'!R:R),"")</f>
        <v/>
      </c>
      <c r="AI34" s="187" t="str">
        <f>IFERROR(SUMIFS('caseload data'!S:S,'caseload data'!$C:$C,'divisional &amp; regional caseload%'!$T$29,'caseload data'!$D:$D,"SPO")/SUMIF('caseload data'!$C:$C,'divisional &amp; regional caseload%'!$T$29,'caseload data'!S:S),"")</f>
        <v/>
      </c>
      <c r="AJ34" s="187" t="str">
        <f>IFERROR(SUMIFS('caseload data'!T:T,'caseload data'!$C:$C,'divisional &amp; regional caseload%'!$T$29,'caseload data'!$D:$D,"SPO")/SUMIF('caseload data'!$C:$C,'divisional &amp; regional caseload%'!$T$29,'caseload data'!T:T),"")</f>
        <v/>
      </c>
    </row>
    <row r="35" spans="2:36" x14ac:dyDescent="0.15">
      <c r="B35" s="10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104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</row>
    <row r="36" spans="2:36" ht="27.75" customHeight="1" x14ac:dyDescent="0.15">
      <c r="B36" s="162" t="str">
        <f>HLOOKUP($B$5,Region_Table,10,0)</f>
        <v>Liverpool North - N51</v>
      </c>
      <c r="C36" s="333" t="s">
        <v>1258</v>
      </c>
      <c r="D36" s="334"/>
      <c r="E36" s="334"/>
      <c r="F36" s="334"/>
      <c r="G36" s="334"/>
      <c r="H36" s="334"/>
      <c r="I36" s="334"/>
      <c r="J36" s="334"/>
      <c r="K36" s="334"/>
      <c r="L36" s="334"/>
      <c r="M36" s="343"/>
      <c r="N36" s="343"/>
      <c r="O36" s="344"/>
      <c r="P36" s="337">
        <f>SUMIF('caseload data'!$C:$C,'divisional &amp; regional caseload%'!B36,'caseload data'!V:V)</f>
        <v>0</v>
      </c>
      <c r="Q36" s="345"/>
      <c r="R36" s="346"/>
      <c r="S36" s="76"/>
      <c r="T36" s="162" t="str">
        <f>HLOOKUP($B$5,Region_Table,11,0)</f>
        <v>Liverpool South - N51</v>
      </c>
      <c r="U36" s="333" t="s">
        <v>1257</v>
      </c>
      <c r="V36" s="334"/>
      <c r="W36" s="334"/>
      <c r="X36" s="334"/>
      <c r="Y36" s="334"/>
      <c r="Z36" s="334"/>
      <c r="AA36" s="334"/>
      <c r="AB36" s="334"/>
      <c r="AC36" s="334"/>
      <c r="AD36" s="334"/>
      <c r="AE36" s="343"/>
      <c r="AF36" s="343"/>
      <c r="AG36" s="344"/>
      <c r="AH36" s="337">
        <f>SUMIF('caseload data'!$C:$C,'divisional &amp; regional caseload%'!T36,'caseload data'!V:V)</f>
        <v>0</v>
      </c>
      <c r="AI36" s="345"/>
      <c r="AJ36" s="346"/>
    </row>
    <row r="37" spans="2:36" x14ac:dyDescent="0.15">
      <c r="B37" s="108" t="s">
        <v>1199</v>
      </c>
      <c r="C37" s="42" t="s">
        <v>1019</v>
      </c>
      <c r="D37" s="42" t="s">
        <v>1020</v>
      </c>
      <c r="E37" s="42" t="s">
        <v>1021</v>
      </c>
      <c r="F37" s="42" t="s">
        <v>1022</v>
      </c>
      <c r="G37" s="42" t="s">
        <v>1023</v>
      </c>
      <c r="H37" s="42" t="s">
        <v>1024</v>
      </c>
      <c r="I37" s="42" t="s">
        <v>1025</v>
      </c>
      <c r="J37" s="42" t="s">
        <v>1026</v>
      </c>
      <c r="K37" s="42" t="s">
        <v>1027</v>
      </c>
      <c r="L37" s="42" t="s">
        <v>1028</v>
      </c>
      <c r="M37" s="42" t="s">
        <v>1029</v>
      </c>
      <c r="N37" s="42" t="s">
        <v>1030</v>
      </c>
      <c r="O37" s="42" t="s">
        <v>1031</v>
      </c>
      <c r="P37" s="42" t="s">
        <v>1032</v>
      </c>
      <c r="Q37" s="42" t="s">
        <v>1033</v>
      </c>
      <c r="R37" s="42" t="s">
        <v>1034</v>
      </c>
      <c r="S37" s="76"/>
      <c r="T37" s="108" t="s">
        <v>1199</v>
      </c>
      <c r="U37" s="42" t="s">
        <v>1019</v>
      </c>
      <c r="V37" s="42" t="s">
        <v>1020</v>
      </c>
      <c r="W37" s="42" t="s">
        <v>1021</v>
      </c>
      <c r="X37" s="42" t="s">
        <v>1022</v>
      </c>
      <c r="Y37" s="42" t="s">
        <v>1023</v>
      </c>
      <c r="Z37" s="42" t="s">
        <v>1024</v>
      </c>
      <c r="AA37" s="42" t="s">
        <v>1025</v>
      </c>
      <c r="AB37" s="42" t="s">
        <v>1026</v>
      </c>
      <c r="AC37" s="42" t="s">
        <v>1027</v>
      </c>
      <c r="AD37" s="42" t="s">
        <v>1028</v>
      </c>
      <c r="AE37" s="42" t="s">
        <v>1029</v>
      </c>
      <c r="AF37" s="42" t="s">
        <v>1030</v>
      </c>
      <c r="AG37" s="42" t="s">
        <v>1031</v>
      </c>
      <c r="AH37" s="42" t="s">
        <v>1032</v>
      </c>
      <c r="AI37" s="42" t="s">
        <v>1033</v>
      </c>
      <c r="AJ37" s="42" t="s">
        <v>1034</v>
      </c>
    </row>
    <row r="38" spans="2:36" x14ac:dyDescent="0.15">
      <c r="B38" s="109" t="s">
        <v>1037</v>
      </c>
      <c r="C38" s="187" t="str">
        <f>IFERROR(SUMIFS('caseload data'!E:E,'caseload data'!$C:$C,'divisional &amp; regional caseload%'!$B$36,'caseload data'!$D:$D,"PO")/SUMIF('caseload data'!$C:$C,'divisional &amp; regional caseload%'!$B$36,'caseload data'!E:E),"")</f>
        <v/>
      </c>
      <c r="D38" s="187" t="str">
        <f>IFERROR(SUMIFS('caseload data'!F:F,'caseload data'!$C:$C,'divisional &amp; regional caseload%'!$B$36,'caseload data'!$D:$D,"PO")/SUMIF('caseload data'!$C:$C,'divisional &amp; regional caseload%'!$B$36,'caseload data'!F:F),"")</f>
        <v/>
      </c>
      <c r="E38" s="187" t="str">
        <f>IFERROR(SUMIFS('caseload data'!G:G,'caseload data'!$C:$C,'divisional &amp; regional caseload%'!$B$36,'caseload data'!$D:$D,"PO")/SUMIF('caseload data'!$C:$C,'divisional &amp; regional caseload%'!$B$36,'caseload data'!G:G),"")</f>
        <v/>
      </c>
      <c r="F38" s="187" t="str">
        <f>IFERROR(SUMIFS('caseload data'!H:H,'caseload data'!$C:$C,'divisional &amp; regional caseload%'!$B$36,'caseload data'!$D:$D,"PO")/SUMIF('caseload data'!$C:$C,'divisional &amp; regional caseload%'!$B$36,'caseload data'!H:H),"")</f>
        <v/>
      </c>
      <c r="G38" s="187" t="str">
        <f>IFERROR(SUMIFS('caseload data'!I:I,'caseload data'!$C:$C,'divisional &amp; regional caseload%'!$B$36,'caseload data'!$D:$D,"PO")/SUMIF('caseload data'!$C:$C,'divisional &amp; regional caseload%'!$B$36,'caseload data'!I:I),"")</f>
        <v/>
      </c>
      <c r="H38" s="187" t="str">
        <f>IFERROR(SUMIFS('caseload data'!J:J,'caseload data'!$C:$C,'divisional &amp; regional caseload%'!$B$36,'caseload data'!$D:$D,"PO")/SUMIF('caseload data'!$C:$C,'divisional &amp; regional caseload%'!$B$36,'caseload data'!J:J),"")</f>
        <v/>
      </c>
      <c r="I38" s="187" t="str">
        <f>IFERROR(SUMIFS('caseload data'!K:K,'caseload data'!$C:$C,'divisional &amp; regional caseload%'!$B$36,'caseload data'!$D:$D,"PO")/SUMIF('caseload data'!$C:$C,'divisional &amp; regional caseload%'!$B$36,'caseload data'!K:K),"")</f>
        <v/>
      </c>
      <c r="J38" s="187" t="str">
        <f>IFERROR(SUMIFS('caseload data'!L:L,'caseload data'!$C:$C,'divisional &amp; regional caseload%'!$B$36,'caseload data'!$D:$D,"PO")/SUMIF('caseload data'!$C:$C,'divisional &amp; regional caseload%'!$B$36,'caseload data'!L:L),"")</f>
        <v/>
      </c>
      <c r="K38" s="187" t="str">
        <f>IFERROR(SUMIFS('caseload data'!M:M,'caseload data'!$C:$C,'divisional &amp; regional caseload%'!$B$36,'caseload data'!$D:$D,"PO")/SUMIF('caseload data'!$C:$C,'divisional &amp; regional caseload%'!$B$36,'caseload data'!M:M),"")</f>
        <v/>
      </c>
      <c r="L38" s="187" t="str">
        <f>IFERROR(SUMIFS('caseload data'!N:N,'caseload data'!$C:$C,'divisional &amp; regional caseload%'!$B$36,'caseload data'!$D:$D,"PO")/SUMIF('caseload data'!$C:$C,'divisional &amp; regional caseload%'!$B$36,'caseload data'!N:N),"")</f>
        <v/>
      </c>
      <c r="M38" s="187" t="str">
        <f>IFERROR(SUMIFS('caseload data'!O:O,'caseload data'!$C:$C,'divisional &amp; regional caseload%'!$B$36,'caseload data'!$D:$D,"PO")/SUMIF('caseload data'!$C:$C,'divisional &amp; regional caseload%'!$B$36,'caseload data'!O:O),"")</f>
        <v/>
      </c>
      <c r="N38" s="187" t="str">
        <f>IFERROR(SUMIFS('caseload data'!P:P,'caseload data'!$C:$C,'divisional &amp; regional caseload%'!$B$36,'caseload data'!$D:$D,"PO")/SUMIF('caseload data'!$C:$C,'divisional &amp; regional caseload%'!$B$36,'caseload data'!P:P),"")</f>
        <v/>
      </c>
      <c r="O38" s="187" t="str">
        <f>IFERROR(SUMIFS('caseload data'!Q:Q,'caseload data'!$C:$C,'divisional &amp; regional caseload%'!$B$36,'caseload data'!$D:$D,"PO")/SUMIF('caseload data'!$C:$C,'divisional &amp; regional caseload%'!$B$36,'caseload data'!Q:Q),"")</f>
        <v/>
      </c>
      <c r="P38" s="187" t="str">
        <f>IFERROR(SUMIFS('caseload data'!R:R,'caseload data'!$C:$C,'divisional &amp; regional caseload%'!$B$36,'caseload data'!$D:$D,"PO")/SUMIF('caseload data'!$C:$C,'divisional &amp; regional caseload%'!$B$36,'caseload data'!R:R),"")</f>
        <v/>
      </c>
      <c r="Q38" s="187" t="str">
        <f>IFERROR(SUMIFS('caseload data'!S:S,'caseload data'!$C:$C,'divisional &amp; regional caseload%'!$B$36,'caseload data'!$D:$D,"PO")/SUMIF('caseload data'!$C:$C,'divisional &amp; regional caseload%'!$B$36,'caseload data'!S:S),"")</f>
        <v/>
      </c>
      <c r="R38" s="187" t="str">
        <f>IFERROR(SUMIFS('caseload data'!T:T,'caseload data'!$C:$C,'divisional &amp; regional caseload%'!$B$36,'caseload data'!$D:$D,"PO")/SUMIF('caseload data'!$C:$C,'divisional &amp; regional caseload%'!$B$36,'caseload data'!T:T),"")</f>
        <v/>
      </c>
      <c r="S38" s="76"/>
      <c r="T38" s="109" t="s">
        <v>1037</v>
      </c>
      <c r="U38" s="187" t="str">
        <f>IFERROR(SUMIFS('caseload data'!E:E,'caseload data'!$C:$C,'divisional &amp; regional caseload%'!$T$36,'caseload data'!$D:$D,"PO")/SUMIF('caseload data'!$C:$C,'divisional &amp; regional caseload%'!$T$36,'caseload data'!E:E),"")</f>
        <v/>
      </c>
      <c r="V38" s="187" t="str">
        <f>IFERROR(SUMIFS('caseload data'!F:F,'caseload data'!$C:$C,'divisional &amp; regional caseload%'!$T$36,'caseload data'!$D:$D,"PO")/SUMIF('caseload data'!$C:$C,'divisional &amp; regional caseload%'!$T$36,'caseload data'!F:F),"")</f>
        <v/>
      </c>
      <c r="W38" s="187" t="str">
        <f>IFERROR(SUMIFS('caseload data'!G:G,'caseload data'!$C:$C,'divisional &amp; regional caseload%'!$T$36,'caseload data'!$D:$D,"PO")/SUMIF('caseload data'!$C:$C,'divisional &amp; regional caseload%'!$T$36,'caseload data'!G:G),"")</f>
        <v/>
      </c>
      <c r="X38" s="187" t="str">
        <f>IFERROR(SUMIFS('caseload data'!H:H,'caseload data'!$C:$C,'divisional &amp; regional caseload%'!$T$36,'caseload data'!$D:$D,"PO")/SUMIF('caseload data'!$C:$C,'divisional &amp; regional caseload%'!$T$36,'caseload data'!H:H),"")</f>
        <v/>
      </c>
      <c r="Y38" s="187" t="str">
        <f>IFERROR(SUMIFS('caseload data'!I:I,'caseload data'!$C:$C,'divisional &amp; regional caseload%'!$T$36,'caseload data'!$D:$D,"PO")/SUMIF('caseload data'!$C:$C,'divisional &amp; regional caseload%'!$T$36,'caseload data'!I:I),"")</f>
        <v/>
      </c>
      <c r="Z38" s="187" t="str">
        <f>IFERROR(SUMIFS('caseload data'!J:J,'caseload data'!$C:$C,'divisional &amp; regional caseload%'!$T$36,'caseload data'!$D:$D,"PO")/SUMIF('caseload data'!$C:$C,'divisional &amp; regional caseload%'!$T$36,'caseload data'!J:J),"")</f>
        <v/>
      </c>
      <c r="AA38" s="187" t="str">
        <f>IFERROR(SUMIFS('caseload data'!K:K,'caseload data'!$C:$C,'divisional &amp; regional caseload%'!$T$36,'caseload data'!$D:$D,"PO")/SUMIF('caseload data'!$C:$C,'divisional &amp; regional caseload%'!$T$36,'caseload data'!K:K),"")</f>
        <v/>
      </c>
      <c r="AB38" s="187" t="str">
        <f>IFERROR(SUMIFS('caseload data'!L:L,'caseload data'!$C:$C,'divisional &amp; regional caseload%'!$T$36,'caseload data'!$D:$D,"PO")/SUMIF('caseload data'!$C:$C,'divisional &amp; regional caseload%'!$T$36,'caseload data'!L:L),"")</f>
        <v/>
      </c>
      <c r="AC38" s="187" t="str">
        <f>IFERROR(SUMIFS('caseload data'!M:M,'caseload data'!$C:$C,'divisional &amp; regional caseload%'!$T$36,'caseload data'!$D:$D,"PO")/SUMIF('caseload data'!$C:$C,'divisional &amp; regional caseload%'!$T$36,'caseload data'!M:M),"")</f>
        <v/>
      </c>
      <c r="AD38" s="187" t="str">
        <f>IFERROR(SUMIFS('caseload data'!N:N,'caseload data'!$C:$C,'divisional &amp; regional caseload%'!$T$36,'caseload data'!$D:$D,"PO")/SUMIF('caseload data'!$C:$C,'divisional &amp; regional caseload%'!$T$36,'caseload data'!N:N),"")</f>
        <v/>
      </c>
      <c r="AE38" s="187" t="str">
        <f>IFERROR(SUMIFS('caseload data'!O:O,'caseload data'!$C:$C,'divisional &amp; regional caseload%'!$T$36,'caseload data'!$D:$D,"PO")/SUMIF('caseload data'!$C:$C,'divisional &amp; regional caseload%'!$T$36,'caseload data'!O:O),"")</f>
        <v/>
      </c>
      <c r="AF38" s="187" t="str">
        <f>IFERROR(SUMIFS('caseload data'!P:P,'caseload data'!$C:$C,'divisional &amp; regional caseload%'!$T$36,'caseload data'!$D:$D,"PO")/SUMIF('caseload data'!$C:$C,'divisional &amp; regional caseload%'!$T$36,'caseload data'!P:P),"")</f>
        <v/>
      </c>
      <c r="AG38" s="187" t="str">
        <f>IFERROR(SUMIFS('caseload data'!Q:Q,'caseload data'!$C:$C,'divisional &amp; regional caseload%'!$T$36,'caseload data'!$D:$D,"PO")/SUMIF('caseload data'!$C:$C,'divisional &amp; regional caseload%'!$T$36,'caseload data'!Q:Q),"")</f>
        <v/>
      </c>
      <c r="AH38" s="187" t="str">
        <f>IFERROR(SUMIFS('caseload data'!R:R,'caseload data'!$C:$C,'divisional &amp; regional caseload%'!$T$36,'caseload data'!$D:$D,"PO")/SUMIF('caseload data'!$C:$C,'divisional &amp; regional caseload%'!$T$36,'caseload data'!R:R),"")</f>
        <v/>
      </c>
      <c r="AI38" s="187" t="str">
        <f>IFERROR(SUMIFS('caseload data'!S:S,'caseload data'!$C:$C,'divisional &amp; regional caseload%'!$T$36,'caseload data'!$D:$D,"PO")/SUMIF('caseload data'!$C:$C,'divisional &amp; regional caseload%'!$T$36,'caseload data'!S:S),"")</f>
        <v/>
      </c>
      <c r="AJ38" s="187" t="str">
        <f>IFERROR(SUMIFS('caseload data'!T:T,'caseload data'!$C:$C,'divisional &amp; regional caseload%'!$T$36,'caseload data'!$D:$D,"PO")/SUMIF('caseload data'!$C:$C,'divisional &amp; regional caseload%'!$T$36,'caseload data'!T:T),"")</f>
        <v/>
      </c>
    </row>
    <row r="39" spans="2:36" x14ac:dyDescent="0.15">
      <c r="B39" s="110" t="s">
        <v>1038</v>
      </c>
      <c r="C39" s="187" t="str">
        <f>IFERROR(SUMIFS('caseload data'!E:E,'caseload data'!$C:$C,'divisional &amp; regional caseload%'!$B$36,'caseload data'!$D:$D,"PSO")/SUMIF('caseload data'!$C:$C,'divisional &amp; regional caseload%'!$B$36,'caseload data'!E:E),"")</f>
        <v/>
      </c>
      <c r="D39" s="187" t="str">
        <f>IFERROR(SUMIFS('caseload data'!F:F,'caseload data'!$C:$C,'divisional &amp; regional caseload%'!$B$36,'caseload data'!$D:$D,"PSO")/SUMIF('caseload data'!$C:$C,'divisional &amp; regional caseload%'!$B$36,'caseload data'!F:F),"")</f>
        <v/>
      </c>
      <c r="E39" s="187" t="str">
        <f>IFERROR(SUMIFS('caseload data'!G:G,'caseload data'!$C:$C,'divisional &amp; regional caseload%'!$B$36,'caseload data'!$D:$D,"PSO")/SUMIF('caseload data'!$C:$C,'divisional &amp; regional caseload%'!$B$36,'caseload data'!G:G),"")</f>
        <v/>
      </c>
      <c r="F39" s="187" t="str">
        <f>IFERROR(SUMIFS('caseload data'!H:H,'caseload data'!$C:$C,'divisional &amp; regional caseload%'!$B$36,'caseload data'!$D:$D,"PSO")/SUMIF('caseload data'!$C:$C,'divisional &amp; regional caseload%'!$B$36,'caseload data'!H:H),"")</f>
        <v/>
      </c>
      <c r="G39" s="187" t="str">
        <f>IFERROR(SUMIFS('caseload data'!I:I,'caseload data'!$C:$C,'divisional &amp; regional caseload%'!$B$36,'caseload data'!$D:$D,"PSO")/SUMIF('caseload data'!$C:$C,'divisional &amp; regional caseload%'!$B$36,'caseload data'!I:I),"")</f>
        <v/>
      </c>
      <c r="H39" s="187" t="str">
        <f>IFERROR(SUMIFS('caseload data'!J:J,'caseload data'!$C:$C,'divisional &amp; regional caseload%'!$B$36,'caseload data'!$D:$D,"PSO")/SUMIF('caseload data'!$C:$C,'divisional &amp; regional caseload%'!$B$36,'caseload data'!J:J),"")</f>
        <v/>
      </c>
      <c r="I39" s="187" t="str">
        <f>IFERROR(SUMIFS('caseload data'!K:K,'caseload data'!$C:$C,'divisional &amp; regional caseload%'!$B$36,'caseload data'!$D:$D,"PSO")/SUMIF('caseload data'!$C:$C,'divisional &amp; regional caseload%'!$B$36,'caseload data'!K:K),"")</f>
        <v/>
      </c>
      <c r="J39" s="187" t="str">
        <f>IFERROR(SUMIFS('caseload data'!L:L,'caseload data'!$C:$C,'divisional &amp; regional caseload%'!$B$36,'caseload data'!$D:$D,"PSO")/SUMIF('caseload data'!$C:$C,'divisional &amp; regional caseload%'!$B$36,'caseload data'!L:L),"")</f>
        <v/>
      </c>
      <c r="K39" s="187" t="str">
        <f>IFERROR(SUMIFS('caseload data'!M:M,'caseload data'!$C:$C,'divisional &amp; regional caseload%'!$B$36,'caseload data'!$D:$D,"PSO")/SUMIF('caseload data'!$C:$C,'divisional &amp; regional caseload%'!$B$36,'caseload data'!M:M),"")</f>
        <v/>
      </c>
      <c r="L39" s="187" t="str">
        <f>IFERROR(SUMIFS('caseload data'!N:N,'caseload data'!$C:$C,'divisional &amp; regional caseload%'!$B$36,'caseload data'!$D:$D,"PSO")/SUMIF('caseload data'!$C:$C,'divisional &amp; regional caseload%'!$B$36,'caseload data'!N:N),"")</f>
        <v/>
      </c>
      <c r="M39" s="187" t="str">
        <f>IFERROR(SUMIFS('caseload data'!O:O,'caseload data'!$C:$C,'divisional &amp; regional caseload%'!$B$36,'caseload data'!$D:$D,"PSO")/SUMIF('caseload data'!$C:$C,'divisional &amp; regional caseload%'!$B$36,'caseload data'!O:O),"")</f>
        <v/>
      </c>
      <c r="N39" s="187" t="str">
        <f>IFERROR(SUMIFS('caseload data'!P:P,'caseload data'!$C:$C,'divisional &amp; regional caseload%'!$B$36,'caseload data'!$D:$D,"PSO")/SUMIF('caseload data'!$C:$C,'divisional &amp; regional caseload%'!$B$36,'caseload data'!P:P),"")</f>
        <v/>
      </c>
      <c r="O39" s="187" t="str">
        <f>IFERROR(SUMIFS('caseload data'!Q:Q,'caseload data'!$C:$C,'divisional &amp; regional caseload%'!$B$36,'caseload data'!$D:$D,"PSO")/SUMIF('caseload data'!$C:$C,'divisional &amp; regional caseload%'!$B$36,'caseload data'!Q:Q),"")</f>
        <v/>
      </c>
      <c r="P39" s="187" t="str">
        <f>IFERROR(SUMIFS('caseload data'!R:R,'caseload data'!$C:$C,'divisional &amp; regional caseload%'!$B$36,'caseload data'!$D:$D,"PSO")/SUMIF('caseload data'!$C:$C,'divisional &amp; regional caseload%'!$B$36,'caseload data'!R:R),"")</f>
        <v/>
      </c>
      <c r="Q39" s="187" t="str">
        <f>IFERROR(SUMIFS('caseload data'!S:S,'caseload data'!$C:$C,'divisional &amp; regional caseload%'!$B$36,'caseload data'!$D:$D,"PSO")/SUMIF('caseload data'!$C:$C,'divisional &amp; regional caseload%'!$B$36,'caseload data'!S:S),"")</f>
        <v/>
      </c>
      <c r="R39" s="187" t="str">
        <f>IFERROR(SUMIFS('caseload data'!T:T,'caseload data'!$C:$C,'divisional &amp; regional caseload%'!$B$36,'caseload data'!$D:$D,"PSO")/SUMIF('caseload data'!$C:$C,'divisional &amp; regional caseload%'!$B$36,'caseload data'!T:T),"")</f>
        <v/>
      </c>
      <c r="S39" s="76"/>
      <c r="T39" s="110" t="s">
        <v>1038</v>
      </c>
      <c r="U39" s="187" t="str">
        <f>IFERROR(SUMIFS('caseload data'!E:E,'caseload data'!$C:$C,'divisional &amp; regional caseload%'!$T$36,'caseload data'!$D:$D,"PSO")/SUMIF('caseload data'!$C:$C,'divisional &amp; regional caseload%'!$T$36,'caseload data'!E:E),"")</f>
        <v/>
      </c>
      <c r="V39" s="187" t="str">
        <f>IFERROR(SUMIFS('caseload data'!F:F,'caseload data'!$C:$C,'divisional &amp; regional caseload%'!$T$36,'caseload data'!$D:$D,"PSO")/SUMIF('caseload data'!$C:$C,'divisional &amp; regional caseload%'!$T$36,'caseload data'!F:F),"")</f>
        <v/>
      </c>
      <c r="W39" s="187" t="str">
        <f>IFERROR(SUMIFS('caseload data'!G:G,'caseload data'!$C:$C,'divisional &amp; regional caseload%'!$T$36,'caseload data'!$D:$D,"PSO")/SUMIF('caseload data'!$C:$C,'divisional &amp; regional caseload%'!$T$36,'caseload data'!G:G),"")</f>
        <v/>
      </c>
      <c r="X39" s="187" t="str">
        <f>IFERROR(SUMIFS('caseload data'!H:H,'caseload data'!$C:$C,'divisional &amp; regional caseload%'!$T$36,'caseload data'!$D:$D,"PSO")/SUMIF('caseload data'!$C:$C,'divisional &amp; regional caseload%'!$T$36,'caseload data'!H:H),"")</f>
        <v/>
      </c>
      <c r="Y39" s="187" t="str">
        <f>IFERROR(SUMIFS('caseload data'!I:I,'caseload data'!$C:$C,'divisional &amp; regional caseload%'!$T$36,'caseload data'!$D:$D,"PSO")/SUMIF('caseload data'!$C:$C,'divisional &amp; regional caseload%'!$T$36,'caseload data'!I:I),"")</f>
        <v/>
      </c>
      <c r="Z39" s="187" t="str">
        <f>IFERROR(SUMIFS('caseload data'!J:J,'caseload data'!$C:$C,'divisional &amp; regional caseload%'!$T$36,'caseload data'!$D:$D,"PSO")/SUMIF('caseload data'!$C:$C,'divisional &amp; regional caseload%'!$T$36,'caseload data'!J:J),"")</f>
        <v/>
      </c>
      <c r="AA39" s="187" t="str">
        <f>IFERROR(SUMIFS('caseload data'!K:K,'caseload data'!$C:$C,'divisional &amp; regional caseload%'!$T$36,'caseload data'!$D:$D,"PSO")/SUMIF('caseload data'!$C:$C,'divisional &amp; regional caseload%'!$T$36,'caseload data'!K:K),"")</f>
        <v/>
      </c>
      <c r="AB39" s="187" t="str">
        <f>IFERROR(SUMIFS('caseload data'!L:L,'caseload data'!$C:$C,'divisional &amp; regional caseload%'!$T$36,'caseload data'!$D:$D,"PSO")/SUMIF('caseload data'!$C:$C,'divisional &amp; regional caseload%'!$T$36,'caseload data'!L:L),"")</f>
        <v/>
      </c>
      <c r="AC39" s="187" t="str">
        <f>IFERROR(SUMIFS('caseload data'!M:M,'caseload data'!$C:$C,'divisional &amp; regional caseload%'!$T$36,'caseload data'!$D:$D,"PSO")/SUMIF('caseload data'!$C:$C,'divisional &amp; regional caseload%'!$T$36,'caseload data'!M:M),"")</f>
        <v/>
      </c>
      <c r="AD39" s="187" t="str">
        <f>IFERROR(SUMIFS('caseload data'!N:N,'caseload data'!$C:$C,'divisional &amp; regional caseload%'!$T$36,'caseload data'!$D:$D,"PSO")/SUMIF('caseload data'!$C:$C,'divisional &amp; regional caseload%'!$T$36,'caseload data'!N:N),"")</f>
        <v/>
      </c>
      <c r="AE39" s="187" t="str">
        <f>IFERROR(SUMIFS('caseload data'!O:O,'caseload data'!$C:$C,'divisional &amp; regional caseload%'!$T$36,'caseload data'!$D:$D,"PSO")/SUMIF('caseload data'!$C:$C,'divisional &amp; regional caseload%'!$T$36,'caseload data'!O:O),"")</f>
        <v/>
      </c>
      <c r="AF39" s="187" t="str">
        <f>IFERROR(SUMIFS('caseload data'!P:P,'caseload data'!$C:$C,'divisional &amp; regional caseload%'!$T$36,'caseload data'!$D:$D,"PSO")/SUMIF('caseload data'!$C:$C,'divisional &amp; regional caseload%'!$T$36,'caseload data'!P:P),"")</f>
        <v/>
      </c>
      <c r="AG39" s="187" t="str">
        <f>IFERROR(SUMIFS('caseload data'!Q:Q,'caseload data'!$C:$C,'divisional &amp; regional caseload%'!$T$36,'caseload data'!$D:$D,"PSO")/SUMIF('caseload data'!$C:$C,'divisional &amp; regional caseload%'!$T$36,'caseload data'!Q:Q),"")</f>
        <v/>
      </c>
      <c r="AH39" s="187" t="str">
        <f>IFERROR(SUMIFS('caseload data'!R:R,'caseload data'!$C:$C,'divisional &amp; regional caseload%'!$T$36,'caseload data'!$D:$D,"PSO")/SUMIF('caseload data'!$C:$C,'divisional &amp; regional caseload%'!$T$36,'caseload data'!R:R),"")</f>
        <v/>
      </c>
      <c r="AI39" s="187" t="str">
        <f>IFERROR(SUMIFS('caseload data'!S:S,'caseload data'!$C:$C,'divisional &amp; regional caseload%'!$T$36,'caseload data'!$D:$D,"PSO")/SUMIF('caseload data'!$C:$C,'divisional &amp; regional caseload%'!$T$36,'caseload data'!S:S),"")</f>
        <v/>
      </c>
      <c r="AJ39" s="187" t="str">
        <f>IFERROR(SUMIFS('caseload data'!T:T,'caseload data'!$C:$C,'divisional &amp; regional caseload%'!$T$36,'caseload data'!$D:$D,"PSO")/SUMIF('caseload data'!$C:$C,'divisional &amp; regional caseload%'!$T$36,'caseload data'!T:T),"")</f>
        <v/>
      </c>
    </row>
    <row r="40" spans="2:36" x14ac:dyDescent="0.15">
      <c r="B40" s="110" t="s">
        <v>1039</v>
      </c>
      <c r="C40" s="187" t="str">
        <f>IFERROR(SUMIFS('caseload data'!E:E,'caseload data'!$C:$C,'divisional &amp; regional caseload%'!$B$36,'caseload data'!$D:$D,"TPO")/SUMIF('caseload data'!$C:$C,'divisional &amp; regional caseload%'!$B$36,'caseload data'!E:E),"")</f>
        <v/>
      </c>
      <c r="D40" s="187" t="str">
        <f>IFERROR(SUMIFS('caseload data'!F:F,'caseload data'!$C:$C,'divisional &amp; regional caseload%'!$B$36,'caseload data'!$D:$D,"TPO")/SUMIF('caseload data'!$C:$C,'divisional &amp; regional caseload%'!$B$36,'caseload data'!F:F),"")</f>
        <v/>
      </c>
      <c r="E40" s="187" t="str">
        <f>IFERROR(SUMIFS('caseload data'!G:G,'caseload data'!$C:$C,'divisional &amp; regional caseload%'!$B$36,'caseload data'!$D:$D,"TPO")/SUMIF('caseload data'!$C:$C,'divisional &amp; regional caseload%'!$B$36,'caseload data'!G:G),"")</f>
        <v/>
      </c>
      <c r="F40" s="187" t="str">
        <f>IFERROR(SUMIFS('caseload data'!H:H,'caseload data'!$C:$C,'divisional &amp; regional caseload%'!$B$36,'caseload data'!$D:$D,"TPO")/SUMIF('caseload data'!$C:$C,'divisional &amp; regional caseload%'!$B$36,'caseload data'!H:H),"")</f>
        <v/>
      </c>
      <c r="G40" s="187" t="str">
        <f>IFERROR(SUMIFS('caseload data'!I:I,'caseload data'!$C:$C,'divisional &amp; regional caseload%'!$B$36,'caseload data'!$D:$D,"TPO")/SUMIF('caseload data'!$C:$C,'divisional &amp; regional caseload%'!$B$36,'caseload data'!I:I),"")</f>
        <v/>
      </c>
      <c r="H40" s="187" t="str">
        <f>IFERROR(SUMIFS('caseload data'!J:J,'caseload data'!$C:$C,'divisional &amp; regional caseload%'!$B$36,'caseload data'!$D:$D,"TPO")/SUMIF('caseload data'!$C:$C,'divisional &amp; regional caseload%'!$B$36,'caseload data'!J:J),"")</f>
        <v/>
      </c>
      <c r="I40" s="187" t="str">
        <f>IFERROR(SUMIFS('caseload data'!K:K,'caseload data'!$C:$C,'divisional &amp; regional caseload%'!$B$36,'caseload data'!$D:$D,"TPO")/SUMIF('caseload data'!$C:$C,'divisional &amp; regional caseload%'!$B$36,'caseload data'!K:K),"")</f>
        <v/>
      </c>
      <c r="J40" s="187" t="str">
        <f>IFERROR(SUMIFS('caseload data'!L:L,'caseload data'!$C:$C,'divisional &amp; regional caseload%'!$B$36,'caseload data'!$D:$D,"TPO")/SUMIF('caseload data'!$C:$C,'divisional &amp; regional caseload%'!$B$36,'caseload data'!L:L),"")</f>
        <v/>
      </c>
      <c r="K40" s="187" t="str">
        <f>IFERROR(SUMIFS('caseload data'!M:M,'caseload data'!$C:$C,'divisional &amp; regional caseload%'!$B$36,'caseload data'!$D:$D,"TPO")/SUMIF('caseload data'!$C:$C,'divisional &amp; regional caseload%'!$B$36,'caseload data'!M:M),"")</f>
        <v/>
      </c>
      <c r="L40" s="187" t="str">
        <f>IFERROR(SUMIFS('caseload data'!N:N,'caseload data'!$C:$C,'divisional &amp; regional caseload%'!$B$36,'caseload data'!$D:$D,"TPO")/SUMIF('caseload data'!$C:$C,'divisional &amp; regional caseload%'!$B$36,'caseload data'!N:N),"")</f>
        <v/>
      </c>
      <c r="M40" s="187" t="str">
        <f>IFERROR(SUMIFS('caseload data'!O:O,'caseload data'!$C:$C,'divisional &amp; regional caseload%'!$B$36,'caseload data'!$D:$D,"TPO")/SUMIF('caseload data'!$C:$C,'divisional &amp; regional caseload%'!$B$36,'caseload data'!O:O),"")</f>
        <v/>
      </c>
      <c r="N40" s="187" t="str">
        <f>IFERROR(SUMIFS('caseload data'!P:P,'caseload data'!$C:$C,'divisional &amp; regional caseload%'!$B$36,'caseload data'!$D:$D,"TPO")/SUMIF('caseload data'!$C:$C,'divisional &amp; regional caseload%'!$B$36,'caseload data'!P:P),"")</f>
        <v/>
      </c>
      <c r="O40" s="187" t="str">
        <f>IFERROR(SUMIFS('caseload data'!Q:Q,'caseload data'!$C:$C,'divisional &amp; regional caseload%'!$B$36,'caseload data'!$D:$D,"TPO")/SUMIF('caseload data'!$C:$C,'divisional &amp; regional caseload%'!$B$36,'caseload data'!Q:Q),"")</f>
        <v/>
      </c>
      <c r="P40" s="187" t="str">
        <f>IFERROR(SUMIFS('caseload data'!R:R,'caseload data'!$C:$C,'divisional &amp; regional caseload%'!$B$36,'caseload data'!$D:$D,"TPO")/SUMIF('caseload data'!$C:$C,'divisional &amp; regional caseload%'!$B$36,'caseload data'!R:R),"")</f>
        <v/>
      </c>
      <c r="Q40" s="187" t="str">
        <f>IFERROR(SUMIFS('caseload data'!S:S,'caseload data'!$C:$C,'divisional &amp; regional caseload%'!$B$36,'caseload data'!$D:$D,"TPO")/SUMIF('caseload data'!$C:$C,'divisional &amp; regional caseload%'!$B$36,'caseload data'!S:S),"")</f>
        <v/>
      </c>
      <c r="R40" s="187" t="str">
        <f>IFERROR(SUMIFS('caseload data'!T:T,'caseload data'!$C:$C,'divisional &amp; regional caseload%'!$B$36,'caseload data'!$D:$D,"TPO")/SUMIF('caseload data'!$C:$C,'divisional &amp; regional caseload%'!$B$36,'caseload data'!T:T),"")</f>
        <v/>
      </c>
      <c r="S40" s="76"/>
      <c r="T40" s="110" t="s">
        <v>1039</v>
      </c>
      <c r="U40" s="187" t="str">
        <f>IFERROR(SUMIFS('caseload data'!E:E,'caseload data'!$C:$C,'divisional &amp; regional caseload%'!$T$36,'caseload data'!$D:$D,"TPO")/SUMIF('caseload data'!$C:$C,'divisional &amp; regional caseload%'!$T$36,'caseload data'!E:E),"")</f>
        <v/>
      </c>
      <c r="V40" s="187" t="str">
        <f>IFERROR(SUMIFS('caseload data'!F:F,'caseload data'!$C:$C,'divisional &amp; regional caseload%'!$T$36,'caseload data'!$D:$D,"TPO")/SUMIF('caseload data'!$C:$C,'divisional &amp; regional caseload%'!$T$36,'caseload data'!F:F),"")</f>
        <v/>
      </c>
      <c r="W40" s="187" t="str">
        <f>IFERROR(SUMIFS('caseload data'!G:G,'caseload data'!$C:$C,'divisional &amp; regional caseload%'!$T$36,'caseload data'!$D:$D,"TPO")/SUMIF('caseload data'!$C:$C,'divisional &amp; regional caseload%'!$T$36,'caseload data'!G:G),"")</f>
        <v/>
      </c>
      <c r="X40" s="187" t="str">
        <f>IFERROR(SUMIFS('caseload data'!H:H,'caseload data'!$C:$C,'divisional &amp; regional caseload%'!$T$36,'caseload data'!$D:$D,"TPO")/SUMIF('caseload data'!$C:$C,'divisional &amp; regional caseload%'!$T$36,'caseload data'!H:H),"")</f>
        <v/>
      </c>
      <c r="Y40" s="187" t="str">
        <f>IFERROR(SUMIFS('caseload data'!I:I,'caseload data'!$C:$C,'divisional &amp; regional caseload%'!$T$36,'caseload data'!$D:$D,"TPO")/SUMIF('caseload data'!$C:$C,'divisional &amp; regional caseload%'!$T$36,'caseload data'!I:I),"")</f>
        <v/>
      </c>
      <c r="Z40" s="187" t="str">
        <f>IFERROR(SUMIFS('caseload data'!J:J,'caseload data'!$C:$C,'divisional &amp; regional caseload%'!$T$36,'caseload data'!$D:$D,"TPO")/SUMIF('caseload data'!$C:$C,'divisional &amp; regional caseload%'!$T$36,'caseload data'!J:J),"")</f>
        <v/>
      </c>
      <c r="AA40" s="187" t="str">
        <f>IFERROR(SUMIFS('caseload data'!K:K,'caseload data'!$C:$C,'divisional &amp; regional caseload%'!$T$36,'caseload data'!$D:$D,"TPO")/SUMIF('caseload data'!$C:$C,'divisional &amp; regional caseload%'!$T$36,'caseload data'!K:K),"")</f>
        <v/>
      </c>
      <c r="AB40" s="187" t="str">
        <f>IFERROR(SUMIFS('caseload data'!L:L,'caseload data'!$C:$C,'divisional &amp; regional caseload%'!$T$36,'caseload data'!$D:$D,"TPO")/SUMIF('caseload data'!$C:$C,'divisional &amp; regional caseload%'!$T$36,'caseload data'!L:L),"")</f>
        <v/>
      </c>
      <c r="AC40" s="187" t="str">
        <f>IFERROR(SUMIFS('caseload data'!M:M,'caseload data'!$C:$C,'divisional &amp; regional caseload%'!$T$36,'caseload data'!$D:$D,"TPO")/SUMIF('caseload data'!$C:$C,'divisional &amp; regional caseload%'!$T$36,'caseload data'!M:M),"")</f>
        <v/>
      </c>
      <c r="AD40" s="187" t="str">
        <f>IFERROR(SUMIFS('caseload data'!N:N,'caseload data'!$C:$C,'divisional &amp; regional caseload%'!$T$36,'caseload data'!$D:$D,"TPO")/SUMIF('caseload data'!$C:$C,'divisional &amp; regional caseload%'!$T$36,'caseload data'!N:N),"")</f>
        <v/>
      </c>
      <c r="AE40" s="187" t="str">
        <f>IFERROR(SUMIFS('caseload data'!O:O,'caseload data'!$C:$C,'divisional &amp; regional caseload%'!$T$36,'caseload data'!$D:$D,"TPO")/SUMIF('caseload data'!$C:$C,'divisional &amp; regional caseload%'!$T$36,'caseload data'!O:O),"")</f>
        <v/>
      </c>
      <c r="AF40" s="187" t="str">
        <f>IFERROR(SUMIFS('caseload data'!P:P,'caseload data'!$C:$C,'divisional &amp; regional caseload%'!$T$36,'caseload data'!$D:$D,"TPO")/SUMIF('caseload data'!$C:$C,'divisional &amp; regional caseload%'!$T$36,'caseload data'!P:P),"")</f>
        <v/>
      </c>
      <c r="AG40" s="187" t="str">
        <f>IFERROR(SUMIFS('caseload data'!Q:Q,'caseload data'!$C:$C,'divisional &amp; regional caseload%'!$T$36,'caseload data'!$D:$D,"TPO")/SUMIF('caseload data'!$C:$C,'divisional &amp; regional caseload%'!$T$36,'caseload data'!Q:Q),"")</f>
        <v/>
      </c>
      <c r="AH40" s="187" t="str">
        <f>IFERROR(SUMIFS('caseload data'!R:R,'caseload data'!$C:$C,'divisional &amp; regional caseload%'!$T$36,'caseload data'!$D:$D,"TPO")/SUMIF('caseload data'!$C:$C,'divisional &amp; regional caseload%'!$T$36,'caseload data'!R:R),"")</f>
        <v/>
      </c>
      <c r="AI40" s="187" t="str">
        <f>IFERROR(SUMIFS('caseload data'!S:S,'caseload data'!$C:$C,'divisional &amp; regional caseload%'!$T$36,'caseload data'!$D:$D,"TPO")/SUMIF('caseload data'!$C:$C,'divisional &amp; regional caseload%'!$T$36,'caseload data'!S:S),"")</f>
        <v/>
      </c>
      <c r="AJ40" s="187" t="str">
        <f>IFERROR(SUMIFS('caseload data'!T:T,'caseload data'!$C:$C,'divisional &amp; regional caseload%'!$T$36,'caseload data'!$D:$D,"TPO")/SUMIF('caseload data'!$C:$C,'divisional &amp; regional caseload%'!$T$36,'caseload data'!T:T),"")</f>
        <v/>
      </c>
    </row>
    <row r="41" spans="2:36" x14ac:dyDescent="0.15">
      <c r="B41" s="111" t="s">
        <v>1040</v>
      </c>
      <c r="C41" s="187" t="str">
        <f>IFERROR(SUMIFS('caseload data'!E:E,'caseload data'!$C:$C,'divisional &amp; regional caseload%'!$B$36,'caseload data'!$D:$D,"SPO")/SUMIF('caseload data'!$C:$C,'divisional &amp; regional caseload%'!$B$36,'caseload data'!E:E),"")</f>
        <v/>
      </c>
      <c r="D41" s="187" t="str">
        <f>IFERROR(SUMIFS('caseload data'!F:F,'caseload data'!$C:$C,'divisional &amp; regional caseload%'!$B$36,'caseload data'!$D:$D,"SPO")/SUMIF('caseload data'!$C:$C,'divisional &amp; regional caseload%'!$B$36,'caseload data'!F:F),"")</f>
        <v/>
      </c>
      <c r="E41" s="187" t="str">
        <f>IFERROR(SUMIFS('caseload data'!G:G,'caseload data'!$C:$C,'divisional &amp; regional caseload%'!$B$36,'caseload data'!$D:$D,"SPO")/SUMIF('caseload data'!$C:$C,'divisional &amp; regional caseload%'!$B$36,'caseload data'!G:G),"")</f>
        <v/>
      </c>
      <c r="F41" s="187" t="str">
        <f>IFERROR(SUMIFS('caseload data'!H:H,'caseload data'!$C:$C,'divisional &amp; regional caseload%'!$B$36,'caseload data'!$D:$D,"SPO")/SUMIF('caseload data'!$C:$C,'divisional &amp; regional caseload%'!$B$36,'caseload data'!H:H),"")</f>
        <v/>
      </c>
      <c r="G41" s="187" t="str">
        <f>IFERROR(SUMIFS('caseload data'!I:I,'caseload data'!$C:$C,'divisional &amp; regional caseload%'!$B$36,'caseload data'!$D:$D,"SPO")/SUMIF('caseload data'!$C:$C,'divisional &amp; regional caseload%'!$B$36,'caseload data'!I:I),"")</f>
        <v/>
      </c>
      <c r="H41" s="187" t="str">
        <f>IFERROR(SUMIFS('caseload data'!J:J,'caseload data'!$C:$C,'divisional &amp; regional caseload%'!$B$36,'caseload data'!$D:$D,"SPO")/SUMIF('caseload data'!$C:$C,'divisional &amp; regional caseload%'!$B$36,'caseload data'!J:J),"")</f>
        <v/>
      </c>
      <c r="I41" s="187" t="str">
        <f>IFERROR(SUMIFS('caseload data'!K:K,'caseload data'!$C:$C,'divisional &amp; regional caseload%'!$B$36,'caseload data'!$D:$D,"SPO")/SUMIF('caseload data'!$C:$C,'divisional &amp; regional caseload%'!$B$36,'caseload data'!K:K),"")</f>
        <v/>
      </c>
      <c r="J41" s="187" t="str">
        <f>IFERROR(SUMIFS('caseload data'!L:L,'caseload data'!$C:$C,'divisional &amp; regional caseload%'!$B$36,'caseload data'!$D:$D,"SPO")/SUMIF('caseload data'!$C:$C,'divisional &amp; regional caseload%'!$B$36,'caseload data'!L:L),"")</f>
        <v/>
      </c>
      <c r="K41" s="187" t="str">
        <f>IFERROR(SUMIFS('caseload data'!M:M,'caseload data'!$C:$C,'divisional &amp; regional caseload%'!$B$36,'caseload data'!$D:$D,"SPO")/SUMIF('caseload data'!$C:$C,'divisional &amp; regional caseload%'!$B$36,'caseload data'!M:M),"")</f>
        <v/>
      </c>
      <c r="L41" s="187" t="str">
        <f>IFERROR(SUMIFS('caseload data'!N:N,'caseload data'!$C:$C,'divisional &amp; regional caseload%'!$B$36,'caseload data'!$D:$D,"SPO")/SUMIF('caseload data'!$C:$C,'divisional &amp; regional caseload%'!$B$36,'caseload data'!N:N),"")</f>
        <v/>
      </c>
      <c r="M41" s="187" t="str">
        <f>IFERROR(SUMIFS('caseload data'!O:O,'caseload data'!$C:$C,'divisional &amp; regional caseload%'!$B$36,'caseload data'!$D:$D,"SPO")/SUMIF('caseload data'!$C:$C,'divisional &amp; regional caseload%'!$B$36,'caseload data'!O:O),"")</f>
        <v/>
      </c>
      <c r="N41" s="187" t="str">
        <f>IFERROR(SUMIFS('caseload data'!P:P,'caseload data'!$C:$C,'divisional &amp; regional caseload%'!$B$36,'caseload data'!$D:$D,"SPO")/SUMIF('caseload data'!$C:$C,'divisional &amp; regional caseload%'!$B$36,'caseload data'!P:P),"")</f>
        <v/>
      </c>
      <c r="O41" s="187" t="str">
        <f>IFERROR(SUMIFS('caseload data'!Q:Q,'caseload data'!$C:$C,'divisional &amp; regional caseload%'!$B$36,'caseload data'!$D:$D,"SPO")/SUMIF('caseload data'!$C:$C,'divisional &amp; regional caseload%'!$B$36,'caseload data'!Q:Q),"")</f>
        <v/>
      </c>
      <c r="P41" s="187" t="str">
        <f>IFERROR(SUMIFS('caseload data'!R:R,'caseload data'!$C:$C,'divisional &amp; regional caseload%'!$B$36,'caseload data'!$D:$D,"SPO")/SUMIF('caseload data'!$C:$C,'divisional &amp; regional caseload%'!$B$36,'caseload data'!R:R),"")</f>
        <v/>
      </c>
      <c r="Q41" s="187" t="str">
        <f>IFERROR(SUMIFS('caseload data'!S:S,'caseload data'!$C:$C,'divisional &amp; regional caseload%'!$B$36,'caseload data'!$D:$D,"SPO")/SUMIF('caseload data'!$C:$C,'divisional &amp; regional caseload%'!$B$36,'caseload data'!S:S),"")</f>
        <v/>
      </c>
      <c r="R41" s="187" t="str">
        <f>IFERROR(SUMIFS('caseload data'!T:T,'caseload data'!$C:$C,'divisional &amp; regional caseload%'!$B$36,'caseload data'!$D:$D,"SPO")/SUMIF('caseload data'!$C:$C,'divisional &amp; regional caseload%'!$B$36,'caseload data'!T:T),"")</f>
        <v/>
      </c>
      <c r="S41" s="76"/>
      <c r="T41" s="111" t="s">
        <v>1040</v>
      </c>
      <c r="U41" s="187" t="str">
        <f>IFERROR(SUMIFS('caseload data'!E:E,'caseload data'!$C:$C,'divisional &amp; regional caseload%'!$T$36,'caseload data'!$D:$D,"SPO")/SUMIF('caseload data'!$C:$C,'divisional &amp; regional caseload%'!$T$36,'caseload data'!E:E),"")</f>
        <v/>
      </c>
      <c r="V41" s="187" t="str">
        <f>IFERROR(SUMIFS('caseload data'!F:F,'caseload data'!$C:$C,'divisional &amp; regional caseload%'!$T$36,'caseload data'!$D:$D,"SPO")/SUMIF('caseload data'!$C:$C,'divisional &amp; regional caseload%'!$T$36,'caseload data'!F:F),"")</f>
        <v/>
      </c>
      <c r="W41" s="187" t="str">
        <f>IFERROR(SUMIFS('caseload data'!G:G,'caseload data'!$C:$C,'divisional &amp; regional caseload%'!$T$36,'caseload data'!$D:$D,"SPO")/SUMIF('caseload data'!$C:$C,'divisional &amp; regional caseload%'!$T$36,'caseload data'!G:G),"")</f>
        <v/>
      </c>
      <c r="X41" s="187" t="str">
        <f>IFERROR(SUMIFS('caseload data'!H:H,'caseload data'!$C:$C,'divisional &amp; regional caseload%'!$T$36,'caseload data'!$D:$D,"SPO")/SUMIF('caseload data'!$C:$C,'divisional &amp; regional caseload%'!$T$36,'caseload data'!H:H),"")</f>
        <v/>
      </c>
      <c r="Y41" s="187" t="str">
        <f>IFERROR(SUMIFS('caseload data'!I:I,'caseload data'!$C:$C,'divisional &amp; regional caseload%'!$T$36,'caseload data'!$D:$D,"SPO")/SUMIF('caseload data'!$C:$C,'divisional &amp; regional caseload%'!$T$36,'caseload data'!I:I),"")</f>
        <v/>
      </c>
      <c r="Z41" s="187" t="str">
        <f>IFERROR(SUMIFS('caseload data'!J:J,'caseload data'!$C:$C,'divisional &amp; regional caseload%'!$T$36,'caseload data'!$D:$D,"SPO")/SUMIF('caseload data'!$C:$C,'divisional &amp; regional caseload%'!$T$36,'caseload data'!J:J),"")</f>
        <v/>
      </c>
      <c r="AA41" s="187" t="str">
        <f>IFERROR(SUMIFS('caseload data'!K:K,'caseload data'!$C:$C,'divisional &amp; regional caseload%'!$T$36,'caseload data'!$D:$D,"SPO")/SUMIF('caseload data'!$C:$C,'divisional &amp; regional caseload%'!$T$36,'caseload data'!K:K),"")</f>
        <v/>
      </c>
      <c r="AB41" s="187" t="str">
        <f>IFERROR(SUMIFS('caseload data'!L:L,'caseload data'!$C:$C,'divisional &amp; regional caseload%'!$T$36,'caseload data'!$D:$D,"SPO")/SUMIF('caseload data'!$C:$C,'divisional &amp; regional caseload%'!$T$36,'caseload data'!L:L),"")</f>
        <v/>
      </c>
      <c r="AC41" s="187" t="str">
        <f>IFERROR(SUMIFS('caseload data'!M:M,'caseload data'!$C:$C,'divisional &amp; regional caseload%'!$T$36,'caseload data'!$D:$D,"SPO")/SUMIF('caseload data'!$C:$C,'divisional &amp; regional caseload%'!$T$36,'caseload data'!M:M),"")</f>
        <v/>
      </c>
      <c r="AD41" s="187" t="str">
        <f>IFERROR(SUMIFS('caseload data'!N:N,'caseload data'!$C:$C,'divisional &amp; regional caseload%'!$T$36,'caseload data'!$D:$D,"SPO")/SUMIF('caseload data'!$C:$C,'divisional &amp; regional caseload%'!$T$36,'caseload data'!N:N),"")</f>
        <v/>
      </c>
      <c r="AE41" s="187" t="str">
        <f>IFERROR(SUMIFS('caseload data'!O:O,'caseload data'!$C:$C,'divisional &amp; regional caseload%'!$T$36,'caseload data'!$D:$D,"SPO")/SUMIF('caseload data'!$C:$C,'divisional &amp; regional caseload%'!$T$36,'caseload data'!O:O),"")</f>
        <v/>
      </c>
      <c r="AF41" s="187" t="str">
        <f>IFERROR(SUMIFS('caseload data'!P:P,'caseload data'!$C:$C,'divisional &amp; regional caseload%'!$T$36,'caseload data'!$D:$D,"SPO")/SUMIF('caseload data'!$C:$C,'divisional &amp; regional caseload%'!$T$36,'caseload data'!P:P),"")</f>
        <v/>
      </c>
      <c r="AG41" s="187" t="str">
        <f>IFERROR(SUMIFS('caseload data'!Q:Q,'caseload data'!$C:$C,'divisional &amp; regional caseload%'!$T$36,'caseload data'!$D:$D,"SPO")/SUMIF('caseload data'!$C:$C,'divisional &amp; regional caseload%'!$T$36,'caseload data'!Q:Q),"")</f>
        <v/>
      </c>
      <c r="AH41" s="187" t="str">
        <f>IFERROR(SUMIFS('caseload data'!R:R,'caseload data'!$C:$C,'divisional &amp; regional caseload%'!$T$36,'caseload data'!$D:$D,"SPO")/SUMIF('caseload data'!$C:$C,'divisional &amp; regional caseload%'!$T$36,'caseload data'!R:R),"")</f>
        <v/>
      </c>
      <c r="AI41" s="187" t="str">
        <f>IFERROR(SUMIFS('caseload data'!S:S,'caseload data'!$C:$C,'divisional &amp; regional caseload%'!$T$36,'caseload data'!$D:$D,"SPO")/SUMIF('caseload data'!$C:$C,'divisional &amp; regional caseload%'!$T$36,'caseload data'!S:S),"")</f>
        <v/>
      </c>
      <c r="AJ41" s="187" t="str">
        <f>IFERROR(SUMIFS('caseload data'!T:T,'caseload data'!$C:$C,'divisional &amp; regional caseload%'!$T$36,'caseload data'!$D:$D,"SPO")/SUMIF('caseload data'!$C:$C,'divisional &amp; regional caseload%'!$T$36,'caseload data'!T:T),"")</f>
        <v/>
      </c>
    </row>
    <row r="42" spans="2:36" x14ac:dyDescent="0.15">
      <c r="B42" s="104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104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</row>
    <row r="43" spans="2:36" ht="29.25" customHeight="1" x14ac:dyDescent="0.15">
      <c r="B43" s="162" t="str">
        <f>HLOOKUP($B$5,Region_Table,12,0)</f>
        <v>Merseyside Resettle - N51</v>
      </c>
      <c r="C43" s="333" t="s">
        <v>1257</v>
      </c>
      <c r="D43" s="334"/>
      <c r="E43" s="334"/>
      <c r="F43" s="334"/>
      <c r="G43" s="334"/>
      <c r="H43" s="334"/>
      <c r="I43" s="334"/>
      <c r="J43" s="334"/>
      <c r="K43" s="334"/>
      <c r="L43" s="334"/>
      <c r="M43" s="343"/>
      <c r="N43" s="343"/>
      <c r="O43" s="344"/>
      <c r="P43" s="337">
        <f>SUMIF('caseload data'!$C:$C,'divisional &amp; regional caseload%'!B43,'caseload data'!V:V)</f>
        <v>0</v>
      </c>
      <c r="Q43" s="345"/>
      <c r="R43" s="346"/>
      <c r="S43" s="76"/>
      <c r="T43" s="162" t="str">
        <f>HLOOKUP($B$5,Region_Table,13,0)</f>
        <v>North West Lancashire</v>
      </c>
      <c r="U43" s="333" t="s">
        <v>1257</v>
      </c>
      <c r="V43" s="334"/>
      <c r="W43" s="334"/>
      <c r="X43" s="334"/>
      <c r="Y43" s="334"/>
      <c r="Z43" s="334"/>
      <c r="AA43" s="334"/>
      <c r="AB43" s="334"/>
      <c r="AC43" s="334"/>
      <c r="AD43" s="334"/>
      <c r="AE43" s="343"/>
      <c r="AF43" s="343"/>
      <c r="AG43" s="344"/>
      <c r="AH43" s="337">
        <f>SUMIF('caseload data'!$C:$C,'divisional &amp; regional caseload%'!T43,'caseload data'!V:V)</f>
        <v>0</v>
      </c>
      <c r="AI43" s="345"/>
      <c r="AJ43" s="346"/>
    </row>
    <row r="44" spans="2:36" x14ac:dyDescent="0.15">
      <c r="B44" s="108" t="s">
        <v>1199</v>
      </c>
      <c r="C44" s="42" t="s">
        <v>1019</v>
      </c>
      <c r="D44" s="42" t="s">
        <v>1020</v>
      </c>
      <c r="E44" s="42" t="s">
        <v>1021</v>
      </c>
      <c r="F44" s="42" t="s">
        <v>1022</v>
      </c>
      <c r="G44" s="42" t="s">
        <v>1023</v>
      </c>
      <c r="H44" s="42" t="s">
        <v>1024</v>
      </c>
      <c r="I44" s="42" t="s">
        <v>1025</v>
      </c>
      <c r="J44" s="42" t="s">
        <v>1026</v>
      </c>
      <c r="K44" s="42" t="s">
        <v>1027</v>
      </c>
      <c r="L44" s="42" t="s">
        <v>1028</v>
      </c>
      <c r="M44" s="42" t="s">
        <v>1029</v>
      </c>
      <c r="N44" s="42" t="s">
        <v>1030</v>
      </c>
      <c r="O44" s="42" t="s">
        <v>1031</v>
      </c>
      <c r="P44" s="42" t="s">
        <v>1032</v>
      </c>
      <c r="Q44" s="42" t="s">
        <v>1033</v>
      </c>
      <c r="R44" s="42" t="s">
        <v>1034</v>
      </c>
      <c r="S44" s="76"/>
      <c r="T44" s="108" t="s">
        <v>1199</v>
      </c>
      <c r="U44" s="42" t="s">
        <v>1019</v>
      </c>
      <c r="V44" s="42" t="s">
        <v>1020</v>
      </c>
      <c r="W44" s="42" t="s">
        <v>1021</v>
      </c>
      <c r="X44" s="42" t="s">
        <v>1022</v>
      </c>
      <c r="Y44" s="42" t="s">
        <v>1023</v>
      </c>
      <c r="Z44" s="42" t="s">
        <v>1024</v>
      </c>
      <c r="AA44" s="42" t="s">
        <v>1025</v>
      </c>
      <c r="AB44" s="42" t="s">
        <v>1026</v>
      </c>
      <c r="AC44" s="42" t="s">
        <v>1027</v>
      </c>
      <c r="AD44" s="42" t="s">
        <v>1028</v>
      </c>
      <c r="AE44" s="42" t="s">
        <v>1029</v>
      </c>
      <c r="AF44" s="42" t="s">
        <v>1030</v>
      </c>
      <c r="AG44" s="42" t="s">
        <v>1031</v>
      </c>
      <c r="AH44" s="42" t="s">
        <v>1032</v>
      </c>
      <c r="AI44" s="42" t="s">
        <v>1033</v>
      </c>
      <c r="AJ44" s="42" t="s">
        <v>1034</v>
      </c>
    </row>
    <row r="45" spans="2:36" x14ac:dyDescent="0.15">
      <c r="B45" s="109" t="s">
        <v>1037</v>
      </c>
      <c r="C45" s="187" t="str">
        <f>IFERROR(SUMIFS('caseload data'!E:E,'caseload data'!$C:$C,'divisional &amp; regional caseload%'!$B$43,'caseload data'!$D:$D,"PO")/SUMIF('caseload data'!$C:$C,'divisional &amp; regional caseload%'!$B$43,'caseload data'!E:E),"")</f>
        <v/>
      </c>
      <c r="D45" s="187" t="str">
        <f>IFERROR(SUMIFS('caseload data'!F:F,'caseload data'!$C:$C,'divisional &amp; regional caseload%'!$B$43,'caseload data'!$D:$D,"PO")/SUMIF('caseload data'!$C:$C,'divisional &amp; regional caseload%'!$B$43,'caseload data'!F:F),"")</f>
        <v/>
      </c>
      <c r="E45" s="187" t="str">
        <f>IFERROR(SUMIFS('caseload data'!G:G,'caseload data'!$C:$C,'divisional &amp; regional caseload%'!$B$43,'caseload data'!$D:$D,"PO")/SUMIF('caseload data'!$C:$C,'divisional &amp; regional caseload%'!$B$43,'caseload data'!G:G),"")</f>
        <v/>
      </c>
      <c r="F45" s="187" t="str">
        <f>IFERROR(SUMIFS('caseload data'!H:H,'caseload data'!$C:$C,'divisional &amp; regional caseload%'!$B$43,'caseload data'!$D:$D,"PO")/SUMIF('caseload data'!$C:$C,'divisional &amp; regional caseload%'!$B$43,'caseload data'!H:H),"")</f>
        <v/>
      </c>
      <c r="G45" s="187" t="str">
        <f>IFERROR(SUMIFS('caseload data'!I:I,'caseload data'!$C:$C,'divisional &amp; regional caseload%'!$B$43,'caseload data'!$D:$D,"PO")/SUMIF('caseload data'!$C:$C,'divisional &amp; regional caseload%'!$B$43,'caseload data'!I:I),"")</f>
        <v/>
      </c>
      <c r="H45" s="187" t="str">
        <f>IFERROR(SUMIFS('caseload data'!J:J,'caseload data'!$C:$C,'divisional &amp; regional caseload%'!$B$43,'caseload data'!$D:$D,"PO")/SUMIF('caseload data'!$C:$C,'divisional &amp; regional caseload%'!$B$43,'caseload data'!J:J),"")</f>
        <v/>
      </c>
      <c r="I45" s="187" t="str">
        <f>IFERROR(SUMIFS('caseload data'!K:K,'caseload data'!$C:$C,'divisional &amp; regional caseload%'!$B$43,'caseload data'!$D:$D,"PO")/SUMIF('caseload data'!$C:$C,'divisional &amp; regional caseload%'!$B$43,'caseload data'!K:K),"")</f>
        <v/>
      </c>
      <c r="J45" s="187" t="str">
        <f>IFERROR(SUMIFS('caseload data'!L:L,'caseload data'!$C:$C,'divisional &amp; regional caseload%'!$B$43,'caseload data'!$D:$D,"PO")/SUMIF('caseload data'!$C:$C,'divisional &amp; regional caseload%'!$B$43,'caseload data'!L:L),"")</f>
        <v/>
      </c>
      <c r="K45" s="187" t="str">
        <f>IFERROR(SUMIFS('caseload data'!M:M,'caseload data'!$C:$C,'divisional &amp; regional caseload%'!$B$43,'caseload data'!$D:$D,"PO")/SUMIF('caseload data'!$C:$C,'divisional &amp; regional caseload%'!$B$43,'caseload data'!M:M),"")</f>
        <v/>
      </c>
      <c r="L45" s="187" t="str">
        <f>IFERROR(SUMIFS('caseload data'!N:N,'caseload data'!$C:$C,'divisional &amp; regional caseload%'!$B$43,'caseload data'!$D:$D,"PO")/SUMIF('caseload data'!$C:$C,'divisional &amp; regional caseload%'!$B$43,'caseload data'!N:N),"")</f>
        <v/>
      </c>
      <c r="M45" s="187" t="str">
        <f>IFERROR(SUMIFS('caseload data'!O:O,'caseload data'!$C:$C,'divisional &amp; regional caseload%'!$B$43,'caseload data'!$D:$D,"PO")/SUMIF('caseload data'!$C:$C,'divisional &amp; regional caseload%'!$B$43,'caseload data'!O:O),"")</f>
        <v/>
      </c>
      <c r="N45" s="187" t="str">
        <f>IFERROR(SUMIFS('caseload data'!P:P,'caseload data'!$C:$C,'divisional &amp; regional caseload%'!$B$43,'caseload data'!$D:$D,"PO")/SUMIF('caseload data'!$C:$C,'divisional &amp; regional caseload%'!$B$43,'caseload data'!P:P),"")</f>
        <v/>
      </c>
      <c r="O45" s="187" t="str">
        <f>IFERROR(SUMIFS('caseload data'!Q:Q,'caseload data'!$C:$C,'divisional &amp; regional caseload%'!$B$43,'caseload data'!$D:$D,"PO")/SUMIF('caseload data'!$C:$C,'divisional &amp; regional caseload%'!$B$43,'caseload data'!Q:Q),"")</f>
        <v/>
      </c>
      <c r="P45" s="187" t="str">
        <f>IFERROR(SUMIFS('caseload data'!R:R,'caseload data'!$C:$C,'divisional &amp; regional caseload%'!$B$43,'caseload data'!$D:$D,"PO")/SUMIF('caseload data'!$C:$C,'divisional &amp; regional caseload%'!$B$43,'caseload data'!R:R),"")</f>
        <v/>
      </c>
      <c r="Q45" s="187" t="str">
        <f>IFERROR(SUMIFS('caseload data'!S:S,'caseload data'!$C:$C,'divisional &amp; regional caseload%'!$B$43,'caseload data'!$D:$D,"PO")/SUMIF('caseload data'!$C:$C,'divisional &amp; regional caseload%'!$B$43,'caseload data'!S:S),"")</f>
        <v/>
      </c>
      <c r="R45" s="187" t="str">
        <f>IFERROR(SUMIFS('caseload data'!T:T,'caseload data'!$C:$C,'divisional &amp; regional caseload%'!$B$43,'caseload data'!$D:$D,"PO")/SUMIF('caseload data'!$C:$C,'divisional &amp; regional caseload%'!$B$43,'caseload data'!T:T),"")</f>
        <v/>
      </c>
      <c r="S45" s="76"/>
      <c r="T45" s="109" t="s">
        <v>1037</v>
      </c>
      <c r="U45" s="187" t="str">
        <f>IFERROR(SUMIFS('caseload data'!E:E,'caseload data'!$C:$C,'divisional &amp; regional caseload%'!$T$43,'caseload data'!$D:$D,"PO")/SUMIF('caseload data'!$C:$C,'divisional &amp; regional caseload%'!$T$43,'caseload data'!E:E),"")</f>
        <v/>
      </c>
      <c r="V45" s="187" t="str">
        <f>IFERROR(SUMIFS('caseload data'!F:F,'caseload data'!$C:$C,'divisional &amp; regional caseload%'!$T$43,'caseload data'!$D:$D,"PO")/SUMIF('caseload data'!$C:$C,'divisional &amp; regional caseload%'!$T$43,'caseload data'!F:F),"")</f>
        <v/>
      </c>
      <c r="W45" s="187" t="str">
        <f>IFERROR(SUMIFS('caseload data'!G:G,'caseload data'!$C:$C,'divisional &amp; regional caseload%'!$T$43,'caseload data'!$D:$D,"PO")/SUMIF('caseload data'!$C:$C,'divisional &amp; regional caseload%'!$T$43,'caseload data'!G:G),"")</f>
        <v/>
      </c>
      <c r="X45" s="187" t="str">
        <f>IFERROR(SUMIFS('caseload data'!H:H,'caseload data'!$C:$C,'divisional &amp; regional caseload%'!$T$43,'caseload data'!$D:$D,"PO")/SUMIF('caseload data'!$C:$C,'divisional &amp; regional caseload%'!$T$43,'caseload data'!H:H),"")</f>
        <v/>
      </c>
      <c r="Y45" s="187" t="str">
        <f>IFERROR(SUMIFS('caseload data'!I:I,'caseload data'!$C:$C,'divisional &amp; regional caseload%'!$T$43,'caseload data'!$D:$D,"PO")/SUMIF('caseload data'!$C:$C,'divisional &amp; regional caseload%'!$T$43,'caseload data'!I:I),"")</f>
        <v/>
      </c>
      <c r="Z45" s="187" t="str">
        <f>IFERROR(SUMIFS('caseload data'!J:J,'caseload data'!$C:$C,'divisional &amp; regional caseload%'!$T$43,'caseload data'!$D:$D,"PO")/SUMIF('caseload data'!$C:$C,'divisional &amp; regional caseload%'!$T$43,'caseload data'!J:J),"")</f>
        <v/>
      </c>
      <c r="AA45" s="187" t="str">
        <f>IFERROR(SUMIFS('caseload data'!K:K,'caseload data'!$C:$C,'divisional &amp; regional caseload%'!$T$43,'caseload data'!$D:$D,"PO")/SUMIF('caseload data'!$C:$C,'divisional &amp; regional caseload%'!$T$43,'caseload data'!K:K),"")</f>
        <v/>
      </c>
      <c r="AB45" s="187" t="str">
        <f>IFERROR(SUMIFS('caseload data'!L:L,'caseload data'!$C:$C,'divisional &amp; regional caseload%'!$T$43,'caseload data'!$D:$D,"PO")/SUMIF('caseload data'!$C:$C,'divisional &amp; regional caseload%'!$T$43,'caseload data'!L:L),"")</f>
        <v/>
      </c>
      <c r="AC45" s="187" t="str">
        <f>IFERROR(SUMIFS('caseload data'!M:M,'caseload data'!$C:$C,'divisional &amp; regional caseload%'!$T$43,'caseload data'!$D:$D,"PO")/SUMIF('caseload data'!$C:$C,'divisional &amp; regional caseload%'!$T$43,'caseload data'!M:M),"")</f>
        <v/>
      </c>
      <c r="AD45" s="187" t="str">
        <f>IFERROR(SUMIFS('caseload data'!N:N,'caseload data'!$C:$C,'divisional &amp; regional caseload%'!$T$43,'caseload data'!$D:$D,"PO")/SUMIF('caseload data'!$C:$C,'divisional &amp; regional caseload%'!$T$43,'caseload data'!N:N),"")</f>
        <v/>
      </c>
      <c r="AE45" s="187" t="str">
        <f>IFERROR(SUMIFS('caseload data'!O:O,'caseload data'!$C:$C,'divisional &amp; regional caseload%'!$T$43,'caseload data'!$D:$D,"PO")/SUMIF('caseload data'!$C:$C,'divisional &amp; regional caseload%'!$T$43,'caseload data'!O:O),"")</f>
        <v/>
      </c>
      <c r="AF45" s="187" t="str">
        <f>IFERROR(SUMIFS('caseload data'!P:P,'caseload data'!$C:$C,'divisional &amp; regional caseload%'!$T$43,'caseload data'!$D:$D,"PO")/SUMIF('caseload data'!$C:$C,'divisional &amp; regional caseload%'!$T$43,'caseload data'!P:P),"")</f>
        <v/>
      </c>
      <c r="AG45" s="187" t="str">
        <f>IFERROR(SUMIFS('caseload data'!Q:Q,'caseload data'!$C:$C,'divisional &amp; regional caseload%'!$T$43,'caseload data'!$D:$D,"PO")/SUMIF('caseload data'!$C:$C,'divisional &amp; regional caseload%'!$T$43,'caseload data'!Q:Q),"")</f>
        <v/>
      </c>
      <c r="AH45" s="187" t="str">
        <f>IFERROR(SUMIFS('caseload data'!R:R,'caseload data'!$C:$C,'divisional &amp; regional caseload%'!$T$43,'caseload data'!$D:$D,"PO")/SUMIF('caseload data'!$C:$C,'divisional &amp; regional caseload%'!$T$43,'caseload data'!R:R),"")</f>
        <v/>
      </c>
      <c r="AI45" s="187" t="str">
        <f>IFERROR(SUMIFS('caseload data'!S:S,'caseload data'!$C:$C,'divisional &amp; regional caseload%'!$T$43,'caseload data'!$D:$D,"PO")/SUMIF('caseload data'!$C:$C,'divisional &amp; regional caseload%'!$T$43,'caseload data'!S:S),"")</f>
        <v/>
      </c>
      <c r="AJ45" s="187" t="str">
        <f>IFERROR(SUMIFS('caseload data'!T:T,'caseload data'!$C:$C,'divisional &amp; regional caseload%'!$T$43,'caseload data'!$D:$D,"PO")/SUMIF('caseload data'!$C:$C,'divisional &amp; regional caseload%'!$T$43,'caseload data'!T:T),"")</f>
        <v/>
      </c>
    </row>
    <row r="46" spans="2:36" x14ac:dyDescent="0.15">
      <c r="B46" s="110" t="s">
        <v>1038</v>
      </c>
      <c r="C46" s="187" t="str">
        <f>IFERROR(SUMIFS('caseload data'!E:E,'caseload data'!$C:$C,'divisional &amp; regional caseload%'!$B$43,'caseload data'!$D:$D,"PSO")/SUMIF('caseload data'!$C:$C,'divisional &amp; regional caseload%'!$B$43,'caseload data'!E:E),"")</f>
        <v/>
      </c>
      <c r="D46" s="187" t="str">
        <f>IFERROR(SUMIFS('caseload data'!F:F,'caseload data'!$C:$C,'divisional &amp; regional caseload%'!$B$43,'caseload data'!$D:$D,"PSO")/SUMIF('caseload data'!$C:$C,'divisional &amp; regional caseload%'!$B$43,'caseload data'!F:F),"")</f>
        <v/>
      </c>
      <c r="E46" s="187" t="str">
        <f>IFERROR(SUMIFS('caseload data'!G:G,'caseload data'!$C:$C,'divisional &amp; regional caseload%'!$B$43,'caseload data'!$D:$D,"PSO")/SUMIF('caseload data'!$C:$C,'divisional &amp; regional caseload%'!$B$43,'caseload data'!G:G),"")</f>
        <v/>
      </c>
      <c r="F46" s="187" t="str">
        <f>IFERROR(SUMIFS('caseload data'!H:H,'caseload data'!$C:$C,'divisional &amp; regional caseload%'!$B$43,'caseload data'!$D:$D,"PSO")/SUMIF('caseload data'!$C:$C,'divisional &amp; regional caseload%'!$B$43,'caseload data'!H:H),"")</f>
        <v/>
      </c>
      <c r="G46" s="187" t="str">
        <f>IFERROR(SUMIFS('caseload data'!I:I,'caseload data'!$C:$C,'divisional &amp; regional caseload%'!$B$43,'caseload data'!$D:$D,"PSO")/SUMIF('caseload data'!$C:$C,'divisional &amp; regional caseload%'!$B$43,'caseload data'!I:I),"")</f>
        <v/>
      </c>
      <c r="H46" s="187" t="str">
        <f>IFERROR(SUMIFS('caseload data'!J:J,'caseload data'!$C:$C,'divisional &amp; regional caseload%'!$B$43,'caseload data'!$D:$D,"PSO")/SUMIF('caseload data'!$C:$C,'divisional &amp; regional caseload%'!$B$43,'caseload data'!J:J),"")</f>
        <v/>
      </c>
      <c r="I46" s="187" t="str">
        <f>IFERROR(SUMIFS('caseload data'!K:K,'caseload data'!$C:$C,'divisional &amp; regional caseload%'!$B$43,'caseload data'!$D:$D,"PSO")/SUMIF('caseload data'!$C:$C,'divisional &amp; regional caseload%'!$B$43,'caseload data'!K:K),"")</f>
        <v/>
      </c>
      <c r="J46" s="187" t="str">
        <f>IFERROR(SUMIFS('caseload data'!L:L,'caseload data'!$C:$C,'divisional &amp; regional caseload%'!$B$43,'caseload data'!$D:$D,"PSO")/SUMIF('caseload data'!$C:$C,'divisional &amp; regional caseload%'!$B$43,'caseload data'!L:L),"")</f>
        <v/>
      </c>
      <c r="K46" s="187" t="str">
        <f>IFERROR(SUMIFS('caseload data'!M:M,'caseload data'!$C:$C,'divisional &amp; regional caseload%'!$B$43,'caseload data'!$D:$D,"PSO")/SUMIF('caseload data'!$C:$C,'divisional &amp; regional caseload%'!$B$43,'caseload data'!M:M),"")</f>
        <v/>
      </c>
      <c r="L46" s="187" t="str">
        <f>IFERROR(SUMIFS('caseload data'!N:N,'caseload data'!$C:$C,'divisional &amp; regional caseload%'!$B$43,'caseload data'!$D:$D,"PSO")/SUMIF('caseload data'!$C:$C,'divisional &amp; regional caseload%'!$B$43,'caseload data'!N:N),"")</f>
        <v/>
      </c>
      <c r="M46" s="187" t="str">
        <f>IFERROR(SUMIFS('caseload data'!O:O,'caseload data'!$C:$C,'divisional &amp; regional caseload%'!$B$43,'caseload data'!$D:$D,"PSO")/SUMIF('caseload data'!$C:$C,'divisional &amp; regional caseload%'!$B$43,'caseload data'!O:O),"")</f>
        <v/>
      </c>
      <c r="N46" s="187" t="str">
        <f>IFERROR(SUMIFS('caseload data'!P:P,'caseload data'!$C:$C,'divisional &amp; regional caseload%'!$B$43,'caseload data'!$D:$D,"PSO")/SUMIF('caseload data'!$C:$C,'divisional &amp; regional caseload%'!$B$43,'caseload data'!P:P),"")</f>
        <v/>
      </c>
      <c r="O46" s="187" t="str">
        <f>IFERROR(SUMIFS('caseload data'!Q:Q,'caseload data'!$C:$C,'divisional &amp; regional caseload%'!$B$43,'caseload data'!$D:$D,"PSO")/SUMIF('caseload data'!$C:$C,'divisional &amp; regional caseload%'!$B$43,'caseload data'!Q:Q),"")</f>
        <v/>
      </c>
      <c r="P46" s="187" t="str">
        <f>IFERROR(SUMIFS('caseload data'!R:R,'caseload data'!$C:$C,'divisional &amp; regional caseload%'!$B$43,'caseload data'!$D:$D,"PSO")/SUMIF('caseload data'!$C:$C,'divisional &amp; regional caseload%'!$B$43,'caseload data'!R:R),"")</f>
        <v/>
      </c>
      <c r="Q46" s="187" t="str">
        <f>IFERROR(SUMIFS('caseload data'!S:S,'caseload data'!$C:$C,'divisional &amp; regional caseload%'!$B$43,'caseload data'!$D:$D,"PSO")/SUMIF('caseload data'!$C:$C,'divisional &amp; regional caseload%'!$B$43,'caseload data'!S:S),"")</f>
        <v/>
      </c>
      <c r="R46" s="187" t="str">
        <f>IFERROR(SUMIFS('caseload data'!T:T,'caseload data'!$C:$C,'divisional &amp; regional caseload%'!$B$43,'caseload data'!$D:$D,"PSO")/SUMIF('caseload data'!$C:$C,'divisional &amp; regional caseload%'!$B$43,'caseload data'!T:T),"")</f>
        <v/>
      </c>
      <c r="S46" s="76"/>
      <c r="T46" s="110" t="s">
        <v>1038</v>
      </c>
      <c r="U46" s="187" t="str">
        <f>IFERROR(SUMIFS('caseload data'!E:E,'caseload data'!$C:$C,'divisional &amp; regional caseload%'!$T$43,'caseload data'!$D:$D,"PSO")/SUMIF('caseload data'!$C:$C,'divisional &amp; regional caseload%'!$T$36,'caseload data'!E:E),"")</f>
        <v/>
      </c>
      <c r="V46" s="187" t="str">
        <f>IFERROR(SUMIFS('caseload data'!F:F,'caseload data'!$C:$C,'divisional &amp; regional caseload%'!$T$43,'caseload data'!$D:$D,"PSO")/SUMIF('caseload data'!$C:$C,'divisional &amp; regional caseload%'!$T$36,'caseload data'!F:F),"")</f>
        <v/>
      </c>
      <c r="W46" s="187" t="str">
        <f>IFERROR(SUMIFS('caseload data'!G:G,'caseload data'!$C:$C,'divisional &amp; regional caseload%'!$T$43,'caseload data'!$D:$D,"PSO")/SUMIF('caseload data'!$C:$C,'divisional &amp; regional caseload%'!$T$36,'caseload data'!G:G),"")</f>
        <v/>
      </c>
      <c r="X46" s="187" t="str">
        <f>IFERROR(SUMIFS('caseload data'!H:H,'caseload data'!$C:$C,'divisional &amp; regional caseload%'!$T$43,'caseload data'!$D:$D,"PSO")/SUMIF('caseload data'!$C:$C,'divisional &amp; regional caseload%'!$T$36,'caseload data'!H:H),"")</f>
        <v/>
      </c>
      <c r="Y46" s="187" t="str">
        <f>IFERROR(SUMIFS('caseload data'!I:I,'caseload data'!$C:$C,'divisional &amp; regional caseload%'!$T$43,'caseload data'!$D:$D,"PSO")/SUMIF('caseload data'!$C:$C,'divisional &amp; regional caseload%'!$T$36,'caseload data'!I:I),"")</f>
        <v/>
      </c>
      <c r="Z46" s="187" t="str">
        <f>IFERROR(SUMIFS('caseload data'!J:J,'caseload data'!$C:$C,'divisional &amp; regional caseload%'!$T$43,'caseload data'!$D:$D,"PSO")/SUMIF('caseload data'!$C:$C,'divisional &amp; regional caseload%'!$T$36,'caseload data'!J:J),"")</f>
        <v/>
      </c>
      <c r="AA46" s="187" t="str">
        <f>IFERROR(SUMIFS('caseload data'!K:K,'caseload data'!$C:$C,'divisional &amp; regional caseload%'!$T$43,'caseload data'!$D:$D,"PSO")/SUMIF('caseload data'!$C:$C,'divisional &amp; regional caseload%'!$T$36,'caseload data'!K:K),"")</f>
        <v/>
      </c>
      <c r="AB46" s="187" t="str">
        <f>IFERROR(SUMIFS('caseload data'!L:L,'caseload data'!$C:$C,'divisional &amp; regional caseload%'!$T$43,'caseload data'!$D:$D,"PSO")/SUMIF('caseload data'!$C:$C,'divisional &amp; regional caseload%'!$T$36,'caseload data'!L:L),"")</f>
        <v/>
      </c>
      <c r="AC46" s="187" t="str">
        <f>IFERROR(SUMIFS('caseload data'!M:M,'caseload data'!$C:$C,'divisional &amp; regional caseload%'!$T$43,'caseload data'!$D:$D,"PSO")/SUMIF('caseload data'!$C:$C,'divisional &amp; regional caseload%'!$T$36,'caseload data'!M:M),"")</f>
        <v/>
      </c>
      <c r="AD46" s="187" t="str">
        <f>IFERROR(SUMIFS('caseload data'!N:N,'caseload data'!$C:$C,'divisional &amp; regional caseload%'!$T$43,'caseload data'!$D:$D,"PSO")/SUMIF('caseload data'!$C:$C,'divisional &amp; regional caseload%'!$T$36,'caseload data'!N:N),"")</f>
        <v/>
      </c>
      <c r="AE46" s="187" t="str">
        <f>IFERROR(SUMIFS('caseload data'!O:O,'caseload data'!$C:$C,'divisional &amp; regional caseload%'!$T$43,'caseload data'!$D:$D,"PSO")/SUMIF('caseload data'!$C:$C,'divisional &amp; regional caseload%'!$T$36,'caseload data'!O:O),"")</f>
        <v/>
      </c>
      <c r="AF46" s="187" t="str">
        <f>IFERROR(SUMIFS('caseload data'!P:P,'caseload data'!$C:$C,'divisional &amp; regional caseload%'!$T$43,'caseload data'!$D:$D,"PSO")/SUMIF('caseload data'!$C:$C,'divisional &amp; regional caseload%'!$T$36,'caseload data'!P:P),"")</f>
        <v/>
      </c>
      <c r="AG46" s="187" t="str">
        <f>IFERROR(SUMIFS('caseload data'!Q:Q,'caseload data'!$C:$C,'divisional &amp; regional caseload%'!$T$43,'caseload data'!$D:$D,"PSO")/SUMIF('caseload data'!$C:$C,'divisional &amp; regional caseload%'!$T$36,'caseload data'!Q:Q),"")</f>
        <v/>
      </c>
      <c r="AH46" s="187" t="str">
        <f>IFERROR(SUMIFS('caseload data'!R:R,'caseload data'!$C:$C,'divisional &amp; regional caseload%'!$T$43,'caseload data'!$D:$D,"PSO")/SUMIF('caseload data'!$C:$C,'divisional &amp; regional caseload%'!$T$36,'caseload data'!R:R),"")</f>
        <v/>
      </c>
      <c r="AI46" s="187" t="str">
        <f>IFERROR(SUMIFS('caseload data'!S:S,'caseload data'!$C:$C,'divisional &amp; regional caseload%'!$T$43,'caseload data'!$D:$D,"PSO")/SUMIF('caseload data'!$C:$C,'divisional &amp; regional caseload%'!$T$36,'caseload data'!S:S),"")</f>
        <v/>
      </c>
      <c r="AJ46" s="187" t="str">
        <f>IFERROR(SUMIFS('caseload data'!T:T,'caseload data'!$C:$C,'divisional &amp; regional caseload%'!$T$43,'caseload data'!$D:$D,"PSO")/SUMIF('caseload data'!$C:$C,'divisional &amp; regional caseload%'!$T$36,'caseload data'!T:T),"")</f>
        <v/>
      </c>
    </row>
    <row r="47" spans="2:36" x14ac:dyDescent="0.15">
      <c r="B47" s="110" t="s">
        <v>1039</v>
      </c>
      <c r="C47" s="187" t="str">
        <f>IFERROR(SUMIFS('caseload data'!E:E,'caseload data'!$C:$C,'divisional &amp; regional caseload%'!$B$43,'caseload data'!$D:$D,"TPO")/SUMIF('caseload data'!$C:$C,'divisional &amp; regional caseload%'!$B$43,'caseload data'!E:E),"")</f>
        <v/>
      </c>
      <c r="D47" s="187" t="str">
        <f>IFERROR(SUMIFS('caseload data'!F:F,'caseload data'!$C:$C,'divisional &amp; regional caseload%'!$B$43,'caseload data'!$D:$D,"TPO")/SUMIF('caseload data'!$C:$C,'divisional &amp; regional caseload%'!$B$43,'caseload data'!F:F),"")</f>
        <v/>
      </c>
      <c r="E47" s="187" t="str">
        <f>IFERROR(SUMIFS('caseload data'!G:G,'caseload data'!$C:$C,'divisional &amp; regional caseload%'!$B$43,'caseload data'!$D:$D,"TPO")/SUMIF('caseload data'!$C:$C,'divisional &amp; regional caseload%'!$B$43,'caseload data'!G:G),"")</f>
        <v/>
      </c>
      <c r="F47" s="187" t="str">
        <f>IFERROR(SUMIFS('caseload data'!H:H,'caseload data'!$C:$C,'divisional &amp; regional caseload%'!$B$43,'caseload data'!$D:$D,"TPO")/SUMIF('caseload data'!$C:$C,'divisional &amp; regional caseload%'!$B$43,'caseload data'!H:H),"")</f>
        <v/>
      </c>
      <c r="G47" s="187" t="str">
        <f>IFERROR(SUMIFS('caseload data'!I:I,'caseload data'!$C:$C,'divisional &amp; regional caseload%'!$B$43,'caseload data'!$D:$D,"TPO")/SUMIF('caseload data'!$C:$C,'divisional &amp; regional caseload%'!$B$43,'caseload data'!I:I),"")</f>
        <v/>
      </c>
      <c r="H47" s="187" t="str">
        <f>IFERROR(SUMIFS('caseload data'!J:J,'caseload data'!$C:$C,'divisional &amp; regional caseload%'!$B$43,'caseload data'!$D:$D,"TPO")/SUMIF('caseload data'!$C:$C,'divisional &amp; regional caseload%'!$B$43,'caseload data'!J:J),"")</f>
        <v/>
      </c>
      <c r="I47" s="187" t="str">
        <f>IFERROR(SUMIFS('caseload data'!K:K,'caseload data'!$C:$C,'divisional &amp; regional caseload%'!$B$43,'caseload data'!$D:$D,"TPO")/SUMIF('caseload data'!$C:$C,'divisional &amp; regional caseload%'!$B$43,'caseload data'!K:K),"")</f>
        <v/>
      </c>
      <c r="J47" s="187" t="str">
        <f>IFERROR(SUMIFS('caseload data'!L:L,'caseload data'!$C:$C,'divisional &amp; regional caseload%'!$B$43,'caseload data'!$D:$D,"TPO")/SUMIF('caseload data'!$C:$C,'divisional &amp; regional caseload%'!$B$43,'caseload data'!L:L),"")</f>
        <v/>
      </c>
      <c r="K47" s="187" t="str">
        <f>IFERROR(SUMIFS('caseload data'!M:M,'caseload data'!$C:$C,'divisional &amp; regional caseload%'!$B$43,'caseload data'!$D:$D,"TPO")/SUMIF('caseload data'!$C:$C,'divisional &amp; regional caseload%'!$B$43,'caseload data'!M:M),"")</f>
        <v/>
      </c>
      <c r="L47" s="187" t="str">
        <f>IFERROR(SUMIFS('caseload data'!N:N,'caseload data'!$C:$C,'divisional &amp; regional caseload%'!$B$43,'caseload data'!$D:$D,"TPO")/SUMIF('caseload data'!$C:$C,'divisional &amp; regional caseload%'!$B$43,'caseload data'!N:N),"")</f>
        <v/>
      </c>
      <c r="M47" s="187" t="str">
        <f>IFERROR(SUMIFS('caseload data'!O:O,'caseload data'!$C:$C,'divisional &amp; regional caseload%'!$B$43,'caseload data'!$D:$D,"TPO")/SUMIF('caseload data'!$C:$C,'divisional &amp; regional caseload%'!$B$43,'caseload data'!O:O),"")</f>
        <v/>
      </c>
      <c r="N47" s="187" t="str">
        <f>IFERROR(SUMIFS('caseload data'!P:P,'caseload data'!$C:$C,'divisional &amp; regional caseload%'!$B$43,'caseload data'!$D:$D,"TPO")/SUMIF('caseload data'!$C:$C,'divisional &amp; regional caseload%'!$B$43,'caseload data'!P:P),"")</f>
        <v/>
      </c>
      <c r="O47" s="187" t="str">
        <f>IFERROR(SUMIFS('caseload data'!Q:Q,'caseload data'!$C:$C,'divisional &amp; regional caseload%'!$B$43,'caseload data'!$D:$D,"TPO")/SUMIF('caseload data'!$C:$C,'divisional &amp; regional caseload%'!$B$43,'caseload data'!Q:Q),"")</f>
        <v/>
      </c>
      <c r="P47" s="187" t="str">
        <f>IFERROR(SUMIFS('caseload data'!R:R,'caseload data'!$C:$C,'divisional &amp; regional caseload%'!$B$43,'caseload data'!$D:$D,"TPO")/SUMIF('caseload data'!$C:$C,'divisional &amp; regional caseload%'!$B$43,'caseload data'!R:R),"")</f>
        <v/>
      </c>
      <c r="Q47" s="187" t="str">
        <f>IFERROR(SUMIFS('caseload data'!S:S,'caseload data'!$C:$C,'divisional &amp; regional caseload%'!$B$43,'caseload data'!$D:$D,"TPO")/SUMIF('caseload data'!$C:$C,'divisional &amp; regional caseload%'!$B$43,'caseload data'!S:S),"")</f>
        <v/>
      </c>
      <c r="R47" s="187" t="str">
        <f>IFERROR(SUMIFS('caseload data'!T:T,'caseload data'!$C:$C,'divisional &amp; regional caseload%'!$B$43,'caseload data'!$D:$D,"TPO")/SUMIF('caseload data'!$C:$C,'divisional &amp; regional caseload%'!$B$43,'caseload data'!T:T),"")</f>
        <v/>
      </c>
      <c r="S47" s="76"/>
      <c r="T47" s="110" t="s">
        <v>1039</v>
      </c>
      <c r="U47" s="187" t="str">
        <f>IFERROR(SUMIFS('caseload data'!E:E,'caseload data'!$C:$C,'divisional &amp; regional caseload%'!$T$43,'caseload data'!$D:$D,"TPO")/SUMIF('caseload data'!$C:$C,'divisional &amp; regional caseload%'!$T$36,'caseload data'!E:E),"")</f>
        <v/>
      </c>
      <c r="V47" s="187" t="str">
        <f>IFERROR(SUMIFS('caseload data'!F:F,'caseload data'!$C:$C,'divisional &amp; regional caseload%'!$T$43,'caseload data'!$D:$D,"TPO")/SUMIF('caseload data'!$C:$C,'divisional &amp; regional caseload%'!$T$36,'caseload data'!F:F),"")</f>
        <v/>
      </c>
      <c r="W47" s="187" t="str">
        <f>IFERROR(SUMIFS('caseload data'!G:G,'caseload data'!$C:$C,'divisional &amp; regional caseload%'!$T$43,'caseload data'!$D:$D,"TPO")/SUMIF('caseload data'!$C:$C,'divisional &amp; regional caseload%'!$T$36,'caseload data'!G:G),"")</f>
        <v/>
      </c>
      <c r="X47" s="187" t="str">
        <f>IFERROR(SUMIFS('caseload data'!H:H,'caseload data'!$C:$C,'divisional &amp; regional caseload%'!$T$43,'caseload data'!$D:$D,"TPO")/SUMIF('caseload data'!$C:$C,'divisional &amp; regional caseload%'!$T$36,'caseload data'!H:H),"")</f>
        <v/>
      </c>
      <c r="Y47" s="187" t="str">
        <f>IFERROR(SUMIFS('caseload data'!I:I,'caseload data'!$C:$C,'divisional &amp; regional caseload%'!$T$43,'caseload data'!$D:$D,"TPO")/SUMIF('caseload data'!$C:$C,'divisional &amp; regional caseload%'!$T$36,'caseload data'!I:I),"")</f>
        <v/>
      </c>
      <c r="Z47" s="187" t="str">
        <f>IFERROR(SUMIFS('caseload data'!J:J,'caseload data'!$C:$C,'divisional &amp; regional caseload%'!$T$43,'caseload data'!$D:$D,"TPO")/SUMIF('caseload data'!$C:$C,'divisional &amp; regional caseload%'!$T$36,'caseload data'!J:J),"")</f>
        <v/>
      </c>
      <c r="AA47" s="187" t="str">
        <f>IFERROR(SUMIFS('caseload data'!K:K,'caseload data'!$C:$C,'divisional &amp; regional caseload%'!$T$43,'caseload data'!$D:$D,"TPO")/SUMIF('caseload data'!$C:$C,'divisional &amp; regional caseload%'!$T$36,'caseload data'!K:K),"")</f>
        <v/>
      </c>
      <c r="AB47" s="187" t="str">
        <f>IFERROR(SUMIFS('caseload data'!L:L,'caseload data'!$C:$C,'divisional &amp; regional caseload%'!$T$43,'caseload data'!$D:$D,"TPO")/SUMIF('caseload data'!$C:$C,'divisional &amp; regional caseload%'!$T$36,'caseload data'!L:L),"")</f>
        <v/>
      </c>
      <c r="AC47" s="187" t="str">
        <f>IFERROR(SUMIFS('caseload data'!M:M,'caseload data'!$C:$C,'divisional &amp; regional caseload%'!$T$43,'caseload data'!$D:$D,"TPO")/SUMIF('caseload data'!$C:$C,'divisional &amp; regional caseload%'!$T$36,'caseload data'!M:M),"")</f>
        <v/>
      </c>
      <c r="AD47" s="187" t="str">
        <f>IFERROR(SUMIFS('caseload data'!N:N,'caseload data'!$C:$C,'divisional &amp; regional caseload%'!$T$43,'caseload data'!$D:$D,"TPO")/SUMIF('caseload data'!$C:$C,'divisional &amp; regional caseload%'!$T$36,'caseload data'!N:N),"")</f>
        <v/>
      </c>
      <c r="AE47" s="187" t="str">
        <f>IFERROR(SUMIFS('caseload data'!O:O,'caseload data'!$C:$C,'divisional &amp; regional caseload%'!$T$43,'caseload data'!$D:$D,"TPO")/SUMIF('caseload data'!$C:$C,'divisional &amp; regional caseload%'!$T$36,'caseload data'!O:O),"")</f>
        <v/>
      </c>
      <c r="AF47" s="187" t="str">
        <f>IFERROR(SUMIFS('caseload data'!P:P,'caseload data'!$C:$C,'divisional &amp; regional caseload%'!$T$43,'caseload data'!$D:$D,"TPO")/SUMIF('caseload data'!$C:$C,'divisional &amp; regional caseload%'!$T$36,'caseload data'!P:P),"")</f>
        <v/>
      </c>
      <c r="AG47" s="187" t="str">
        <f>IFERROR(SUMIFS('caseload data'!Q:Q,'caseload data'!$C:$C,'divisional &amp; regional caseload%'!$T$43,'caseload data'!$D:$D,"TPO")/SUMIF('caseload data'!$C:$C,'divisional &amp; regional caseload%'!$T$36,'caseload data'!Q:Q),"")</f>
        <v/>
      </c>
      <c r="AH47" s="187" t="str">
        <f>IFERROR(SUMIFS('caseload data'!R:R,'caseload data'!$C:$C,'divisional &amp; regional caseload%'!$T$43,'caseload data'!$D:$D,"TPO")/SUMIF('caseload data'!$C:$C,'divisional &amp; regional caseload%'!$T$36,'caseload data'!R:R),"")</f>
        <v/>
      </c>
      <c r="AI47" s="187" t="str">
        <f>IFERROR(SUMIFS('caseload data'!S:S,'caseload data'!$C:$C,'divisional &amp; regional caseload%'!$T$43,'caseload data'!$D:$D,"TPO")/SUMIF('caseload data'!$C:$C,'divisional &amp; regional caseload%'!$T$36,'caseload data'!S:S),"")</f>
        <v/>
      </c>
      <c r="AJ47" s="187" t="str">
        <f>IFERROR(SUMIFS('caseload data'!T:T,'caseload data'!$C:$C,'divisional &amp; regional caseload%'!$T$43,'caseload data'!$D:$D,"TPO")/SUMIF('caseload data'!$C:$C,'divisional &amp; regional caseload%'!$T$36,'caseload data'!T:T),"")</f>
        <v/>
      </c>
    </row>
    <row r="48" spans="2:36" x14ac:dyDescent="0.15">
      <c r="B48" s="111" t="s">
        <v>1040</v>
      </c>
      <c r="C48" s="187" t="str">
        <f>IFERROR(SUMIFS('caseload data'!E:E,'caseload data'!$C:$C,'divisional &amp; regional caseload%'!$B$43,'caseload data'!$D:$D,"SPO")/SUMIF('caseload data'!$C:$C,'divisional &amp; regional caseload%'!$B$43,'caseload data'!E:E),"")</f>
        <v/>
      </c>
      <c r="D48" s="187" t="str">
        <f>IFERROR(SUMIFS('caseload data'!F:F,'caseload data'!$C:$C,'divisional &amp; regional caseload%'!$B$43,'caseload data'!$D:$D,"SPO")/SUMIF('caseload data'!$C:$C,'divisional &amp; regional caseload%'!$B$43,'caseload data'!F:F),"")</f>
        <v/>
      </c>
      <c r="E48" s="187" t="str">
        <f>IFERROR(SUMIFS('caseload data'!G:G,'caseload data'!$C:$C,'divisional &amp; regional caseload%'!$B$43,'caseload data'!$D:$D,"SPO")/SUMIF('caseload data'!$C:$C,'divisional &amp; regional caseload%'!$B$43,'caseload data'!G:G),"")</f>
        <v/>
      </c>
      <c r="F48" s="187" t="str">
        <f>IFERROR(SUMIFS('caseload data'!H:H,'caseload data'!$C:$C,'divisional &amp; regional caseload%'!$B$43,'caseload data'!$D:$D,"SPO")/SUMIF('caseload data'!$C:$C,'divisional &amp; regional caseload%'!$B$43,'caseload data'!H:H),"")</f>
        <v/>
      </c>
      <c r="G48" s="187" t="str">
        <f>IFERROR(SUMIFS('caseload data'!I:I,'caseload data'!$C:$C,'divisional &amp; regional caseload%'!$B$43,'caseload data'!$D:$D,"SPO")/SUMIF('caseload data'!$C:$C,'divisional &amp; regional caseload%'!$B$43,'caseload data'!I:I),"")</f>
        <v/>
      </c>
      <c r="H48" s="187" t="str">
        <f>IFERROR(SUMIFS('caseload data'!J:J,'caseload data'!$C:$C,'divisional &amp; regional caseload%'!$B$43,'caseload data'!$D:$D,"SPO")/SUMIF('caseload data'!$C:$C,'divisional &amp; regional caseload%'!$B$43,'caseload data'!J:J),"")</f>
        <v/>
      </c>
      <c r="I48" s="187" t="str">
        <f>IFERROR(SUMIFS('caseload data'!K:K,'caseload data'!$C:$C,'divisional &amp; regional caseload%'!$B$43,'caseload data'!$D:$D,"SPO")/SUMIF('caseload data'!$C:$C,'divisional &amp; regional caseload%'!$B$43,'caseload data'!K:K),"")</f>
        <v/>
      </c>
      <c r="J48" s="187" t="str">
        <f>IFERROR(SUMIFS('caseload data'!L:L,'caseload data'!$C:$C,'divisional &amp; regional caseload%'!$B$43,'caseload data'!$D:$D,"SPO")/SUMIF('caseload data'!$C:$C,'divisional &amp; regional caseload%'!$B$43,'caseload data'!L:L),"")</f>
        <v/>
      </c>
      <c r="K48" s="187" t="str">
        <f>IFERROR(SUMIFS('caseload data'!M:M,'caseload data'!$C:$C,'divisional &amp; regional caseload%'!$B$43,'caseload data'!$D:$D,"SPO")/SUMIF('caseload data'!$C:$C,'divisional &amp; regional caseload%'!$B$43,'caseload data'!M:M),"")</f>
        <v/>
      </c>
      <c r="L48" s="187" t="str">
        <f>IFERROR(SUMIFS('caseload data'!N:N,'caseload data'!$C:$C,'divisional &amp; regional caseload%'!$B$43,'caseload data'!$D:$D,"SPO")/SUMIF('caseload data'!$C:$C,'divisional &amp; regional caseload%'!$B$43,'caseload data'!N:N),"")</f>
        <v/>
      </c>
      <c r="M48" s="187" t="str">
        <f>IFERROR(SUMIFS('caseload data'!O:O,'caseload data'!$C:$C,'divisional &amp; regional caseload%'!$B$43,'caseload data'!$D:$D,"SPO")/SUMIF('caseload data'!$C:$C,'divisional &amp; regional caseload%'!$B$43,'caseload data'!O:O),"")</f>
        <v/>
      </c>
      <c r="N48" s="187" t="str">
        <f>IFERROR(SUMIFS('caseload data'!P:P,'caseload data'!$C:$C,'divisional &amp; regional caseload%'!$B$43,'caseload data'!$D:$D,"SPO")/SUMIF('caseload data'!$C:$C,'divisional &amp; regional caseload%'!$B$43,'caseload data'!P:P),"")</f>
        <v/>
      </c>
      <c r="O48" s="187" t="str">
        <f>IFERROR(SUMIFS('caseload data'!Q:Q,'caseload data'!$C:$C,'divisional &amp; regional caseload%'!$B$43,'caseload data'!$D:$D,"SPO")/SUMIF('caseload data'!$C:$C,'divisional &amp; regional caseload%'!$B$43,'caseload data'!Q:Q),"")</f>
        <v/>
      </c>
      <c r="P48" s="187" t="str">
        <f>IFERROR(SUMIFS('caseload data'!R:R,'caseload data'!$C:$C,'divisional &amp; regional caseload%'!$B$43,'caseload data'!$D:$D,"SPO")/SUMIF('caseload data'!$C:$C,'divisional &amp; regional caseload%'!$B$43,'caseload data'!R:R),"")</f>
        <v/>
      </c>
      <c r="Q48" s="187" t="str">
        <f>IFERROR(SUMIFS('caseload data'!S:S,'caseload data'!$C:$C,'divisional &amp; regional caseload%'!$B$43,'caseload data'!$D:$D,"SPO")/SUMIF('caseload data'!$C:$C,'divisional &amp; regional caseload%'!$B$43,'caseload data'!S:S),"")</f>
        <v/>
      </c>
      <c r="R48" s="187" t="str">
        <f>IFERROR(SUMIFS('caseload data'!T:T,'caseload data'!$C:$C,'divisional &amp; regional caseload%'!$B$43,'caseload data'!$D:$D,"SPO")/SUMIF('caseload data'!$C:$C,'divisional &amp; regional caseload%'!$B$43,'caseload data'!T:T),"")</f>
        <v/>
      </c>
      <c r="S48" s="76"/>
      <c r="T48" s="111" t="s">
        <v>1040</v>
      </c>
      <c r="U48" s="187" t="str">
        <f>IFERROR(SUMIFS('caseload data'!E:E,'caseload data'!$C:$C,'divisional &amp; regional caseload%'!$T$43,'caseload data'!$D:$D,"SPO")/SUMIF('caseload data'!$C:$C,'divisional &amp; regional caseload%'!$T$36,'caseload data'!E:E),"")</f>
        <v/>
      </c>
      <c r="V48" s="187" t="str">
        <f>IFERROR(SUMIFS('caseload data'!F:F,'caseload data'!$C:$C,'divisional &amp; regional caseload%'!$T$43,'caseload data'!$D:$D,"SPO")/SUMIF('caseload data'!$C:$C,'divisional &amp; regional caseload%'!$T$36,'caseload data'!F:F),"")</f>
        <v/>
      </c>
      <c r="W48" s="187" t="str">
        <f>IFERROR(SUMIFS('caseload data'!G:G,'caseload data'!$C:$C,'divisional &amp; regional caseload%'!$T$43,'caseload data'!$D:$D,"SPO")/SUMIF('caseload data'!$C:$C,'divisional &amp; regional caseload%'!$T$36,'caseload data'!G:G),"")</f>
        <v/>
      </c>
      <c r="X48" s="187" t="str">
        <f>IFERROR(SUMIFS('caseload data'!H:H,'caseload data'!$C:$C,'divisional &amp; regional caseload%'!$T$43,'caseload data'!$D:$D,"SPO")/SUMIF('caseload data'!$C:$C,'divisional &amp; regional caseload%'!$T$36,'caseload data'!H:H),"")</f>
        <v/>
      </c>
      <c r="Y48" s="187" t="str">
        <f>IFERROR(SUMIFS('caseload data'!I:I,'caseload data'!$C:$C,'divisional &amp; regional caseload%'!$T$43,'caseload data'!$D:$D,"SPO")/SUMIF('caseload data'!$C:$C,'divisional &amp; regional caseload%'!$T$36,'caseload data'!I:I),"")</f>
        <v/>
      </c>
      <c r="Z48" s="187" t="str">
        <f>IFERROR(SUMIFS('caseload data'!J:J,'caseload data'!$C:$C,'divisional &amp; regional caseload%'!$T$43,'caseload data'!$D:$D,"SPO")/SUMIF('caseload data'!$C:$C,'divisional &amp; regional caseload%'!$T$36,'caseload data'!J:J),"")</f>
        <v/>
      </c>
      <c r="AA48" s="187" t="str">
        <f>IFERROR(SUMIFS('caseload data'!K:K,'caseload data'!$C:$C,'divisional &amp; regional caseload%'!$T$43,'caseload data'!$D:$D,"SPO")/SUMIF('caseload data'!$C:$C,'divisional &amp; regional caseload%'!$T$36,'caseload data'!K:K),"")</f>
        <v/>
      </c>
      <c r="AB48" s="187" t="str">
        <f>IFERROR(SUMIFS('caseload data'!L:L,'caseload data'!$C:$C,'divisional &amp; regional caseload%'!$T$43,'caseload data'!$D:$D,"SPO")/SUMIF('caseload data'!$C:$C,'divisional &amp; regional caseload%'!$T$36,'caseload data'!L:L),"")</f>
        <v/>
      </c>
      <c r="AC48" s="187" t="str">
        <f>IFERROR(SUMIFS('caseload data'!M:M,'caseload data'!$C:$C,'divisional &amp; regional caseload%'!$T$43,'caseload data'!$D:$D,"SPO")/SUMIF('caseload data'!$C:$C,'divisional &amp; regional caseload%'!$T$36,'caseload data'!M:M),"")</f>
        <v/>
      </c>
      <c r="AD48" s="187" t="str">
        <f>IFERROR(SUMIFS('caseload data'!N:N,'caseload data'!$C:$C,'divisional &amp; regional caseload%'!$T$43,'caseload data'!$D:$D,"SPO")/SUMIF('caseload data'!$C:$C,'divisional &amp; regional caseload%'!$T$36,'caseload data'!N:N),"")</f>
        <v/>
      </c>
      <c r="AE48" s="187" t="str">
        <f>IFERROR(SUMIFS('caseload data'!O:O,'caseload data'!$C:$C,'divisional &amp; regional caseload%'!$T$43,'caseload data'!$D:$D,"SPO")/SUMIF('caseload data'!$C:$C,'divisional &amp; regional caseload%'!$T$36,'caseload data'!O:O),"")</f>
        <v/>
      </c>
      <c r="AF48" s="187" t="str">
        <f>IFERROR(SUMIFS('caseload data'!P:P,'caseload data'!$C:$C,'divisional &amp; regional caseload%'!$T$43,'caseload data'!$D:$D,"SPO")/SUMIF('caseload data'!$C:$C,'divisional &amp; regional caseload%'!$T$36,'caseload data'!P:P),"")</f>
        <v/>
      </c>
      <c r="AG48" s="187" t="str">
        <f>IFERROR(SUMIFS('caseload data'!Q:Q,'caseload data'!$C:$C,'divisional &amp; regional caseload%'!$T$43,'caseload data'!$D:$D,"SPO")/SUMIF('caseload data'!$C:$C,'divisional &amp; regional caseload%'!$T$36,'caseload data'!Q:Q),"")</f>
        <v/>
      </c>
      <c r="AH48" s="187" t="str">
        <f>IFERROR(SUMIFS('caseload data'!R:R,'caseload data'!$C:$C,'divisional &amp; regional caseload%'!$T$43,'caseload data'!$D:$D,"SPO")/SUMIF('caseload data'!$C:$C,'divisional &amp; regional caseload%'!$T$36,'caseload data'!R:R),"")</f>
        <v/>
      </c>
      <c r="AI48" s="187" t="str">
        <f>IFERROR(SUMIFS('caseload data'!S:S,'caseload data'!$C:$C,'divisional &amp; regional caseload%'!$T$43,'caseload data'!$D:$D,"SPO")/SUMIF('caseload data'!$C:$C,'divisional &amp; regional caseload%'!$T$36,'caseload data'!S:S),"")</f>
        <v/>
      </c>
      <c r="AJ48" s="187" t="str">
        <f>IFERROR(SUMIFS('caseload data'!T:T,'caseload data'!$C:$C,'divisional &amp; regional caseload%'!$T$43,'caseload data'!$D:$D,"SPO")/SUMIF('caseload data'!$C:$C,'divisional &amp; regional caseload%'!$T$36,'caseload data'!T:T),"")</f>
        <v/>
      </c>
    </row>
    <row r="49" spans="2:36" x14ac:dyDescent="0.15">
      <c r="B49" s="104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0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</row>
    <row r="50" spans="2:36" ht="30" customHeight="1" x14ac:dyDescent="0.15">
      <c r="B50" s="162" t="str">
        <f>HLOOKUP($B$5,Region_Table,14,0)</f>
        <v>Sefton</v>
      </c>
      <c r="C50" s="333" t="s">
        <v>1257</v>
      </c>
      <c r="D50" s="334"/>
      <c r="E50" s="334"/>
      <c r="F50" s="334"/>
      <c r="G50" s="334"/>
      <c r="H50" s="334"/>
      <c r="I50" s="334"/>
      <c r="J50" s="334"/>
      <c r="K50" s="334"/>
      <c r="L50" s="334"/>
      <c r="M50" s="343"/>
      <c r="N50" s="343"/>
      <c r="O50" s="344"/>
      <c r="P50" s="337">
        <f>SUMIF('caseload data'!$C:$C,'divisional &amp; regional caseload%'!B50,'caseload data'!V:V)</f>
        <v>0</v>
      </c>
      <c r="Q50" s="345"/>
      <c r="R50" s="346"/>
      <c r="S50" s="76"/>
      <c r="T50" s="162" t="str">
        <f>HLOOKUP($B$5,Region_Table,15,0)</f>
        <v>Wirral - N51</v>
      </c>
      <c r="U50" s="333" t="s">
        <v>1257</v>
      </c>
      <c r="V50" s="334"/>
      <c r="W50" s="334"/>
      <c r="X50" s="334"/>
      <c r="Y50" s="334"/>
      <c r="Z50" s="334"/>
      <c r="AA50" s="334"/>
      <c r="AB50" s="334"/>
      <c r="AC50" s="334"/>
      <c r="AD50" s="334"/>
      <c r="AE50" s="343"/>
      <c r="AF50" s="343"/>
      <c r="AG50" s="344"/>
      <c r="AH50" s="337">
        <f>SUMIF('caseload data'!$C:$C,'divisional &amp; regional caseload%'!T50,'caseload data'!V:V)</f>
        <v>0</v>
      </c>
      <c r="AI50" s="345"/>
      <c r="AJ50" s="346"/>
    </row>
    <row r="51" spans="2:36" x14ac:dyDescent="0.15">
      <c r="B51" s="108" t="s">
        <v>1199</v>
      </c>
      <c r="C51" s="42" t="s">
        <v>1019</v>
      </c>
      <c r="D51" s="42" t="s">
        <v>1020</v>
      </c>
      <c r="E51" s="42" t="s">
        <v>1021</v>
      </c>
      <c r="F51" s="42" t="s">
        <v>1022</v>
      </c>
      <c r="G51" s="42" t="s">
        <v>1023</v>
      </c>
      <c r="H51" s="42" t="s">
        <v>1024</v>
      </c>
      <c r="I51" s="42" t="s">
        <v>1025</v>
      </c>
      <c r="J51" s="42" t="s">
        <v>1026</v>
      </c>
      <c r="K51" s="42" t="s">
        <v>1027</v>
      </c>
      <c r="L51" s="42" t="s">
        <v>1028</v>
      </c>
      <c r="M51" s="42" t="s">
        <v>1029</v>
      </c>
      <c r="N51" s="42" t="s">
        <v>1030</v>
      </c>
      <c r="O51" s="42" t="s">
        <v>1031</v>
      </c>
      <c r="P51" s="42" t="s">
        <v>1032</v>
      </c>
      <c r="Q51" s="42" t="s">
        <v>1033</v>
      </c>
      <c r="R51" s="42" t="s">
        <v>1034</v>
      </c>
      <c r="S51" s="76"/>
      <c r="T51" s="108" t="s">
        <v>1199</v>
      </c>
      <c r="U51" s="42" t="s">
        <v>1019</v>
      </c>
      <c r="V51" s="42" t="s">
        <v>1020</v>
      </c>
      <c r="W51" s="42" t="s">
        <v>1021</v>
      </c>
      <c r="X51" s="42" t="s">
        <v>1022</v>
      </c>
      <c r="Y51" s="42" t="s">
        <v>1023</v>
      </c>
      <c r="Z51" s="42" t="s">
        <v>1024</v>
      </c>
      <c r="AA51" s="42" t="s">
        <v>1025</v>
      </c>
      <c r="AB51" s="42" t="s">
        <v>1026</v>
      </c>
      <c r="AC51" s="42" t="s">
        <v>1027</v>
      </c>
      <c r="AD51" s="42" t="s">
        <v>1028</v>
      </c>
      <c r="AE51" s="42" t="s">
        <v>1029</v>
      </c>
      <c r="AF51" s="42" t="s">
        <v>1030</v>
      </c>
      <c r="AG51" s="42" t="s">
        <v>1031</v>
      </c>
      <c r="AH51" s="42" t="s">
        <v>1032</v>
      </c>
      <c r="AI51" s="42" t="s">
        <v>1033</v>
      </c>
      <c r="AJ51" s="42" t="s">
        <v>1034</v>
      </c>
    </row>
    <row r="52" spans="2:36" x14ac:dyDescent="0.15">
      <c r="B52" s="109" t="s">
        <v>1037</v>
      </c>
      <c r="C52" s="187" t="str">
        <f>IFERROR(SUMIFS('caseload data'!E:E,'caseload data'!$C:$C,'divisional &amp; regional caseload%'!$B$50,'caseload data'!$D:$D,"PO")/SUMIF('caseload data'!$C:$C,'divisional &amp; regional caseload%'!$B$50,'caseload data'!E:E),"")</f>
        <v/>
      </c>
      <c r="D52" s="187" t="str">
        <f>IFERROR(SUMIFS('caseload data'!F:F,'caseload data'!$C:$C,'divisional &amp; regional caseload%'!$B$50,'caseload data'!$D:$D,"PO")/SUMIF('caseload data'!$C:$C,'divisional &amp; regional caseload%'!$B$50,'caseload data'!F:F),"")</f>
        <v/>
      </c>
      <c r="E52" s="187" t="str">
        <f>IFERROR(SUMIFS('caseload data'!G:G,'caseload data'!$C:$C,'divisional &amp; regional caseload%'!$B$50,'caseload data'!$D:$D,"PO")/SUMIF('caseload data'!$C:$C,'divisional &amp; regional caseload%'!$B$50,'caseload data'!G:G),"")</f>
        <v/>
      </c>
      <c r="F52" s="187" t="str">
        <f>IFERROR(SUMIFS('caseload data'!H:H,'caseload data'!$C:$C,'divisional &amp; regional caseload%'!$B$50,'caseload data'!$D:$D,"PO")/SUMIF('caseload data'!$C:$C,'divisional &amp; regional caseload%'!$B$50,'caseload data'!H:H),"")</f>
        <v/>
      </c>
      <c r="G52" s="187" t="str">
        <f>IFERROR(SUMIFS('caseload data'!I:I,'caseload data'!$C:$C,'divisional &amp; regional caseload%'!$B$50,'caseload data'!$D:$D,"PO")/SUMIF('caseload data'!$C:$C,'divisional &amp; regional caseload%'!$B$50,'caseload data'!I:I),"")</f>
        <v/>
      </c>
      <c r="H52" s="187" t="str">
        <f>IFERROR(SUMIFS('caseload data'!J:J,'caseload data'!$C:$C,'divisional &amp; regional caseload%'!$B$50,'caseload data'!$D:$D,"PO")/SUMIF('caseload data'!$C:$C,'divisional &amp; regional caseload%'!$B$50,'caseload data'!J:J),"")</f>
        <v/>
      </c>
      <c r="I52" s="187" t="str">
        <f>IFERROR(SUMIFS('caseload data'!K:K,'caseload data'!$C:$C,'divisional &amp; regional caseload%'!$B$50,'caseload data'!$D:$D,"PO")/SUMIF('caseload data'!$C:$C,'divisional &amp; regional caseload%'!$B$50,'caseload data'!K:K),"")</f>
        <v/>
      </c>
      <c r="J52" s="187" t="str">
        <f>IFERROR(SUMIFS('caseload data'!L:L,'caseload data'!$C:$C,'divisional &amp; regional caseload%'!$B$50,'caseload data'!$D:$D,"PO")/SUMIF('caseload data'!$C:$C,'divisional &amp; regional caseload%'!$B$50,'caseload data'!L:L),"")</f>
        <v/>
      </c>
      <c r="K52" s="187" t="str">
        <f>IFERROR(SUMIFS('caseload data'!M:M,'caseload data'!$C:$C,'divisional &amp; regional caseload%'!$B$50,'caseload data'!$D:$D,"PO")/SUMIF('caseload data'!$C:$C,'divisional &amp; regional caseload%'!$B$50,'caseload data'!M:M),"")</f>
        <v/>
      </c>
      <c r="L52" s="187" t="str">
        <f>IFERROR(SUMIFS('caseload data'!N:N,'caseload data'!$C:$C,'divisional &amp; regional caseload%'!$B$50,'caseload data'!$D:$D,"PO")/SUMIF('caseload data'!$C:$C,'divisional &amp; regional caseload%'!$B$50,'caseload data'!N:N),"")</f>
        <v/>
      </c>
      <c r="M52" s="187" t="str">
        <f>IFERROR(SUMIFS('caseload data'!O:O,'caseload data'!$C:$C,'divisional &amp; regional caseload%'!$B$50,'caseload data'!$D:$D,"PO")/SUMIF('caseload data'!$C:$C,'divisional &amp; regional caseload%'!$B$50,'caseload data'!O:O),"")</f>
        <v/>
      </c>
      <c r="N52" s="187" t="str">
        <f>IFERROR(SUMIFS('caseload data'!P:P,'caseload data'!$C:$C,'divisional &amp; regional caseload%'!$B$50,'caseload data'!$D:$D,"PO")/SUMIF('caseload data'!$C:$C,'divisional &amp; regional caseload%'!$B$50,'caseload data'!P:P),"")</f>
        <v/>
      </c>
      <c r="O52" s="187" t="str">
        <f>IFERROR(SUMIFS('caseload data'!Q:Q,'caseload data'!$C:$C,'divisional &amp; regional caseload%'!$B$50,'caseload data'!$D:$D,"PO")/SUMIF('caseload data'!$C:$C,'divisional &amp; regional caseload%'!$B$50,'caseload data'!Q:Q),"")</f>
        <v/>
      </c>
      <c r="P52" s="187" t="str">
        <f>IFERROR(SUMIFS('caseload data'!R:R,'caseload data'!$C:$C,'divisional &amp; regional caseload%'!$B$50,'caseload data'!$D:$D,"PO")/SUMIF('caseload data'!$C:$C,'divisional &amp; regional caseload%'!$B$50,'caseload data'!R:R),"")</f>
        <v/>
      </c>
      <c r="Q52" s="187" t="str">
        <f>IFERROR(SUMIFS('caseload data'!S:S,'caseload data'!$C:$C,'divisional &amp; regional caseload%'!$B$50,'caseload data'!$D:$D,"PO")/SUMIF('caseload data'!$C:$C,'divisional &amp; regional caseload%'!$B$50,'caseload data'!S:S),"")</f>
        <v/>
      </c>
      <c r="R52" s="187" t="str">
        <f>IFERROR(SUMIFS('caseload data'!T:T,'caseload data'!$C:$C,'divisional &amp; regional caseload%'!$B$50,'caseload data'!$D:$D,"PO")/SUMIF('caseload data'!$C:$C,'divisional &amp; regional caseload%'!$B$50,'caseload data'!T:T),"")</f>
        <v/>
      </c>
      <c r="S52" s="76"/>
      <c r="T52" s="109" t="s">
        <v>1037</v>
      </c>
      <c r="U52" s="187" t="str">
        <f>IFERROR(SUMIFS('caseload data'!E:E,'caseload data'!$C:$C,'divisional &amp; regional caseload%'!$T$50,'caseload data'!$D:$D,"PO")/SUMIF('caseload data'!$C:$C,'divisional &amp; regional caseload%'!$T$50,'caseload data'!E:E),"")</f>
        <v/>
      </c>
      <c r="V52" s="187" t="str">
        <f>IFERROR(SUMIFS('caseload data'!F:F,'caseload data'!$C:$C,'divisional &amp; regional caseload%'!$T$50,'caseload data'!$D:$D,"PO")/SUMIF('caseload data'!$C:$C,'divisional &amp; regional caseload%'!$T$50,'caseload data'!F:F),"")</f>
        <v/>
      </c>
      <c r="W52" s="187" t="str">
        <f>IFERROR(SUMIFS('caseload data'!G:G,'caseload data'!$C:$C,'divisional &amp; regional caseload%'!$T$50,'caseload data'!$D:$D,"PO")/SUMIF('caseload data'!$C:$C,'divisional &amp; regional caseload%'!$T$50,'caseload data'!G:G),"")</f>
        <v/>
      </c>
      <c r="X52" s="187" t="str">
        <f>IFERROR(SUMIFS('caseload data'!H:H,'caseload data'!$C:$C,'divisional &amp; regional caseload%'!$T$50,'caseload data'!$D:$D,"PO")/SUMIF('caseload data'!$C:$C,'divisional &amp; regional caseload%'!$T$50,'caseload data'!H:H),"")</f>
        <v/>
      </c>
      <c r="Y52" s="187" t="str">
        <f>IFERROR(SUMIFS('caseload data'!I:I,'caseload data'!$C:$C,'divisional &amp; regional caseload%'!$T$50,'caseload data'!$D:$D,"PO")/SUMIF('caseload data'!$C:$C,'divisional &amp; regional caseload%'!$T$50,'caseload data'!I:I),"")</f>
        <v/>
      </c>
      <c r="Z52" s="187" t="str">
        <f>IFERROR(SUMIFS('caseload data'!J:J,'caseload data'!$C:$C,'divisional &amp; regional caseload%'!$T$50,'caseload data'!$D:$D,"PO")/SUMIF('caseload data'!$C:$C,'divisional &amp; regional caseload%'!$T$50,'caseload data'!J:J),"")</f>
        <v/>
      </c>
      <c r="AA52" s="187" t="str">
        <f>IFERROR(SUMIFS('caseload data'!K:K,'caseload data'!$C:$C,'divisional &amp; regional caseload%'!$T$50,'caseload data'!$D:$D,"PO")/SUMIF('caseload data'!$C:$C,'divisional &amp; regional caseload%'!$T$50,'caseload data'!K:K),"")</f>
        <v/>
      </c>
      <c r="AB52" s="187" t="str">
        <f>IFERROR(SUMIFS('caseload data'!L:L,'caseload data'!$C:$C,'divisional &amp; regional caseload%'!$T$50,'caseload data'!$D:$D,"PO")/SUMIF('caseload data'!$C:$C,'divisional &amp; regional caseload%'!$T$50,'caseload data'!L:L),"")</f>
        <v/>
      </c>
      <c r="AC52" s="187" t="str">
        <f>IFERROR(SUMIFS('caseload data'!M:M,'caseload data'!$C:$C,'divisional &amp; regional caseload%'!$T$50,'caseload data'!$D:$D,"PO")/SUMIF('caseload data'!$C:$C,'divisional &amp; regional caseload%'!$T$50,'caseload data'!M:M),"")</f>
        <v/>
      </c>
      <c r="AD52" s="187" t="str">
        <f>IFERROR(SUMIFS('caseload data'!N:N,'caseload data'!$C:$C,'divisional &amp; regional caseload%'!$T$50,'caseload data'!$D:$D,"PO")/SUMIF('caseload data'!$C:$C,'divisional &amp; regional caseload%'!$T$50,'caseload data'!N:N),"")</f>
        <v/>
      </c>
      <c r="AE52" s="187" t="str">
        <f>IFERROR(SUMIFS('caseload data'!O:O,'caseload data'!$C:$C,'divisional &amp; regional caseload%'!$T$50,'caseload data'!$D:$D,"PO")/SUMIF('caseload data'!$C:$C,'divisional &amp; regional caseload%'!$T$50,'caseload data'!O:O),"")</f>
        <v/>
      </c>
      <c r="AF52" s="187" t="str">
        <f>IFERROR(SUMIFS('caseload data'!P:P,'caseload data'!$C:$C,'divisional &amp; regional caseload%'!$T$50,'caseload data'!$D:$D,"PO")/SUMIF('caseload data'!$C:$C,'divisional &amp; regional caseload%'!$T$50,'caseload data'!P:P),"")</f>
        <v/>
      </c>
      <c r="AG52" s="187" t="str">
        <f>IFERROR(SUMIFS('caseload data'!Q:Q,'caseload data'!$C:$C,'divisional &amp; regional caseload%'!$T$50,'caseload data'!$D:$D,"PO")/SUMIF('caseload data'!$C:$C,'divisional &amp; regional caseload%'!$T$50,'caseload data'!Q:Q),"")</f>
        <v/>
      </c>
      <c r="AH52" s="187" t="str">
        <f>IFERROR(SUMIFS('caseload data'!R:R,'caseload data'!$C:$C,'divisional &amp; regional caseload%'!$T$50,'caseload data'!$D:$D,"PO")/SUMIF('caseload data'!$C:$C,'divisional &amp; regional caseload%'!$T$50,'caseload data'!R:R),"")</f>
        <v/>
      </c>
      <c r="AI52" s="187" t="str">
        <f>IFERROR(SUMIFS('caseload data'!S:S,'caseload data'!$C:$C,'divisional &amp; regional caseload%'!$T$50,'caseload data'!$D:$D,"PO")/SUMIF('caseload data'!$C:$C,'divisional &amp; regional caseload%'!$T$50,'caseload data'!S:S),"")</f>
        <v/>
      </c>
      <c r="AJ52" s="187" t="str">
        <f>IFERROR(SUMIFS('caseload data'!T:T,'caseload data'!$C:$C,'divisional &amp; regional caseload%'!$T$50,'caseload data'!$D:$D,"PO")/SUMIF('caseload data'!$C:$C,'divisional &amp; regional caseload%'!$T$50,'caseload data'!T:T),"")</f>
        <v/>
      </c>
    </row>
    <row r="53" spans="2:36" x14ac:dyDescent="0.15">
      <c r="B53" s="110" t="s">
        <v>1038</v>
      </c>
      <c r="C53" s="187" t="str">
        <f>IFERROR(SUMIFS('caseload data'!E:E,'caseload data'!$C:$C,'divisional &amp; regional caseload%'!$B$50,'caseload data'!$D:$D,"PSO")/SUMIF('caseload data'!$C:$C,'divisional &amp; regional caseload%'!$B$50,'caseload data'!E:E),"")</f>
        <v/>
      </c>
      <c r="D53" s="187" t="str">
        <f>IFERROR(SUMIFS('caseload data'!F:F,'caseload data'!$C:$C,'divisional &amp; regional caseload%'!$B$50,'caseload data'!$D:$D,"PSO")/SUMIF('caseload data'!$C:$C,'divisional &amp; regional caseload%'!$B$50,'caseload data'!F:F),"")</f>
        <v/>
      </c>
      <c r="E53" s="187" t="str">
        <f>IFERROR(SUMIFS('caseload data'!G:G,'caseload data'!$C:$C,'divisional &amp; regional caseload%'!$B$50,'caseload data'!$D:$D,"PSO")/SUMIF('caseload data'!$C:$C,'divisional &amp; regional caseload%'!$B$50,'caseload data'!G:G),"")</f>
        <v/>
      </c>
      <c r="F53" s="187" t="str">
        <f>IFERROR(SUMIFS('caseload data'!H:H,'caseload data'!$C:$C,'divisional &amp; regional caseload%'!$B$50,'caseload data'!$D:$D,"PSO")/SUMIF('caseload data'!$C:$C,'divisional &amp; regional caseload%'!$B$50,'caseload data'!H:H),"")</f>
        <v/>
      </c>
      <c r="G53" s="187" t="str">
        <f>IFERROR(SUMIFS('caseload data'!I:I,'caseload data'!$C:$C,'divisional &amp; regional caseload%'!$B$50,'caseload data'!$D:$D,"PSO")/SUMIF('caseload data'!$C:$C,'divisional &amp; regional caseload%'!$B$50,'caseload data'!I:I),"")</f>
        <v/>
      </c>
      <c r="H53" s="187" t="str">
        <f>IFERROR(SUMIFS('caseload data'!J:J,'caseload data'!$C:$C,'divisional &amp; regional caseload%'!$B$50,'caseload data'!$D:$D,"PSO")/SUMIF('caseload data'!$C:$C,'divisional &amp; regional caseload%'!$B$50,'caseload data'!J:J),"")</f>
        <v/>
      </c>
      <c r="I53" s="187" t="str">
        <f>IFERROR(SUMIFS('caseload data'!K:K,'caseload data'!$C:$C,'divisional &amp; regional caseload%'!$B$50,'caseload data'!$D:$D,"PSO")/SUMIF('caseload data'!$C:$C,'divisional &amp; regional caseload%'!$B$50,'caseload data'!K:K),"")</f>
        <v/>
      </c>
      <c r="J53" s="187" t="str">
        <f>IFERROR(SUMIFS('caseload data'!L:L,'caseload data'!$C:$C,'divisional &amp; regional caseload%'!$B$50,'caseload data'!$D:$D,"PSO")/SUMIF('caseload data'!$C:$C,'divisional &amp; regional caseload%'!$B$50,'caseload data'!L:L),"")</f>
        <v/>
      </c>
      <c r="K53" s="187" t="str">
        <f>IFERROR(SUMIFS('caseload data'!M:M,'caseload data'!$C:$C,'divisional &amp; regional caseload%'!$B$50,'caseload data'!$D:$D,"PSO")/SUMIF('caseload data'!$C:$C,'divisional &amp; regional caseload%'!$B$50,'caseload data'!M:M),"")</f>
        <v/>
      </c>
      <c r="L53" s="187" t="str">
        <f>IFERROR(SUMIFS('caseload data'!N:N,'caseload data'!$C:$C,'divisional &amp; regional caseload%'!$B$50,'caseload data'!$D:$D,"PSO")/SUMIF('caseload data'!$C:$C,'divisional &amp; regional caseload%'!$B$50,'caseload data'!N:N),"")</f>
        <v/>
      </c>
      <c r="M53" s="187" t="str">
        <f>IFERROR(SUMIFS('caseload data'!O:O,'caseload data'!$C:$C,'divisional &amp; regional caseload%'!$B$50,'caseload data'!$D:$D,"PSO")/SUMIF('caseload data'!$C:$C,'divisional &amp; regional caseload%'!$B$50,'caseload data'!O:O),"")</f>
        <v/>
      </c>
      <c r="N53" s="187" t="str">
        <f>IFERROR(SUMIFS('caseload data'!P:P,'caseload data'!$C:$C,'divisional &amp; regional caseload%'!$B$50,'caseload data'!$D:$D,"PSO")/SUMIF('caseload data'!$C:$C,'divisional &amp; regional caseload%'!$B$50,'caseload data'!P:P),"")</f>
        <v/>
      </c>
      <c r="O53" s="187" t="str">
        <f>IFERROR(SUMIFS('caseload data'!Q:Q,'caseload data'!$C:$C,'divisional &amp; regional caseload%'!$B$50,'caseload data'!$D:$D,"PSO")/SUMIF('caseload data'!$C:$C,'divisional &amp; regional caseload%'!$B$50,'caseload data'!Q:Q),"")</f>
        <v/>
      </c>
      <c r="P53" s="187" t="str">
        <f>IFERROR(SUMIFS('caseload data'!R:R,'caseload data'!$C:$C,'divisional &amp; regional caseload%'!$B$50,'caseload data'!$D:$D,"PSO")/SUMIF('caseload data'!$C:$C,'divisional &amp; regional caseload%'!$B$50,'caseload data'!R:R),"")</f>
        <v/>
      </c>
      <c r="Q53" s="187" t="str">
        <f>IFERROR(SUMIFS('caseload data'!S:S,'caseload data'!$C:$C,'divisional &amp; regional caseload%'!$B$50,'caseload data'!$D:$D,"PSO")/SUMIF('caseload data'!$C:$C,'divisional &amp; regional caseload%'!$B$50,'caseload data'!S:S),"")</f>
        <v/>
      </c>
      <c r="R53" s="187" t="str">
        <f>IFERROR(SUMIFS('caseload data'!T:T,'caseload data'!$C:$C,'divisional &amp; regional caseload%'!$B$50,'caseload data'!$D:$D,"PSO")/SUMIF('caseload data'!$C:$C,'divisional &amp; regional caseload%'!$B$50,'caseload data'!T:T),"")</f>
        <v/>
      </c>
      <c r="S53" s="76"/>
      <c r="T53" s="110" t="s">
        <v>1038</v>
      </c>
      <c r="U53" s="187" t="str">
        <f>IFERROR(SUMIFS('caseload data'!E:E,'caseload data'!$C:$C,'divisional &amp; regional caseload%'!$T$50,'caseload data'!$D:$D,"PSO")/SUMIF('caseload data'!$C:$C,'divisional &amp; regional caseload%'!$T$50,'caseload data'!E:E),"")</f>
        <v/>
      </c>
      <c r="V53" s="187" t="str">
        <f>IFERROR(SUMIFS('caseload data'!F:F,'caseload data'!$C:$C,'divisional &amp; regional caseload%'!$T$50,'caseload data'!$D:$D,"PSO")/SUMIF('caseload data'!$C:$C,'divisional &amp; regional caseload%'!$T$50,'caseload data'!F:F),"")</f>
        <v/>
      </c>
      <c r="W53" s="187" t="str">
        <f>IFERROR(SUMIFS('caseload data'!G:G,'caseload data'!$C:$C,'divisional &amp; regional caseload%'!$T$50,'caseload data'!$D:$D,"PSO")/SUMIF('caseload data'!$C:$C,'divisional &amp; regional caseload%'!$T$50,'caseload data'!G:G),"")</f>
        <v/>
      </c>
      <c r="X53" s="187" t="str">
        <f>IFERROR(SUMIFS('caseload data'!H:H,'caseload data'!$C:$C,'divisional &amp; regional caseload%'!$T$50,'caseload data'!$D:$D,"PSO")/SUMIF('caseload data'!$C:$C,'divisional &amp; regional caseload%'!$T$50,'caseload data'!H:H),"")</f>
        <v/>
      </c>
      <c r="Y53" s="187" t="str">
        <f>IFERROR(SUMIFS('caseload data'!I:I,'caseload data'!$C:$C,'divisional &amp; regional caseload%'!$T$50,'caseload data'!$D:$D,"PSO")/SUMIF('caseload data'!$C:$C,'divisional &amp; regional caseload%'!$T$50,'caseload data'!I:I),"")</f>
        <v/>
      </c>
      <c r="Z53" s="187" t="str">
        <f>IFERROR(SUMIFS('caseload data'!J:J,'caseload data'!$C:$C,'divisional &amp; regional caseload%'!$T$50,'caseload data'!$D:$D,"PSO")/SUMIF('caseload data'!$C:$C,'divisional &amp; regional caseload%'!$T$50,'caseload data'!J:J),"")</f>
        <v/>
      </c>
      <c r="AA53" s="187" t="str">
        <f>IFERROR(SUMIFS('caseload data'!K:K,'caseload data'!$C:$C,'divisional &amp; regional caseload%'!$T$50,'caseload data'!$D:$D,"PSO")/SUMIF('caseload data'!$C:$C,'divisional &amp; regional caseload%'!$T$50,'caseload data'!K:K),"")</f>
        <v/>
      </c>
      <c r="AB53" s="187" t="str">
        <f>IFERROR(SUMIFS('caseload data'!L:L,'caseload data'!$C:$C,'divisional &amp; regional caseload%'!$T$50,'caseload data'!$D:$D,"PSO")/SUMIF('caseload data'!$C:$C,'divisional &amp; regional caseload%'!$T$50,'caseload data'!L:L),"")</f>
        <v/>
      </c>
      <c r="AC53" s="187" t="str">
        <f>IFERROR(SUMIFS('caseload data'!M:M,'caseload data'!$C:$C,'divisional &amp; regional caseload%'!$T$50,'caseload data'!$D:$D,"PSO")/SUMIF('caseload data'!$C:$C,'divisional &amp; regional caseload%'!$T$50,'caseload data'!M:M),"")</f>
        <v/>
      </c>
      <c r="AD53" s="187" t="str">
        <f>IFERROR(SUMIFS('caseload data'!N:N,'caseload data'!$C:$C,'divisional &amp; regional caseload%'!$T$50,'caseload data'!$D:$D,"PSO")/SUMIF('caseload data'!$C:$C,'divisional &amp; regional caseload%'!$T$50,'caseload data'!N:N),"")</f>
        <v/>
      </c>
      <c r="AE53" s="187" t="str">
        <f>IFERROR(SUMIFS('caseload data'!O:O,'caseload data'!$C:$C,'divisional &amp; regional caseload%'!$T$50,'caseload data'!$D:$D,"PSO")/SUMIF('caseload data'!$C:$C,'divisional &amp; regional caseload%'!$T$50,'caseload data'!O:O),"")</f>
        <v/>
      </c>
      <c r="AF53" s="187" t="str">
        <f>IFERROR(SUMIFS('caseload data'!P:P,'caseload data'!$C:$C,'divisional &amp; regional caseload%'!$T$50,'caseload data'!$D:$D,"PSO")/SUMIF('caseload data'!$C:$C,'divisional &amp; regional caseload%'!$T$50,'caseload data'!P:P),"")</f>
        <v/>
      </c>
      <c r="AG53" s="187" t="str">
        <f>IFERROR(SUMIFS('caseload data'!Q:Q,'caseload data'!$C:$C,'divisional &amp; regional caseload%'!$T$50,'caseload data'!$D:$D,"PSO")/SUMIF('caseload data'!$C:$C,'divisional &amp; regional caseload%'!$T$50,'caseload data'!Q:Q),"")</f>
        <v/>
      </c>
      <c r="AH53" s="187" t="str">
        <f>IFERROR(SUMIFS('caseload data'!R:R,'caseload data'!$C:$C,'divisional &amp; regional caseload%'!$T$50,'caseload data'!$D:$D,"PSO")/SUMIF('caseload data'!$C:$C,'divisional &amp; regional caseload%'!$T$50,'caseload data'!R:R),"")</f>
        <v/>
      </c>
      <c r="AI53" s="187" t="str">
        <f>IFERROR(SUMIFS('caseload data'!S:S,'caseload data'!$C:$C,'divisional &amp; regional caseload%'!$T$50,'caseload data'!$D:$D,"PSO")/SUMIF('caseload data'!$C:$C,'divisional &amp; regional caseload%'!$T$50,'caseload data'!S:S),"")</f>
        <v/>
      </c>
      <c r="AJ53" s="187" t="str">
        <f>IFERROR(SUMIFS('caseload data'!T:T,'caseload data'!$C:$C,'divisional &amp; regional caseload%'!$T$50,'caseload data'!$D:$D,"PSO")/SUMIF('caseload data'!$C:$C,'divisional &amp; regional caseload%'!$T$50,'caseload data'!T:T),"")</f>
        <v/>
      </c>
    </row>
    <row r="54" spans="2:36" x14ac:dyDescent="0.15">
      <c r="B54" s="110" t="s">
        <v>1039</v>
      </c>
      <c r="C54" s="187" t="str">
        <f>IFERROR(SUMIFS('caseload data'!E:E,'caseload data'!$C:$C,'divisional &amp; regional caseload%'!$B$50,'caseload data'!$D:$D,"TPO")/SUMIF('caseload data'!$C:$C,'divisional &amp; regional caseload%'!$B$50,'caseload data'!E:E),"")</f>
        <v/>
      </c>
      <c r="D54" s="187" t="str">
        <f>IFERROR(SUMIFS('caseload data'!F:F,'caseload data'!$C:$C,'divisional &amp; regional caseload%'!$B$50,'caseload data'!$D:$D,"TPO")/SUMIF('caseload data'!$C:$C,'divisional &amp; regional caseload%'!$B$50,'caseload data'!F:F),"")</f>
        <v/>
      </c>
      <c r="E54" s="187" t="str">
        <f>IFERROR(SUMIFS('caseload data'!G:G,'caseload data'!$C:$C,'divisional &amp; regional caseload%'!$B$50,'caseload data'!$D:$D,"TPO")/SUMIF('caseload data'!$C:$C,'divisional &amp; regional caseload%'!$B$50,'caseload data'!G:G),"")</f>
        <v/>
      </c>
      <c r="F54" s="187" t="str">
        <f>IFERROR(SUMIFS('caseload data'!H:H,'caseload data'!$C:$C,'divisional &amp; regional caseload%'!$B$50,'caseload data'!$D:$D,"TPO")/SUMIF('caseload data'!$C:$C,'divisional &amp; regional caseload%'!$B$50,'caseload data'!H:H),"")</f>
        <v/>
      </c>
      <c r="G54" s="187" t="str">
        <f>IFERROR(SUMIFS('caseload data'!I:I,'caseload data'!$C:$C,'divisional &amp; regional caseload%'!$B$50,'caseload data'!$D:$D,"TPO")/SUMIF('caseload data'!$C:$C,'divisional &amp; regional caseload%'!$B$50,'caseload data'!I:I),"")</f>
        <v/>
      </c>
      <c r="H54" s="187" t="str">
        <f>IFERROR(SUMIFS('caseload data'!J:J,'caseload data'!$C:$C,'divisional &amp; regional caseload%'!$B$50,'caseload data'!$D:$D,"TPO")/SUMIF('caseload data'!$C:$C,'divisional &amp; regional caseload%'!$B$50,'caseload data'!J:J),"")</f>
        <v/>
      </c>
      <c r="I54" s="187" t="str">
        <f>IFERROR(SUMIFS('caseload data'!K:K,'caseload data'!$C:$C,'divisional &amp; regional caseload%'!$B$50,'caseload data'!$D:$D,"TPO")/SUMIF('caseload data'!$C:$C,'divisional &amp; regional caseload%'!$B$50,'caseload data'!K:K),"")</f>
        <v/>
      </c>
      <c r="J54" s="187" t="str">
        <f>IFERROR(SUMIFS('caseload data'!L:L,'caseload data'!$C:$C,'divisional &amp; regional caseload%'!$B$50,'caseload data'!$D:$D,"TPO")/SUMIF('caseload data'!$C:$C,'divisional &amp; regional caseload%'!$B$50,'caseload data'!L:L),"")</f>
        <v/>
      </c>
      <c r="K54" s="187" t="str">
        <f>IFERROR(SUMIFS('caseload data'!M:M,'caseload data'!$C:$C,'divisional &amp; regional caseload%'!$B$50,'caseload data'!$D:$D,"TPO")/SUMIF('caseload data'!$C:$C,'divisional &amp; regional caseload%'!$B$50,'caseload data'!M:M),"")</f>
        <v/>
      </c>
      <c r="L54" s="187" t="str">
        <f>IFERROR(SUMIFS('caseload data'!N:N,'caseload data'!$C:$C,'divisional &amp; regional caseload%'!$B$50,'caseload data'!$D:$D,"TPO")/SUMIF('caseload data'!$C:$C,'divisional &amp; regional caseload%'!$B$50,'caseload data'!N:N),"")</f>
        <v/>
      </c>
      <c r="M54" s="187" t="str">
        <f>IFERROR(SUMIFS('caseload data'!O:O,'caseload data'!$C:$C,'divisional &amp; regional caseload%'!$B$50,'caseload data'!$D:$D,"TPO")/SUMIF('caseload data'!$C:$C,'divisional &amp; regional caseload%'!$B$50,'caseload data'!O:O),"")</f>
        <v/>
      </c>
      <c r="N54" s="187" t="str">
        <f>IFERROR(SUMIFS('caseload data'!P:P,'caseload data'!$C:$C,'divisional &amp; regional caseload%'!$B$50,'caseload data'!$D:$D,"TPO")/SUMIF('caseload data'!$C:$C,'divisional &amp; regional caseload%'!$B$50,'caseload data'!P:P),"")</f>
        <v/>
      </c>
      <c r="O54" s="187" t="str">
        <f>IFERROR(SUMIFS('caseload data'!Q:Q,'caseload data'!$C:$C,'divisional &amp; regional caseload%'!$B$50,'caseload data'!$D:$D,"TPO")/SUMIF('caseload data'!$C:$C,'divisional &amp; regional caseload%'!$B$50,'caseload data'!Q:Q),"")</f>
        <v/>
      </c>
      <c r="P54" s="187" t="str">
        <f>IFERROR(SUMIFS('caseload data'!R:R,'caseload data'!$C:$C,'divisional &amp; regional caseload%'!$B$50,'caseload data'!$D:$D,"TPO")/SUMIF('caseload data'!$C:$C,'divisional &amp; regional caseload%'!$B$50,'caseload data'!R:R),"")</f>
        <v/>
      </c>
      <c r="Q54" s="187" t="str">
        <f>IFERROR(SUMIFS('caseload data'!S:S,'caseload data'!$C:$C,'divisional &amp; regional caseload%'!$B$50,'caseload data'!$D:$D,"TPO")/SUMIF('caseload data'!$C:$C,'divisional &amp; regional caseload%'!$B$50,'caseload data'!S:S),"")</f>
        <v/>
      </c>
      <c r="R54" s="187" t="str">
        <f>IFERROR(SUMIFS('caseload data'!T:T,'caseload data'!$C:$C,'divisional &amp; regional caseload%'!$B$50,'caseload data'!$D:$D,"TPO")/SUMIF('caseload data'!$C:$C,'divisional &amp; regional caseload%'!$B$50,'caseload data'!T:T),"")</f>
        <v/>
      </c>
      <c r="S54" s="76"/>
      <c r="T54" s="110" t="s">
        <v>1039</v>
      </c>
      <c r="U54" s="187" t="str">
        <f>IFERROR(SUMIFS('caseload data'!E:E,'caseload data'!$C:$C,'divisional &amp; regional caseload%'!$T$50,'caseload data'!$D:$D,"TPO")/SUMIF('caseload data'!$C:$C,'divisional &amp; regional caseload%'!$T$50,'caseload data'!E:E),"")</f>
        <v/>
      </c>
      <c r="V54" s="187" t="str">
        <f>IFERROR(SUMIFS('caseload data'!F:F,'caseload data'!$C:$C,'divisional &amp; regional caseload%'!$T$50,'caseload data'!$D:$D,"TPO")/SUMIF('caseload data'!$C:$C,'divisional &amp; regional caseload%'!$T$50,'caseload data'!F:F),"")</f>
        <v/>
      </c>
      <c r="W54" s="187" t="str">
        <f>IFERROR(SUMIFS('caseload data'!G:G,'caseload data'!$C:$C,'divisional &amp; regional caseload%'!$T$50,'caseload data'!$D:$D,"TPO")/SUMIF('caseload data'!$C:$C,'divisional &amp; regional caseload%'!$T$50,'caseload data'!G:G),"")</f>
        <v/>
      </c>
      <c r="X54" s="187" t="str">
        <f>IFERROR(SUMIFS('caseload data'!H:H,'caseload data'!$C:$C,'divisional &amp; regional caseload%'!$T$50,'caseload data'!$D:$D,"TPO")/SUMIF('caseload data'!$C:$C,'divisional &amp; regional caseload%'!$T$50,'caseload data'!H:H),"")</f>
        <v/>
      </c>
      <c r="Y54" s="187" t="str">
        <f>IFERROR(SUMIFS('caseload data'!I:I,'caseload data'!$C:$C,'divisional &amp; regional caseload%'!$T$50,'caseload data'!$D:$D,"TPO")/SUMIF('caseload data'!$C:$C,'divisional &amp; regional caseload%'!$T$50,'caseload data'!I:I),"")</f>
        <v/>
      </c>
      <c r="Z54" s="187" t="str">
        <f>IFERROR(SUMIFS('caseload data'!J:J,'caseload data'!$C:$C,'divisional &amp; regional caseload%'!$T$50,'caseload data'!$D:$D,"TPO")/SUMIF('caseload data'!$C:$C,'divisional &amp; regional caseload%'!$T$50,'caseload data'!J:J),"")</f>
        <v/>
      </c>
      <c r="AA54" s="187" t="str">
        <f>IFERROR(SUMIFS('caseload data'!K:K,'caseload data'!$C:$C,'divisional &amp; regional caseload%'!$T$50,'caseload data'!$D:$D,"TPO")/SUMIF('caseload data'!$C:$C,'divisional &amp; regional caseload%'!$T$50,'caseload data'!K:K),"")</f>
        <v/>
      </c>
      <c r="AB54" s="187" t="str">
        <f>IFERROR(SUMIFS('caseload data'!L:L,'caseload data'!$C:$C,'divisional &amp; regional caseload%'!$T$50,'caseload data'!$D:$D,"TPO")/SUMIF('caseload data'!$C:$C,'divisional &amp; regional caseload%'!$T$50,'caseload data'!L:L),"")</f>
        <v/>
      </c>
      <c r="AC54" s="187" t="str">
        <f>IFERROR(SUMIFS('caseload data'!M:M,'caseload data'!$C:$C,'divisional &amp; regional caseload%'!$T$50,'caseload data'!$D:$D,"TPO")/SUMIF('caseload data'!$C:$C,'divisional &amp; regional caseload%'!$T$50,'caseload data'!M:M),"")</f>
        <v/>
      </c>
      <c r="AD54" s="187" t="str">
        <f>IFERROR(SUMIFS('caseload data'!N:N,'caseload data'!$C:$C,'divisional &amp; regional caseload%'!$T$50,'caseload data'!$D:$D,"TPO")/SUMIF('caseload data'!$C:$C,'divisional &amp; regional caseload%'!$T$50,'caseload data'!N:N),"")</f>
        <v/>
      </c>
      <c r="AE54" s="187" t="str">
        <f>IFERROR(SUMIFS('caseload data'!O:O,'caseload data'!$C:$C,'divisional &amp; regional caseload%'!$T$50,'caseload data'!$D:$D,"TPO")/SUMIF('caseload data'!$C:$C,'divisional &amp; regional caseload%'!$T$50,'caseload data'!O:O),"")</f>
        <v/>
      </c>
      <c r="AF54" s="187" t="str">
        <f>IFERROR(SUMIFS('caseload data'!P:P,'caseload data'!$C:$C,'divisional &amp; regional caseload%'!$T$50,'caseload data'!$D:$D,"TPO")/SUMIF('caseload data'!$C:$C,'divisional &amp; regional caseload%'!$T$50,'caseload data'!P:P),"")</f>
        <v/>
      </c>
      <c r="AG54" s="187" t="str">
        <f>IFERROR(SUMIFS('caseload data'!Q:Q,'caseload data'!$C:$C,'divisional &amp; regional caseload%'!$T$50,'caseload data'!$D:$D,"TPO")/SUMIF('caseload data'!$C:$C,'divisional &amp; regional caseload%'!$T$50,'caseload data'!Q:Q),"")</f>
        <v/>
      </c>
      <c r="AH54" s="187" t="str">
        <f>IFERROR(SUMIFS('caseload data'!R:R,'caseload data'!$C:$C,'divisional &amp; regional caseload%'!$T$50,'caseload data'!$D:$D,"TPO")/SUMIF('caseload data'!$C:$C,'divisional &amp; regional caseload%'!$T$50,'caseload data'!R:R),"")</f>
        <v/>
      </c>
      <c r="AI54" s="187" t="str">
        <f>IFERROR(SUMIFS('caseload data'!S:S,'caseload data'!$C:$C,'divisional &amp; regional caseload%'!$T$50,'caseload data'!$D:$D,"TPO")/SUMIF('caseload data'!$C:$C,'divisional &amp; regional caseload%'!$T$50,'caseload data'!S:S),"")</f>
        <v/>
      </c>
      <c r="AJ54" s="187" t="str">
        <f>IFERROR(SUMIFS('caseload data'!T:T,'caseload data'!$C:$C,'divisional &amp; regional caseload%'!$T$50,'caseload data'!$D:$D,"TPO")/SUMIF('caseload data'!$C:$C,'divisional &amp; regional caseload%'!$T$50,'caseload data'!T:T),"")</f>
        <v/>
      </c>
    </row>
    <row r="55" spans="2:36" x14ac:dyDescent="0.15">
      <c r="B55" s="111" t="s">
        <v>1040</v>
      </c>
      <c r="C55" s="187" t="str">
        <f>IFERROR(SUMIFS('caseload data'!E:E,'caseload data'!$C:$C,'divisional &amp; regional caseload%'!$B$50,'caseload data'!$D:$D,"SPO")/SUMIF('caseload data'!$C:$C,'divisional &amp; regional caseload%'!$B$50,'caseload data'!E:E),"")</f>
        <v/>
      </c>
      <c r="D55" s="187" t="str">
        <f>IFERROR(SUMIFS('caseload data'!F:F,'caseload data'!$C:$C,'divisional &amp; regional caseload%'!$B$50,'caseload data'!$D:$D,"SPO")/SUMIF('caseload data'!$C:$C,'divisional &amp; regional caseload%'!$B$50,'caseload data'!F:F),"")</f>
        <v/>
      </c>
      <c r="E55" s="187" t="str">
        <f>IFERROR(SUMIFS('caseload data'!G:G,'caseload data'!$C:$C,'divisional &amp; regional caseload%'!$B$50,'caseload data'!$D:$D,"SPO")/SUMIF('caseload data'!$C:$C,'divisional &amp; regional caseload%'!$B$50,'caseload data'!G:G),"")</f>
        <v/>
      </c>
      <c r="F55" s="187" t="str">
        <f>IFERROR(SUMIFS('caseload data'!H:H,'caseload data'!$C:$C,'divisional &amp; regional caseload%'!$B$50,'caseload data'!$D:$D,"SPO")/SUMIF('caseload data'!$C:$C,'divisional &amp; regional caseload%'!$B$50,'caseload data'!H:H),"")</f>
        <v/>
      </c>
      <c r="G55" s="187" t="str">
        <f>IFERROR(SUMIFS('caseload data'!I:I,'caseload data'!$C:$C,'divisional &amp; regional caseload%'!$B$50,'caseload data'!$D:$D,"SPO")/SUMIF('caseload data'!$C:$C,'divisional &amp; regional caseload%'!$B$50,'caseload data'!I:I),"")</f>
        <v/>
      </c>
      <c r="H55" s="187" t="str">
        <f>IFERROR(SUMIFS('caseload data'!J:J,'caseload data'!$C:$C,'divisional &amp; regional caseload%'!$B$50,'caseload data'!$D:$D,"SPO")/SUMIF('caseload data'!$C:$C,'divisional &amp; regional caseload%'!$B$50,'caseload data'!J:J),"")</f>
        <v/>
      </c>
      <c r="I55" s="187" t="str">
        <f>IFERROR(SUMIFS('caseload data'!K:K,'caseload data'!$C:$C,'divisional &amp; regional caseload%'!$B$50,'caseload data'!$D:$D,"SPO")/SUMIF('caseload data'!$C:$C,'divisional &amp; regional caseload%'!$B$50,'caseload data'!K:K),"")</f>
        <v/>
      </c>
      <c r="J55" s="187" t="str">
        <f>IFERROR(SUMIFS('caseload data'!L:L,'caseload data'!$C:$C,'divisional &amp; regional caseload%'!$B$50,'caseload data'!$D:$D,"SPO")/SUMIF('caseload data'!$C:$C,'divisional &amp; regional caseload%'!$B$50,'caseload data'!L:L),"")</f>
        <v/>
      </c>
      <c r="K55" s="187" t="str">
        <f>IFERROR(SUMIFS('caseload data'!M:M,'caseload data'!$C:$C,'divisional &amp; regional caseload%'!$B$50,'caseload data'!$D:$D,"SPO")/SUMIF('caseload data'!$C:$C,'divisional &amp; regional caseload%'!$B$50,'caseload data'!M:M),"")</f>
        <v/>
      </c>
      <c r="L55" s="187" t="str">
        <f>IFERROR(SUMIFS('caseload data'!N:N,'caseload data'!$C:$C,'divisional &amp; regional caseload%'!$B$50,'caseload data'!$D:$D,"SPO")/SUMIF('caseload data'!$C:$C,'divisional &amp; regional caseload%'!$B$50,'caseload data'!N:N),"")</f>
        <v/>
      </c>
      <c r="M55" s="187" t="str">
        <f>IFERROR(SUMIFS('caseload data'!O:O,'caseload data'!$C:$C,'divisional &amp; regional caseload%'!$B$50,'caseload data'!$D:$D,"SPO")/SUMIF('caseload data'!$C:$C,'divisional &amp; regional caseload%'!$B$50,'caseload data'!O:O),"")</f>
        <v/>
      </c>
      <c r="N55" s="187" t="str">
        <f>IFERROR(SUMIFS('caseload data'!P:P,'caseload data'!$C:$C,'divisional &amp; regional caseload%'!$B$50,'caseload data'!$D:$D,"SPO")/SUMIF('caseload data'!$C:$C,'divisional &amp; regional caseload%'!$B$50,'caseload data'!P:P),"")</f>
        <v/>
      </c>
      <c r="O55" s="187" t="str">
        <f>IFERROR(SUMIFS('caseload data'!Q:Q,'caseload data'!$C:$C,'divisional &amp; regional caseload%'!$B$50,'caseload data'!$D:$D,"SPO")/SUMIF('caseload data'!$C:$C,'divisional &amp; regional caseload%'!$B$50,'caseload data'!Q:Q),"")</f>
        <v/>
      </c>
      <c r="P55" s="187" t="str">
        <f>IFERROR(SUMIFS('caseload data'!R:R,'caseload data'!$C:$C,'divisional &amp; regional caseload%'!$B$50,'caseload data'!$D:$D,"SPO")/SUMIF('caseload data'!$C:$C,'divisional &amp; regional caseload%'!$B$50,'caseload data'!R:R),"")</f>
        <v/>
      </c>
      <c r="Q55" s="187" t="str">
        <f>IFERROR(SUMIFS('caseload data'!S:S,'caseload data'!$C:$C,'divisional &amp; regional caseload%'!$B$50,'caseload data'!$D:$D,"SPO")/SUMIF('caseload data'!$C:$C,'divisional &amp; regional caseload%'!$B$50,'caseload data'!S:S),"")</f>
        <v/>
      </c>
      <c r="R55" s="187" t="str">
        <f>IFERROR(SUMIFS('caseload data'!T:T,'caseload data'!$C:$C,'divisional &amp; regional caseload%'!$B$50,'caseload data'!$D:$D,"SPO")/SUMIF('caseload data'!$C:$C,'divisional &amp; regional caseload%'!$B$50,'caseload data'!T:T),"")</f>
        <v/>
      </c>
      <c r="S55" s="76"/>
      <c r="T55" s="111" t="s">
        <v>1040</v>
      </c>
      <c r="U55" s="187" t="str">
        <f>IFERROR(SUMIFS('caseload data'!E:E,'caseload data'!$C:$C,'divisional &amp; regional caseload%'!$T$50,'caseload data'!$D:$D,"SPO")/SUMIF('caseload data'!$C:$C,'divisional &amp; regional caseload%'!$T$50,'caseload data'!E:E),"")</f>
        <v/>
      </c>
      <c r="V55" s="187" t="str">
        <f>IFERROR(SUMIFS('caseload data'!F:F,'caseload data'!$C:$C,'divisional &amp; regional caseload%'!$T$50,'caseload data'!$D:$D,"SPO")/SUMIF('caseload data'!$C:$C,'divisional &amp; regional caseload%'!$T$50,'caseload data'!F:F),"")</f>
        <v/>
      </c>
      <c r="W55" s="187" t="str">
        <f>IFERROR(SUMIFS('caseload data'!G:G,'caseload data'!$C:$C,'divisional &amp; regional caseload%'!$T$50,'caseload data'!$D:$D,"SPO")/SUMIF('caseload data'!$C:$C,'divisional &amp; regional caseload%'!$T$50,'caseload data'!G:G),"")</f>
        <v/>
      </c>
      <c r="X55" s="187" t="str">
        <f>IFERROR(SUMIFS('caseload data'!H:H,'caseload data'!$C:$C,'divisional &amp; regional caseload%'!$T$50,'caseload data'!$D:$D,"SPO")/SUMIF('caseload data'!$C:$C,'divisional &amp; regional caseload%'!$T$50,'caseload data'!H:H),"")</f>
        <v/>
      </c>
      <c r="Y55" s="187" t="str">
        <f>IFERROR(SUMIFS('caseload data'!I:I,'caseload data'!$C:$C,'divisional &amp; regional caseload%'!$T$50,'caseload data'!$D:$D,"SPO")/SUMIF('caseload data'!$C:$C,'divisional &amp; regional caseload%'!$T$50,'caseload data'!I:I),"")</f>
        <v/>
      </c>
      <c r="Z55" s="187" t="str">
        <f>IFERROR(SUMIFS('caseload data'!J:J,'caseload data'!$C:$C,'divisional &amp; regional caseload%'!$T$50,'caseload data'!$D:$D,"SPO")/SUMIF('caseload data'!$C:$C,'divisional &amp; regional caseload%'!$T$50,'caseload data'!J:J),"")</f>
        <v/>
      </c>
      <c r="AA55" s="187" t="str">
        <f>IFERROR(SUMIFS('caseload data'!K:K,'caseload data'!$C:$C,'divisional &amp; regional caseload%'!$T$50,'caseload data'!$D:$D,"SPO")/SUMIF('caseload data'!$C:$C,'divisional &amp; regional caseload%'!$T$50,'caseload data'!K:K),"")</f>
        <v/>
      </c>
      <c r="AB55" s="187" t="str">
        <f>IFERROR(SUMIFS('caseload data'!L:L,'caseload data'!$C:$C,'divisional &amp; regional caseload%'!$T$50,'caseload data'!$D:$D,"SPO")/SUMIF('caseload data'!$C:$C,'divisional &amp; regional caseload%'!$T$50,'caseload data'!L:L),"")</f>
        <v/>
      </c>
      <c r="AC55" s="187" t="str">
        <f>IFERROR(SUMIFS('caseload data'!M:M,'caseload data'!$C:$C,'divisional &amp; regional caseload%'!$T$50,'caseload data'!$D:$D,"SPO")/SUMIF('caseload data'!$C:$C,'divisional &amp; regional caseload%'!$T$50,'caseload data'!M:M),"")</f>
        <v/>
      </c>
      <c r="AD55" s="187" t="str">
        <f>IFERROR(SUMIFS('caseload data'!N:N,'caseload data'!$C:$C,'divisional &amp; regional caseload%'!$T$50,'caseload data'!$D:$D,"SPO")/SUMIF('caseload data'!$C:$C,'divisional &amp; regional caseload%'!$T$50,'caseload data'!N:N),"")</f>
        <v/>
      </c>
      <c r="AE55" s="187" t="str">
        <f>IFERROR(SUMIFS('caseload data'!O:O,'caseload data'!$C:$C,'divisional &amp; regional caseload%'!$T$50,'caseload data'!$D:$D,"SPO")/SUMIF('caseload data'!$C:$C,'divisional &amp; regional caseload%'!$T$50,'caseload data'!O:O),"")</f>
        <v/>
      </c>
      <c r="AF55" s="187" t="str">
        <f>IFERROR(SUMIFS('caseload data'!P:P,'caseload data'!$C:$C,'divisional &amp; regional caseload%'!$T$50,'caseload data'!$D:$D,"SPO")/SUMIF('caseload data'!$C:$C,'divisional &amp; regional caseload%'!$T$50,'caseload data'!P:P),"")</f>
        <v/>
      </c>
      <c r="AG55" s="187" t="str">
        <f>IFERROR(SUMIFS('caseload data'!Q:Q,'caseload data'!$C:$C,'divisional &amp; regional caseload%'!$T$50,'caseload data'!$D:$D,"SPO")/SUMIF('caseload data'!$C:$C,'divisional &amp; regional caseload%'!$T$50,'caseload data'!Q:Q),"")</f>
        <v/>
      </c>
      <c r="AH55" s="187" t="str">
        <f>IFERROR(SUMIFS('caseload data'!R:R,'caseload data'!$C:$C,'divisional &amp; regional caseload%'!$T$50,'caseload data'!$D:$D,"SPO")/SUMIF('caseload data'!$C:$C,'divisional &amp; regional caseload%'!$T$50,'caseload data'!R:R),"")</f>
        <v/>
      </c>
      <c r="AI55" s="187" t="str">
        <f>IFERROR(SUMIFS('caseload data'!S:S,'caseload data'!$C:$C,'divisional &amp; regional caseload%'!$T$50,'caseload data'!$D:$D,"SPO")/SUMIF('caseload data'!$C:$C,'divisional &amp; regional caseload%'!$T$50,'caseload data'!S:S),"")</f>
        <v/>
      </c>
      <c r="AJ55" s="187" t="str">
        <f>IFERROR(SUMIFS('caseload data'!T:T,'caseload data'!$C:$C,'divisional &amp; regional caseload%'!$T$50,'caseload data'!$D:$D,"SPO")/SUMIF('caseload data'!$C:$C,'divisional &amp; regional caseload%'!$T$50,'caseload data'!T:T),"")</f>
        <v/>
      </c>
    </row>
    <row r="56" spans="2:36" x14ac:dyDescent="0.15">
      <c r="B56" s="104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04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</row>
    <row r="57" spans="2:36" ht="28.5" customHeight="1" x14ac:dyDescent="0.15">
      <c r="B57" s="162">
        <f>HLOOKUP($B$5,Region_Table,16,0)</f>
        <v>0</v>
      </c>
      <c r="C57" s="333" t="s">
        <v>1257</v>
      </c>
      <c r="D57" s="334"/>
      <c r="E57" s="334"/>
      <c r="F57" s="334"/>
      <c r="G57" s="334"/>
      <c r="H57" s="334"/>
      <c r="I57" s="334"/>
      <c r="J57" s="334"/>
      <c r="K57" s="334"/>
      <c r="L57" s="334"/>
      <c r="M57" s="343"/>
      <c r="N57" s="343"/>
      <c r="O57" s="344"/>
      <c r="P57" s="337">
        <f>SUMIF('caseload data'!$C:$C,'divisional &amp; regional caseload%'!B57,'caseload data'!V:V)</f>
        <v>0</v>
      </c>
      <c r="Q57" s="345"/>
      <c r="R57" s="346"/>
      <c r="S57" s="76"/>
      <c r="T57" s="162">
        <f>HLOOKUP($B$5,Region_Table,17,0)</f>
        <v>0</v>
      </c>
      <c r="U57" s="333" t="s">
        <v>1257</v>
      </c>
      <c r="V57" s="334"/>
      <c r="W57" s="334"/>
      <c r="X57" s="334"/>
      <c r="Y57" s="334"/>
      <c r="Z57" s="334"/>
      <c r="AA57" s="334"/>
      <c r="AB57" s="334"/>
      <c r="AC57" s="334"/>
      <c r="AD57" s="334"/>
      <c r="AE57" s="343"/>
      <c r="AF57" s="343"/>
      <c r="AG57" s="344"/>
      <c r="AH57" s="337">
        <f>SUMIF('caseload data'!$C:$C,'divisional &amp; regional caseload%'!T57,'caseload data'!V:V)</f>
        <v>0</v>
      </c>
      <c r="AI57" s="345"/>
      <c r="AJ57" s="346"/>
    </row>
    <row r="58" spans="2:36" x14ac:dyDescent="0.15">
      <c r="B58" s="108" t="s">
        <v>1199</v>
      </c>
      <c r="C58" s="42" t="s">
        <v>1019</v>
      </c>
      <c r="D58" s="42" t="s">
        <v>1020</v>
      </c>
      <c r="E58" s="42" t="s">
        <v>1021</v>
      </c>
      <c r="F58" s="42" t="s">
        <v>1022</v>
      </c>
      <c r="G58" s="42" t="s">
        <v>1023</v>
      </c>
      <c r="H58" s="42" t="s">
        <v>1024</v>
      </c>
      <c r="I58" s="42" t="s">
        <v>1025</v>
      </c>
      <c r="J58" s="42" t="s">
        <v>1026</v>
      </c>
      <c r="K58" s="42" t="s">
        <v>1027</v>
      </c>
      <c r="L58" s="42" t="s">
        <v>1028</v>
      </c>
      <c r="M58" s="42" t="s">
        <v>1029</v>
      </c>
      <c r="N58" s="42" t="s">
        <v>1030</v>
      </c>
      <c r="O58" s="42" t="s">
        <v>1031</v>
      </c>
      <c r="P58" s="42" t="s">
        <v>1032</v>
      </c>
      <c r="Q58" s="42" t="s">
        <v>1033</v>
      </c>
      <c r="R58" s="42" t="s">
        <v>1034</v>
      </c>
      <c r="S58" s="76"/>
      <c r="T58" s="108" t="s">
        <v>1199</v>
      </c>
      <c r="U58" s="42" t="s">
        <v>1019</v>
      </c>
      <c r="V58" s="42" t="s">
        <v>1020</v>
      </c>
      <c r="W58" s="42" t="s">
        <v>1021</v>
      </c>
      <c r="X58" s="42" t="s">
        <v>1022</v>
      </c>
      <c r="Y58" s="42" t="s">
        <v>1023</v>
      </c>
      <c r="Z58" s="42" t="s">
        <v>1024</v>
      </c>
      <c r="AA58" s="42" t="s">
        <v>1025</v>
      </c>
      <c r="AB58" s="42" t="s">
        <v>1026</v>
      </c>
      <c r="AC58" s="42" t="s">
        <v>1027</v>
      </c>
      <c r="AD58" s="42" t="s">
        <v>1028</v>
      </c>
      <c r="AE58" s="42" t="s">
        <v>1029</v>
      </c>
      <c r="AF58" s="42" t="s">
        <v>1030</v>
      </c>
      <c r="AG58" s="42" t="s">
        <v>1031</v>
      </c>
      <c r="AH58" s="42" t="s">
        <v>1032</v>
      </c>
      <c r="AI58" s="42" t="s">
        <v>1033</v>
      </c>
      <c r="AJ58" s="42" t="s">
        <v>1034</v>
      </c>
    </row>
    <row r="59" spans="2:36" x14ac:dyDescent="0.15">
      <c r="B59" s="109" t="s">
        <v>1037</v>
      </c>
      <c r="C59" s="187" t="str">
        <f>IFERROR(SUMIFS('caseload data'!E:E,'caseload data'!$C:$C,'divisional &amp; regional caseload%'!$B$57,'caseload data'!$D:$D,"PO")/SUMIF('caseload data'!$C:$C,'divisional &amp; regional caseload%'!$B$57,'caseload data'!E:E),"")</f>
        <v/>
      </c>
      <c r="D59" s="187" t="str">
        <f>IFERROR(SUMIFS('caseload data'!F:F,'caseload data'!$C:$C,'divisional &amp; regional caseload%'!$B$57,'caseload data'!$D:$D,"PO")/SUMIF('caseload data'!$C:$C,'divisional &amp; regional caseload%'!$B$57,'caseload data'!F:F),"")</f>
        <v/>
      </c>
      <c r="E59" s="187" t="str">
        <f>IFERROR(SUMIFS('caseload data'!G:G,'caseload data'!$C:$C,'divisional &amp; regional caseload%'!$B$57,'caseload data'!$D:$D,"PO")/SUMIF('caseload data'!$C:$C,'divisional &amp; regional caseload%'!$B$57,'caseload data'!G:G),"")</f>
        <v/>
      </c>
      <c r="F59" s="187" t="str">
        <f>IFERROR(SUMIFS('caseload data'!H:H,'caseload data'!$C:$C,'divisional &amp; regional caseload%'!$B$57,'caseload data'!$D:$D,"PO")/SUMIF('caseload data'!$C:$C,'divisional &amp; regional caseload%'!$B$57,'caseload data'!H:H),"")</f>
        <v/>
      </c>
      <c r="G59" s="187" t="str">
        <f>IFERROR(SUMIFS('caseload data'!I:I,'caseload data'!$C:$C,'divisional &amp; regional caseload%'!$B$57,'caseload data'!$D:$D,"PO")/SUMIF('caseload data'!$C:$C,'divisional &amp; regional caseload%'!$B$57,'caseload data'!I:I),"")</f>
        <v/>
      </c>
      <c r="H59" s="187" t="str">
        <f>IFERROR(SUMIFS('caseload data'!J:J,'caseload data'!$C:$C,'divisional &amp; regional caseload%'!$B$57,'caseload data'!$D:$D,"PO")/SUMIF('caseload data'!$C:$C,'divisional &amp; regional caseload%'!$B$57,'caseload data'!J:J),"")</f>
        <v/>
      </c>
      <c r="I59" s="187" t="str">
        <f>IFERROR(SUMIFS('caseload data'!K:K,'caseload data'!$C:$C,'divisional &amp; regional caseload%'!$B$57,'caseload data'!$D:$D,"PO")/SUMIF('caseload data'!$C:$C,'divisional &amp; regional caseload%'!$B$57,'caseload data'!K:K),"")</f>
        <v/>
      </c>
      <c r="J59" s="187" t="str">
        <f>IFERROR(SUMIFS('caseload data'!L:L,'caseload data'!$C:$C,'divisional &amp; regional caseload%'!$B$57,'caseload data'!$D:$D,"PO")/SUMIF('caseload data'!$C:$C,'divisional &amp; regional caseload%'!$B$57,'caseload data'!L:L),"")</f>
        <v/>
      </c>
      <c r="K59" s="187" t="str">
        <f>IFERROR(SUMIFS('caseload data'!M:M,'caseload data'!$C:$C,'divisional &amp; regional caseload%'!$B$57,'caseload data'!$D:$D,"PO")/SUMIF('caseload data'!$C:$C,'divisional &amp; regional caseload%'!$B$57,'caseload data'!M:M),"")</f>
        <v/>
      </c>
      <c r="L59" s="187" t="str">
        <f>IFERROR(SUMIFS('caseload data'!N:N,'caseload data'!$C:$C,'divisional &amp; regional caseload%'!$B$57,'caseload data'!$D:$D,"PO")/SUMIF('caseload data'!$C:$C,'divisional &amp; regional caseload%'!$B$57,'caseload data'!N:N),"")</f>
        <v/>
      </c>
      <c r="M59" s="187" t="str">
        <f>IFERROR(SUMIFS('caseload data'!O:O,'caseload data'!$C:$C,'divisional &amp; regional caseload%'!$B$57,'caseload data'!$D:$D,"PO")/SUMIF('caseload data'!$C:$C,'divisional &amp; regional caseload%'!$B$57,'caseload data'!O:O),"")</f>
        <v/>
      </c>
      <c r="N59" s="187" t="str">
        <f>IFERROR(SUMIFS('caseload data'!P:P,'caseload data'!$C:$C,'divisional &amp; regional caseload%'!$B$57,'caseload data'!$D:$D,"PO")/SUMIF('caseload data'!$C:$C,'divisional &amp; regional caseload%'!$B$57,'caseload data'!P:P),"")</f>
        <v/>
      </c>
      <c r="O59" s="187" t="str">
        <f>IFERROR(SUMIFS('caseload data'!Q:Q,'caseload data'!$C:$C,'divisional &amp; regional caseload%'!$B$57,'caseload data'!$D:$D,"PO")/SUMIF('caseload data'!$C:$C,'divisional &amp; regional caseload%'!$B$57,'caseload data'!Q:Q),"")</f>
        <v/>
      </c>
      <c r="P59" s="187" t="str">
        <f>IFERROR(SUMIFS('caseload data'!R:R,'caseload data'!$C:$C,'divisional &amp; regional caseload%'!$B$57,'caseload data'!$D:$D,"PO")/SUMIF('caseload data'!$C:$C,'divisional &amp; regional caseload%'!$B$57,'caseload data'!R:R),"")</f>
        <v/>
      </c>
      <c r="Q59" s="187" t="str">
        <f>IFERROR(SUMIFS('caseload data'!S:S,'caseload data'!$C:$C,'divisional &amp; regional caseload%'!$B$57,'caseload data'!$D:$D,"PO")/SUMIF('caseload data'!$C:$C,'divisional &amp; regional caseload%'!$B$57,'caseload data'!S:S),"")</f>
        <v/>
      </c>
      <c r="R59" s="187" t="str">
        <f>IFERROR(SUMIFS('caseload data'!T:T,'caseload data'!$C:$C,'divisional &amp; regional caseload%'!$B$57,'caseload data'!$D:$D,"PO")/SUMIF('caseload data'!$C:$C,'divisional &amp; regional caseload%'!$B$57,'caseload data'!T:T),"")</f>
        <v/>
      </c>
      <c r="S59" s="76"/>
      <c r="T59" s="109" t="s">
        <v>1037</v>
      </c>
      <c r="U59" s="187" t="str">
        <f>IFERROR(SUMIFS('caseload data'!E:E,'caseload data'!$C:$C,'divisional &amp; regional caseload%'!$T$57,'caseload data'!$D:$D,"PO")/SUMIF('caseload data'!$C:$C,'divisional &amp; regional caseload%'!$T$57,'caseload data'!E:E),"")</f>
        <v/>
      </c>
      <c r="V59" s="187" t="str">
        <f>IFERROR(SUMIFS('caseload data'!F:F,'caseload data'!$C:$C,'divisional &amp; regional caseload%'!$T$57,'caseload data'!$D:$D,"PO")/SUMIF('caseload data'!$C:$C,'divisional &amp; regional caseload%'!$T$57,'caseload data'!F:F),"")</f>
        <v/>
      </c>
      <c r="W59" s="187" t="str">
        <f>IFERROR(SUMIFS('caseload data'!G:G,'caseload data'!$C:$C,'divisional &amp; regional caseload%'!$T$57,'caseload data'!$D:$D,"PO")/SUMIF('caseload data'!$C:$C,'divisional &amp; regional caseload%'!$T$57,'caseload data'!G:G),"")</f>
        <v/>
      </c>
      <c r="X59" s="187" t="str">
        <f>IFERROR(SUMIFS('caseload data'!H:H,'caseload data'!$C:$C,'divisional &amp; regional caseload%'!$T$57,'caseload data'!$D:$D,"PO")/SUMIF('caseload data'!$C:$C,'divisional &amp; regional caseload%'!$T$57,'caseload data'!H:H),"")</f>
        <v/>
      </c>
      <c r="Y59" s="187" t="str">
        <f>IFERROR(SUMIFS('caseload data'!I:I,'caseload data'!$C:$C,'divisional &amp; regional caseload%'!$T$57,'caseload data'!$D:$D,"PO")/SUMIF('caseload data'!$C:$C,'divisional &amp; regional caseload%'!$T$57,'caseload data'!I:I),"")</f>
        <v/>
      </c>
      <c r="Z59" s="187" t="str">
        <f>IFERROR(SUMIFS('caseload data'!J:J,'caseload data'!$C:$C,'divisional &amp; regional caseload%'!$T$57,'caseload data'!$D:$D,"PO")/SUMIF('caseload data'!$C:$C,'divisional &amp; regional caseload%'!$T$57,'caseload data'!J:J),"")</f>
        <v/>
      </c>
      <c r="AA59" s="187" t="str">
        <f>IFERROR(SUMIFS('caseload data'!K:K,'caseload data'!$C:$C,'divisional &amp; regional caseload%'!$T$57,'caseload data'!$D:$D,"PO")/SUMIF('caseload data'!$C:$C,'divisional &amp; regional caseload%'!$T$57,'caseload data'!K:K),"")</f>
        <v/>
      </c>
      <c r="AB59" s="187" t="str">
        <f>IFERROR(SUMIFS('caseload data'!L:L,'caseload data'!$C:$C,'divisional &amp; regional caseload%'!$T$57,'caseload data'!$D:$D,"PO")/SUMIF('caseload data'!$C:$C,'divisional &amp; regional caseload%'!$T$57,'caseload data'!L:L),"")</f>
        <v/>
      </c>
      <c r="AC59" s="187" t="str">
        <f>IFERROR(SUMIFS('caseload data'!M:M,'caseload data'!$C:$C,'divisional &amp; regional caseload%'!$T$57,'caseload data'!$D:$D,"PO")/SUMIF('caseload data'!$C:$C,'divisional &amp; regional caseload%'!$T$57,'caseload data'!M:M),"")</f>
        <v/>
      </c>
      <c r="AD59" s="187" t="str">
        <f>IFERROR(SUMIFS('caseload data'!N:N,'caseload data'!$C:$C,'divisional &amp; regional caseload%'!$T$57,'caseload data'!$D:$D,"PO")/SUMIF('caseload data'!$C:$C,'divisional &amp; regional caseload%'!$T$57,'caseload data'!N:N),"")</f>
        <v/>
      </c>
      <c r="AE59" s="187" t="str">
        <f>IFERROR(SUMIFS('caseload data'!O:O,'caseload data'!$C:$C,'divisional &amp; regional caseload%'!$T$57,'caseload data'!$D:$D,"PO")/SUMIF('caseload data'!$C:$C,'divisional &amp; regional caseload%'!$T$57,'caseload data'!O:O),"")</f>
        <v/>
      </c>
      <c r="AF59" s="187" t="str">
        <f>IFERROR(SUMIFS('caseload data'!P:P,'caseload data'!$C:$C,'divisional &amp; regional caseload%'!$T$57,'caseload data'!$D:$D,"PO")/SUMIF('caseload data'!$C:$C,'divisional &amp; regional caseload%'!$T$57,'caseload data'!P:P),"")</f>
        <v/>
      </c>
      <c r="AG59" s="187" t="str">
        <f>IFERROR(SUMIFS('caseload data'!Q:Q,'caseload data'!$C:$C,'divisional &amp; regional caseload%'!$T$57,'caseload data'!$D:$D,"PO")/SUMIF('caseload data'!$C:$C,'divisional &amp; regional caseload%'!$T$57,'caseload data'!Q:Q),"")</f>
        <v/>
      </c>
      <c r="AH59" s="187" t="str">
        <f>IFERROR(SUMIFS('caseload data'!R:R,'caseload data'!$C:$C,'divisional &amp; regional caseload%'!$T$57,'caseload data'!$D:$D,"PO")/SUMIF('caseload data'!$C:$C,'divisional &amp; regional caseload%'!$T$57,'caseload data'!R:R),"")</f>
        <v/>
      </c>
      <c r="AI59" s="187" t="str">
        <f>IFERROR(SUMIFS('caseload data'!S:S,'caseload data'!$C:$C,'divisional &amp; regional caseload%'!$T$57,'caseload data'!$D:$D,"PO")/SUMIF('caseload data'!$C:$C,'divisional &amp; regional caseload%'!$T$57,'caseload data'!S:S),"")</f>
        <v/>
      </c>
      <c r="AJ59" s="187" t="str">
        <f>IFERROR(SUMIFS('caseload data'!T:T,'caseload data'!$C:$C,'divisional &amp; regional caseload%'!$T$57,'caseload data'!$D:$D,"PO")/SUMIF('caseload data'!$C:$C,'divisional &amp; regional caseload%'!$T$57,'caseload data'!T:T),"")</f>
        <v/>
      </c>
    </row>
    <row r="60" spans="2:36" x14ac:dyDescent="0.15">
      <c r="B60" s="110" t="s">
        <v>1038</v>
      </c>
      <c r="C60" s="187" t="str">
        <f>IFERROR(SUMIFS('caseload data'!E:E,'caseload data'!$C:$C,'divisional &amp; regional caseload%'!$B$57,'caseload data'!$D:$D,"PSO")/SUMIF('caseload data'!$C:$C,'divisional &amp; regional caseload%'!$B$57,'caseload data'!E:E),"")</f>
        <v/>
      </c>
      <c r="D60" s="187" t="str">
        <f>IFERROR(SUMIFS('caseload data'!F:F,'caseload data'!$C:$C,'divisional &amp; regional caseload%'!$B$57,'caseload data'!$D:$D,"PSO")/SUMIF('caseload data'!$C:$C,'divisional &amp; regional caseload%'!$B$57,'caseload data'!F:F),"")</f>
        <v/>
      </c>
      <c r="E60" s="187" t="str">
        <f>IFERROR(SUMIFS('caseload data'!G:G,'caseload data'!$C:$C,'divisional &amp; regional caseload%'!$B$57,'caseload data'!$D:$D,"PSO")/SUMIF('caseload data'!$C:$C,'divisional &amp; regional caseload%'!$B$57,'caseload data'!G:G),"")</f>
        <v/>
      </c>
      <c r="F60" s="187" t="str">
        <f>IFERROR(SUMIFS('caseload data'!H:H,'caseload data'!$C:$C,'divisional &amp; regional caseload%'!$B$57,'caseload data'!$D:$D,"PSO")/SUMIF('caseload data'!$C:$C,'divisional &amp; regional caseload%'!$B$57,'caseload data'!H:H),"")</f>
        <v/>
      </c>
      <c r="G60" s="187" t="str">
        <f>IFERROR(SUMIFS('caseload data'!I:I,'caseload data'!$C:$C,'divisional &amp; regional caseload%'!$B$57,'caseload data'!$D:$D,"PSO")/SUMIF('caseload data'!$C:$C,'divisional &amp; regional caseload%'!$B$57,'caseload data'!I:I),"")</f>
        <v/>
      </c>
      <c r="H60" s="187" t="str">
        <f>IFERROR(SUMIFS('caseload data'!J:J,'caseload data'!$C:$C,'divisional &amp; regional caseload%'!$B$57,'caseload data'!$D:$D,"PSO")/SUMIF('caseload data'!$C:$C,'divisional &amp; regional caseload%'!$B$57,'caseload data'!J:J),"")</f>
        <v/>
      </c>
      <c r="I60" s="187" t="str">
        <f>IFERROR(SUMIFS('caseload data'!K:K,'caseload data'!$C:$C,'divisional &amp; regional caseload%'!$B$57,'caseload data'!$D:$D,"PSO")/SUMIF('caseload data'!$C:$C,'divisional &amp; regional caseload%'!$B$57,'caseload data'!K:K),"")</f>
        <v/>
      </c>
      <c r="J60" s="187" t="str">
        <f>IFERROR(SUMIFS('caseload data'!L:L,'caseload data'!$C:$C,'divisional &amp; regional caseload%'!$B$57,'caseload data'!$D:$D,"PSO")/SUMIF('caseload data'!$C:$C,'divisional &amp; regional caseload%'!$B$57,'caseload data'!L:L),"")</f>
        <v/>
      </c>
      <c r="K60" s="187" t="str">
        <f>IFERROR(SUMIFS('caseload data'!M:M,'caseload data'!$C:$C,'divisional &amp; regional caseload%'!$B$57,'caseload data'!$D:$D,"PSO")/SUMIF('caseload data'!$C:$C,'divisional &amp; regional caseload%'!$B$57,'caseload data'!M:M),"")</f>
        <v/>
      </c>
      <c r="L60" s="187" t="str">
        <f>IFERROR(SUMIFS('caseload data'!N:N,'caseload data'!$C:$C,'divisional &amp; regional caseload%'!$B$57,'caseload data'!$D:$D,"PSO")/SUMIF('caseload data'!$C:$C,'divisional &amp; regional caseload%'!$B$57,'caseload data'!N:N),"")</f>
        <v/>
      </c>
      <c r="M60" s="187" t="str">
        <f>IFERROR(SUMIFS('caseload data'!O:O,'caseload data'!$C:$C,'divisional &amp; regional caseload%'!$B$57,'caseload data'!$D:$D,"PSO")/SUMIF('caseload data'!$C:$C,'divisional &amp; regional caseload%'!$B$57,'caseload data'!O:O),"")</f>
        <v/>
      </c>
      <c r="N60" s="187" t="str">
        <f>IFERROR(SUMIFS('caseload data'!P:P,'caseload data'!$C:$C,'divisional &amp; regional caseload%'!$B$57,'caseload data'!$D:$D,"PSO")/SUMIF('caseload data'!$C:$C,'divisional &amp; regional caseload%'!$B$57,'caseload data'!P:P),"")</f>
        <v/>
      </c>
      <c r="O60" s="187" t="str">
        <f>IFERROR(SUMIFS('caseload data'!Q:Q,'caseload data'!$C:$C,'divisional &amp; regional caseload%'!$B$57,'caseload data'!$D:$D,"PSO")/SUMIF('caseload data'!$C:$C,'divisional &amp; regional caseload%'!$B$57,'caseload data'!Q:Q),"")</f>
        <v/>
      </c>
      <c r="P60" s="187" t="str">
        <f>IFERROR(SUMIFS('caseload data'!R:R,'caseload data'!$C:$C,'divisional &amp; regional caseload%'!$B$57,'caseload data'!$D:$D,"PSO")/SUMIF('caseload data'!$C:$C,'divisional &amp; regional caseload%'!$B$57,'caseload data'!R:R),"")</f>
        <v/>
      </c>
      <c r="Q60" s="187" t="str">
        <f>IFERROR(SUMIFS('caseload data'!S:S,'caseload data'!$C:$C,'divisional &amp; regional caseload%'!$B$57,'caseload data'!$D:$D,"PSO")/SUMIF('caseload data'!$C:$C,'divisional &amp; regional caseload%'!$B$57,'caseload data'!S:S),"")</f>
        <v/>
      </c>
      <c r="R60" s="187" t="str">
        <f>IFERROR(SUMIFS('caseload data'!T:T,'caseload data'!$C:$C,'divisional &amp; regional caseload%'!$B$57,'caseload data'!$D:$D,"PSO")/SUMIF('caseload data'!$C:$C,'divisional &amp; regional caseload%'!$B$57,'caseload data'!T:T),"")</f>
        <v/>
      </c>
      <c r="S60" s="76"/>
      <c r="T60" s="110" t="s">
        <v>1038</v>
      </c>
      <c r="U60" s="187" t="str">
        <f>IFERROR(SUMIFS('caseload data'!E:E,'caseload data'!$C:$C,'divisional &amp; regional caseload%'!$T$57,'caseload data'!$D:$D,"PSO")/SUMIF('caseload data'!$C:$C,'divisional &amp; regional caseload%'!$T$57,'caseload data'!E:E),"")</f>
        <v/>
      </c>
      <c r="V60" s="187" t="str">
        <f>IFERROR(SUMIFS('caseload data'!F:F,'caseload data'!$C:$C,'divisional &amp; regional caseload%'!$T$57,'caseload data'!$D:$D,"PSO")/SUMIF('caseload data'!$C:$C,'divisional &amp; regional caseload%'!$T$57,'caseload data'!F:F),"")</f>
        <v/>
      </c>
      <c r="W60" s="187" t="str">
        <f>IFERROR(SUMIFS('caseload data'!G:G,'caseload data'!$C:$C,'divisional &amp; regional caseload%'!$T$57,'caseload data'!$D:$D,"PSO")/SUMIF('caseload data'!$C:$C,'divisional &amp; regional caseload%'!$T$57,'caseload data'!G:G),"")</f>
        <v/>
      </c>
      <c r="X60" s="187" t="str">
        <f>IFERROR(SUMIFS('caseload data'!H:H,'caseload data'!$C:$C,'divisional &amp; regional caseload%'!$T$57,'caseload data'!$D:$D,"PSO")/SUMIF('caseload data'!$C:$C,'divisional &amp; regional caseload%'!$T$57,'caseload data'!H:H),"")</f>
        <v/>
      </c>
      <c r="Y60" s="187" t="str">
        <f>IFERROR(SUMIFS('caseload data'!I:I,'caseload data'!$C:$C,'divisional &amp; regional caseload%'!$T$57,'caseload data'!$D:$D,"PSO")/SUMIF('caseload data'!$C:$C,'divisional &amp; regional caseload%'!$T$57,'caseload data'!I:I),"")</f>
        <v/>
      </c>
      <c r="Z60" s="187" t="str">
        <f>IFERROR(SUMIFS('caseload data'!J:J,'caseload data'!$C:$C,'divisional &amp; regional caseload%'!$T$57,'caseload data'!$D:$D,"PSO")/SUMIF('caseload data'!$C:$C,'divisional &amp; regional caseload%'!$T$57,'caseload data'!J:J),"")</f>
        <v/>
      </c>
      <c r="AA60" s="187" t="str">
        <f>IFERROR(SUMIFS('caseload data'!K:K,'caseload data'!$C:$C,'divisional &amp; regional caseload%'!$T$57,'caseload data'!$D:$D,"PSO")/SUMIF('caseload data'!$C:$C,'divisional &amp; regional caseload%'!$T$57,'caseload data'!K:K),"")</f>
        <v/>
      </c>
      <c r="AB60" s="187" t="str">
        <f>IFERROR(SUMIFS('caseload data'!L:L,'caseload data'!$C:$C,'divisional &amp; regional caseload%'!$T$57,'caseload data'!$D:$D,"PSO")/SUMIF('caseload data'!$C:$C,'divisional &amp; regional caseload%'!$T$57,'caseload data'!L:L),"")</f>
        <v/>
      </c>
      <c r="AC60" s="187" t="str">
        <f>IFERROR(SUMIFS('caseload data'!M:M,'caseload data'!$C:$C,'divisional &amp; regional caseload%'!$T$57,'caseload data'!$D:$D,"PSO")/SUMIF('caseload data'!$C:$C,'divisional &amp; regional caseload%'!$T$57,'caseload data'!M:M),"")</f>
        <v/>
      </c>
      <c r="AD60" s="187" t="str">
        <f>IFERROR(SUMIFS('caseload data'!N:N,'caseload data'!$C:$C,'divisional &amp; regional caseload%'!$T$57,'caseload data'!$D:$D,"PSO")/SUMIF('caseload data'!$C:$C,'divisional &amp; regional caseload%'!$T$57,'caseload data'!N:N),"")</f>
        <v/>
      </c>
      <c r="AE60" s="187" t="str">
        <f>IFERROR(SUMIFS('caseload data'!O:O,'caseload data'!$C:$C,'divisional &amp; regional caseload%'!$T$57,'caseload data'!$D:$D,"PSO")/SUMIF('caseload data'!$C:$C,'divisional &amp; regional caseload%'!$T$57,'caseload data'!O:O),"")</f>
        <v/>
      </c>
      <c r="AF60" s="187" t="str">
        <f>IFERROR(SUMIFS('caseload data'!P:P,'caseload data'!$C:$C,'divisional &amp; regional caseload%'!$T$57,'caseload data'!$D:$D,"PSO")/SUMIF('caseload data'!$C:$C,'divisional &amp; regional caseload%'!$T$57,'caseload data'!P:P),"")</f>
        <v/>
      </c>
      <c r="AG60" s="187" t="str">
        <f>IFERROR(SUMIFS('caseload data'!Q:Q,'caseload data'!$C:$C,'divisional &amp; regional caseload%'!$T$57,'caseload data'!$D:$D,"PSO")/SUMIF('caseload data'!$C:$C,'divisional &amp; regional caseload%'!$T$57,'caseload data'!Q:Q),"")</f>
        <v/>
      </c>
      <c r="AH60" s="187" t="str">
        <f>IFERROR(SUMIFS('caseload data'!R:R,'caseload data'!$C:$C,'divisional &amp; regional caseload%'!$T$57,'caseload data'!$D:$D,"PSO")/SUMIF('caseload data'!$C:$C,'divisional &amp; regional caseload%'!$T$57,'caseload data'!R:R),"")</f>
        <v/>
      </c>
      <c r="AI60" s="187" t="str">
        <f>IFERROR(SUMIFS('caseload data'!S:S,'caseload data'!$C:$C,'divisional &amp; regional caseload%'!$T$57,'caseload data'!$D:$D,"PSO")/SUMIF('caseload data'!$C:$C,'divisional &amp; regional caseload%'!$T$57,'caseload data'!S:S),"")</f>
        <v/>
      </c>
      <c r="AJ60" s="187" t="str">
        <f>IFERROR(SUMIFS('caseload data'!T:T,'caseload data'!$C:$C,'divisional &amp; regional caseload%'!$T$57,'caseload data'!$D:$D,"PSO")/SUMIF('caseload data'!$C:$C,'divisional &amp; regional caseload%'!$T$57,'caseload data'!T:T),"")</f>
        <v/>
      </c>
    </row>
    <row r="61" spans="2:36" x14ac:dyDescent="0.15">
      <c r="B61" s="110" t="s">
        <v>1039</v>
      </c>
      <c r="C61" s="187" t="str">
        <f>IFERROR(SUMIFS('caseload data'!E:E,'caseload data'!$C:$C,'divisional &amp; regional caseload%'!$B$57,'caseload data'!$D:$D,"TPO")/SUMIF('caseload data'!$C:$C,'divisional &amp; regional caseload%'!$B$57,'caseload data'!E:E),"")</f>
        <v/>
      </c>
      <c r="D61" s="187" t="str">
        <f>IFERROR(SUMIFS('caseload data'!F:F,'caseload data'!$C:$C,'divisional &amp; regional caseload%'!$B$57,'caseload data'!$D:$D,"TPO")/SUMIF('caseload data'!$C:$C,'divisional &amp; regional caseload%'!$B$57,'caseload data'!F:F),"")</f>
        <v/>
      </c>
      <c r="E61" s="187" t="str">
        <f>IFERROR(SUMIFS('caseload data'!G:G,'caseload data'!$C:$C,'divisional &amp; regional caseload%'!$B$57,'caseload data'!$D:$D,"TPO")/SUMIF('caseload data'!$C:$C,'divisional &amp; regional caseload%'!$B$57,'caseload data'!G:G),"")</f>
        <v/>
      </c>
      <c r="F61" s="187" t="str">
        <f>IFERROR(SUMIFS('caseload data'!H:H,'caseload data'!$C:$C,'divisional &amp; regional caseload%'!$B$57,'caseload data'!$D:$D,"TPO")/SUMIF('caseload data'!$C:$C,'divisional &amp; regional caseload%'!$B$57,'caseload data'!H:H),"")</f>
        <v/>
      </c>
      <c r="G61" s="187" t="str">
        <f>IFERROR(SUMIFS('caseload data'!I:I,'caseload data'!$C:$C,'divisional &amp; regional caseload%'!$B$57,'caseload data'!$D:$D,"TPO")/SUMIF('caseload data'!$C:$C,'divisional &amp; regional caseload%'!$B$57,'caseload data'!I:I),"")</f>
        <v/>
      </c>
      <c r="H61" s="187" t="str">
        <f>IFERROR(SUMIFS('caseload data'!J:J,'caseload data'!$C:$C,'divisional &amp; regional caseload%'!$B$57,'caseload data'!$D:$D,"TPO")/SUMIF('caseload data'!$C:$C,'divisional &amp; regional caseload%'!$B$57,'caseload data'!J:J),"")</f>
        <v/>
      </c>
      <c r="I61" s="187" t="str">
        <f>IFERROR(SUMIFS('caseload data'!K:K,'caseload data'!$C:$C,'divisional &amp; regional caseload%'!$B$57,'caseload data'!$D:$D,"TPO")/SUMIF('caseload data'!$C:$C,'divisional &amp; regional caseload%'!$B$57,'caseload data'!K:K),"")</f>
        <v/>
      </c>
      <c r="J61" s="187" t="str">
        <f>IFERROR(SUMIFS('caseload data'!L:L,'caseload data'!$C:$C,'divisional &amp; regional caseload%'!$B$57,'caseload data'!$D:$D,"TPO")/SUMIF('caseload data'!$C:$C,'divisional &amp; regional caseload%'!$B$57,'caseload data'!L:L),"")</f>
        <v/>
      </c>
      <c r="K61" s="187" t="str">
        <f>IFERROR(SUMIFS('caseload data'!M:M,'caseload data'!$C:$C,'divisional &amp; regional caseload%'!$B$57,'caseload data'!$D:$D,"TPO")/SUMIF('caseload data'!$C:$C,'divisional &amp; regional caseload%'!$B$57,'caseload data'!M:M),"")</f>
        <v/>
      </c>
      <c r="L61" s="187" t="str">
        <f>IFERROR(SUMIFS('caseload data'!N:N,'caseload data'!$C:$C,'divisional &amp; regional caseload%'!$B$57,'caseload data'!$D:$D,"TPO")/SUMIF('caseload data'!$C:$C,'divisional &amp; regional caseload%'!$B$57,'caseload data'!N:N),"")</f>
        <v/>
      </c>
      <c r="M61" s="187" t="str">
        <f>IFERROR(SUMIFS('caseload data'!O:O,'caseload data'!$C:$C,'divisional &amp; regional caseload%'!$B$57,'caseload data'!$D:$D,"TPO")/SUMIF('caseload data'!$C:$C,'divisional &amp; regional caseload%'!$B$57,'caseload data'!O:O),"")</f>
        <v/>
      </c>
      <c r="N61" s="187" t="str">
        <f>IFERROR(SUMIFS('caseload data'!P:P,'caseload data'!$C:$C,'divisional &amp; regional caseload%'!$B$57,'caseload data'!$D:$D,"TPO")/SUMIF('caseload data'!$C:$C,'divisional &amp; regional caseload%'!$B$57,'caseload data'!P:P),"")</f>
        <v/>
      </c>
      <c r="O61" s="187" t="str">
        <f>IFERROR(SUMIFS('caseload data'!Q:Q,'caseload data'!$C:$C,'divisional &amp; regional caseload%'!$B$57,'caseload data'!$D:$D,"TPO")/SUMIF('caseload data'!$C:$C,'divisional &amp; regional caseload%'!$B$57,'caseload data'!Q:Q),"")</f>
        <v/>
      </c>
      <c r="P61" s="187" t="str">
        <f>IFERROR(SUMIFS('caseload data'!R:R,'caseload data'!$C:$C,'divisional &amp; regional caseload%'!$B$57,'caseload data'!$D:$D,"TPO")/SUMIF('caseload data'!$C:$C,'divisional &amp; regional caseload%'!$B$57,'caseload data'!R:R),"")</f>
        <v/>
      </c>
      <c r="Q61" s="187" t="str">
        <f>IFERROR(SUMIFS('caseload data'!S:S,'caseload data'!$C:$C,'divisional &amp; regional caseload%'!$B$57,'caseload data'!$D:$D,"TPO")/SUMIF('caseload data'!$C:$C,'divisional &amp; regional caseload%'!$B$57,'caseload data'!S:S),"")</f>
        <v/>
      </c>
      <c r="R61" s="187" t="str">
        <f>IFERROR(SUMIFS('caseload data'!T:T,'caseload data'!$C:$C,'divisional &amp; regional caseload%'!$B$57,'caseload data'!$D:$D,"TPO")/SUMIF('caseload data'!$C:$C,'divisional &amp; regional caseload%'!$B$57,'caseload data'!T:T),"")</f>
        <v/>
      </c>
      <c r="S61" s="76"/>
      <c r="T61" s="110" t="s">
        <v>1039</v>
      </c>
      <c r="U61" s="187" t="str">
        <f>IFERROR(SUMIFS('caseload data'!E:E,'caseload data'!$C:$C,'divisional &amp; regional caseload%'!$T$57,'caseload data'!$D:$D,"TPO")/SUMIF('caseload data'!$C:$C,'divisional &amp; regional caseload%'!$T$57,'caseload data'!E:E),"")</f>
        <v/>
      </c>
      <c r="V61" s="187" t="str">
        <f>IFERROR(SUMIFS('caseload data'!F:F,'caseload data'!$C:$C,'divisional &amp; regional caseload%'!$T$57,'caseload data'!$D:$D,"TPO")/SUMIF('caseload data'!$C:$C,'divisional &amp; regional caseload%'!$T$57,'caseload data'!F:F),"")</f>
        <v/>
      </c>
      <c r="W61" s="187" t="str">
        <f>IFERROR(SUMIFS('caseload data'!G:G,'caseload data'!$C:$C,'divisional &amp; regional caseload%'!$T$57,'caseload data'!$D:$D,"TPO")/SUMIF('caseload data'!$C:$C,'divisional &amp; regional caseload%'!$T$57,'caseload data'!G:G),"")</f>
        <v/>
      </c>
      <c r="X61" s="187" t="str">
        <f>IFERROR(SUMIFS('caseload data'!H:H,'caseload data'!$C:$C,'divisional &amp; regional caseload%'!$T$57,'caseload data'!$D:$D,"TPO")/SUMIF('caseload data'!$C:$C,'divisional &amp; regional caseload%'!$T$57,'caseload data'!H:H),"")</f>
        <v/>
      </c>
      <c r="Y61" s="187" t="str">
        <f>IFERROR(SUMIFS('caseload data'!I:I,'caseload data'!$C:$C,'divisional &amp; regional caseload%'!$T$57,'caseload data'!$D:$D,"TPO")/SUMIF('caseload data'!$C:$C,'divisional &amp; regional caseload%'!$T$57,'caseload data'!I:I),"")</f>
        <v/>
      </c>
      <c r="Z61" s="187" t="str">
        <f>IFERROR(SUMIFS('caseload data'!J:J,'caseload data'!$C:$C,'divisional &amp; regional caseload%'!$T$57,'caseload data'!$D:$D,"TPO")/SUMIF('caseload data'!$C:$C,'divisional &amp; regional caseload%'!$T$57,'caseload data'!J:J),"")</f>
        <v/>
      </c>
      <c r="AA61" s="187" t="str">
        <f>IFERROR(SUMIFS('caseload data'!K:K,'caseload data'!$C:$C,'divisional &amp; regional caseload%'!$T$57,'caseload data'!$D:$D,"TPO")/SUMIF('caseload data'!$C:$C,'divisional &amp; regional caseload%'!$T$57,'caseload data'!K:K),"")</f>
        <v/>
      </c>
      <c r="AB61" s="187" t="str">
        <f>IFERROR(SUMIFS('caseload data'!L:L,'caseload data'!$C:$C,'divisional &amp; regional caseload%'!$T$57,'caseload data'!$D:$D,"TPO")/SUMIF('caseload data'!$C:$C,'divisional &amp; regional caseload%'!$T$57,'caseload data'!L:L),"")</f>
        <v/>
      </c>
      <c r="AC61" s="187" t="str">
        <f>IFERROR(SUMIFS('caseload data'!M:M,'caseload data'!$C:$C,'divisional &amp; regional caseload%'!$T$57,'caseload data'!$D:$D,"TPO")/SUMIF('caseload data'!$C:$C,'divisional &amp; regional caseload%'!$T$57,'caseload data'!M:M),"")</f>
        <v/>
      </c>
      <c r="AD61" s="187" t="str">
        <f>IFERROR(SUMIFS('caseload data'!N:N,'caseload data'!$C:$C,'divisional &amp; regional caseload%'!$T$57,'caseload data'!$D:$D,"TPO")/SUMIF('caseload data'!$C:$C,'divisional &amp; regional caseload%'!$T$57,'caseload data'!N:N),"")</f>
        <v/>
      </c>
      <c r="AE61" s="187" t="str">
        <f>IFERROR(SUMIFS('caseload data'!O:O,'caseload data'!$C:$C,'divisional &amp; regional caseload%'!$T$57,'caseload data'!$D:$D,"TPO")/SUMIF('caseload data'!$C:$C,'divisional &amp; regional caseload%'!$T$57,'caseload data'!O:O),"")</f>
        <v/>
      </c>
      <c r="AF61" s="187" t="str">
        <f>IFERROR(SUMIFS('caseload data'!P:P,'caseload data'!$C:$C,'divisional &amp; regional caseload%'!$T$57,'caseload data'!$D:$D,"TPO")/SUMIF('caseload data'!$C:$C,'divisional &amp; regional caseload%'!$T$57,'caseload data'!P:P),"")</f>
        <v/>
      </c>
      <c r="AG61" s="187" t="str">
        <f>IFERROR(SUMIFS('caseload data'!Q:Q,'caseload data'!$C:$C,'divisional &amp; regional caseload%'!$T$57,'caseload data'!$D:$D,"TPO")/SUMIF('caseload data'!$C:$C,'divisional &amp; regional caseload%'!$T$57,'caseload data'!Q:Q),"")</f>
        <v/>
      </c>
      <c r="AH61" s="187" t="str">
        <f>IFERROR(SUMIFS('caseload data'!R:R,'caseload data'!$C:$C,'divisional &amp; regional caseload%'!$T$57,'caseload data'!$D:$D,"TPO")/SUMIF('caseload data'!$C:$C,'divisional &amp; regional caseload%'!$T$57,'caseload data'!R:R),"")</f>
        <v/>
      </c>
      <c r="AI61" s="187" t="str">
        <f>IFERROR(SUMIFS('caseload data'!S:S,'caseload data'!$C:$C,'divisional &amp; regional caseload%'!$T$57,'caseload data'!$D:$D,"TPO")/SUMIF('caseload data'!$C:$C,'divisional &amp; regional caseload%'!$T$57,'caseload data'!S:S),"")</f>
        <v/>
      </c>
      <c r="AJ61" s="187" t="str">
        <f>IFERROR(SUMIFS('caseload data'!T:T,'caseload data'!$C:$C,'divisional &amp; regional caseload%'!$T$57,'caseload data'!$D:$D,"TPO")/SUMIF('caseload data'!$C:$C,'divisional &amp; regional caseload%'!$T$57,'caseload data'!T:T),"")</f>
        <v/>
      </c>
    </row>
    <row r="62" spans="2:36" x14ac:dyDescent="0.15">
      <c r="B62" s="111" t="s">
        <v>1040</v>
      </c>
      <c r="C62" s="187" t="str">
        <f>IFERROR(SUMIFS('caseload data'!E:E,'caseload data'!$C:$C,'divisional &amp; regional caseload%'!$B$57,'caseload data'!$D:$D,"SPO")/SUMIF('caseload data'!$C:$C,'divisional &amp; regional caseload%'!$B$57,'caseload data'!E:E),"")</f>
        <v/>
      </c>
      <c r="D62" s="187" t="str">
        <f>IFERROR(SUMIFS('caseload data'!F:F,'caseload data'!$C:$C,'divisional &amp; regional caseload%'!$B$57,'caseload data'!$D:$D,"SPO")/SUMIF('caseload data'!$C:$C,'divisional &amp; regional caseload%'!$B$57,'caseload data'!F:F),"")</f>
        <v/>
      </c>
      <c r="E62" s="187" t="str">
        <f>IFERROR(SUMIFS('caseload data'!G:G,'caseload data'!$C:$C,'divisional &amp; regional caseload%'!$B$57,'caseload data'!$D:$D,"SPO")/SUMIF('caseload data'!$C:$C,'divisional &amp; regional caseload%'!$B$57,'caseload data'!G:G),"")</f>
        <v/>
      </c>
      <c r="F62" s="187" t="str">
        <f>IFERROR(SUMIFS('caseload data'!H:H,'caseload data'!$C:$C,'divisional &amp; regional caseload%'!$B$57,'caseload data'!$D:$D,"SPO")/SUMIF('caseload data'!$C:$C,'divisional &amp; regional caseload%'!$B$57,'caseload data'!H:H),"")</f>
        <v/>
      </c>
      <c r="G62" s="187" t="str">
        <f>IFERROR(SUMIFS('caseload data'!I:I,'caseload data'!$C:$C,'divisional &amp; regional caseload%'!$B$57,'caseload data'!$D:$D,"SPO")/SUMIF('caseload data'!$C:$C,'divisional &amp; regional caseload%'!$B$57,'caseload data'!I:I),"")</f>
        <v/>
      </c>
      <c r="H62" s="187" t="str">
        <f>IFERROR(SUMIFS('caseload data'!J:J,'caseload data'!$C:$C,'divisional &amp; regional caseload%'!$B$57,'caseload data'!$D:$D,"SPO")/SUMIF('caseload data'!$C:$C,'divisional &amp; regional caseload%'!$B$57,'caseload data'!J:J),"")</f>
        <v/>
      </c>
      <c r="I62" s="187" t="str">
        <f>IFERROR(SUMIFS('caseload data'!K:K,'caseload data'!$C:$C,'divisional &amp; regional caseload%'!$B$57,'caseload data'!$D:$D,"SPO")/SUMIF('caseload data'!$C:$C,'divisional &amp; regional caseload%'!$B$57,'caseload data'!K:K),"")</f>
        <v/>
      </c>
      <c r="J62" s="187" t="str">
        <f>IFERROR(SUMIFS('caseload data'!L:L,'caseload data'!$C:$C,'divisional &amp; regional caseload%'!$B$57,'caseload data'!$D:$D,"SPO")/SUMIF('caseload data'!$C:$C,'divisional &amp; regional caseload%'!$B$57,'caseload data'!L:L),"")</f>
        <v/>
      </c>
      <c r="K62" s="187" t="str">
        <f>IFERROR(SUMIFS('caseload data'!M:M,'caseload data'!$C:$C,'divisional &amp; regional caseload%'!$B$57,'caseload data'!$D:$D,"SPO")/SUMIF('caseload data'!$C:$C,'divisional &amp; regional caseload%'!$B$57,'caseload data'!M:M),"")</f>
        <v/>
      </c>
      <c r="L62" s="187" t="str">
        <f>IFERROR(SUMIFS('caseload data'!N:N,'caseload data'!$C:$C,'divisional &amp; regional caseload%'!$B$57,'caseload data'!$D:$D,"SPO")/SUMIF('caseload data'!$C:$C,'divisional &amp; regional caseload%'!$B$57,'caseload data'!N:N),"")</f>
        <v/>
      </c>
      <c r="M62" s="187" t="str">
        <f>IFERROR(SUMIFS('caseload data'!O:O,'caseload data'!$C:$C,'divisional &amp; regional caseload%'!$B$57,'caseload data'!$D:$D,"SPO")/SUMIF('caseload data'!$C:$C,'divisional &amp; regional caseload%'!$B$57,'caseload data'!O:O),"")</f>
        <v/>
      </c>
      <c r="N62" s="187" t="str">
        <f>IFERROR(SUMIFS('caseload data'!P:P,'caseload data'!$C:$C,'divisional &amp; regional caseload%'!$B$57,'caseload data'!$D:$D,"SPO")/SUMIF('caseload data'!$C:$C,'divisional &amp; regional caseload%'!$B$57,'caseload data'!P:P),"")</f>
        <v/>
      </c>
      <c r="O62" s="187" t="str">
        <f>IFERROR(SUMIFS('caseload data'!Q:Q,'caseload data'!$C:$C,'divisional &amp; regional caseload%'!$B$57,'caseload data'!$D:$D,"SPO")/SUMIF('caseload data'!$C:$C,'divisional &amp; regional caseload%'!$B$57,'caseload data'!Q:Q),"")</f>
        <v/>
      </c>
      <c r="P62" s="187" t="str">
        <f>IFERROR(SUMIFS('caseload data'!R:R,'caseload data'!$C:$C,'divisional &amp; regional caseload%'!$B$57,'caseload data'!$D:$D,"SPO")/SUMIF('caseload data'!$C:$C,'divisional &amp; regional caseload%'!$B$57,'caseload data'!R:R),"")</f>
        <v/>
      </c>
      <c r="Q62" s="187" t="str">
        <f>IFERROR(SUMIFS('caseload data'!S:S,'caseload data'!$C:$C,'divisional &amp; regional caseload%'!$B$57,'caseload data'!$D:$D,"SPO")/SUMIF('caseload data'!$C:$C,'divisional &amp; regional caseload%'!$B$57,'caseload data'!S:S),"")</f>
        <v/>
      </c>
      <c r="R62" s="187" t="str">
        <f>IFERROR(SUMIFS('caseload data'!T:T,'caseload data'!$C:$C,'divisional &amp; regional caseload%'!$B$57,'caseload data'!$D:$D,"SPO")/SUMIF('caseload data'!$C:$C,'divisional &amp; regional caseload%'!$B$57,'caseload data'!T:T),"")</f>
        <v/>
      </c>
      <c r="S62" s="76"/>
      <c r="T62" s="111" t="s">
        <v>1040</v>
      </c>
      <c r="U62" s="187" t="str">
        <f>IFERROR(SUMIFS('caseload data'!E:E,'caseload data'!$C:$C,'divisional &amp; regional caseload%'!$T$57,'caseload data'!$D:$D,"SPO")/SUMIF('caseload data'!$C:$C,'divisional &amp; regional caseload%'!$T$57,'caseload data'!E:E),"")</f>
        <v/>
      </c>
      <c r="V62" s="187" t="str">
        <f>IFERROR(SUMIFS('caseload data'!F:F,'caseload data'!$C:$C,'divisional &amp; regional caseload%'!$T$57,'caseload data'!$D:$D,"SPO")/SUMIF('caseload data'!$C:$C,'divisional &amp; regional caseload%'!$T$57,'caseload data'!F:F),"")</f>
        <v/>
      </c>
      <c r="W62" s="187" t="str">
        <f>IFERROR(SUMIFS('caseload data'!G:G,'caseload data'!$C:$C,'divisional &amp; regional caseload%'!$T$57,'caseload data'!$D:$D,"SPO")/SUMIF('caseload data'!$C:$C,'divisional &amp; regional caseload%'!$T$57,'caseload data'!G:G),"")</f>
        <v/>
      </c>
      <c r="X62" s="187" t="str">
        <f>IFERROR(SUMIFS('caseload data'!H:H,'caseload data'!$C:$C,'divisional &amp; regional caseload%'!$T$57,'caseload data'!$D:$D,"SPO")/SUMIF('caseload data'!$C:$C,'divisional &amp; regional caseload%'!$T$57,'caseload data'!H:H),"")</f>
        <v/>
      </c>
      <c r="Y62" s="187" t="str">
        <f>IFERROR(SUMIFS('caseload data'!I:I,'caseload data'!$C:$C,'divisional &amp; regional caseload%'!$T$57,'caseload data'!$D:$D,"SPO")/SUMIF('caseload data'!$C:$C,'divisional &amp; regional caseload%'!$T$57,'caseload data'!I:I),"")</f>
        <v/>
      </c>
      <c r="Z62" s="187" t="str">
        <f>IFERROR(SUMIFS('caseload data'!J:J,'caseload data'!$C:$C,'divisional &amp; regional caseload%'!$T$57,'caseload data'!$D:$D,"SPO")/SUMIF('caseload data'!$C:$C,'divisional &amp; regional caseload%'!$T$57,'caseload data'!J:J),"")</f>
        <v/>
      </c>
      <c r="AA62" s="187" t="str">
        <f>IFERROR(SUMIFS('caseload data'!K:K,'caseload data'!$C:$C,'divisional &amp; regional caseload%'!$T$57,'caseload data'!$D:$D,"SPO")/SUMIF('caseload data'!$C:$C,'divisional &amp; regional caseload%'!$T$57,'caseload data'!K:K),"")</f>
        <v/>
      </c>
      <c r="AB62" s="187" t="str">
        <f>IFERROR(SUMIFS('caseload data'!L:L,'caseload data'!$C:$C,'divisional &amp; regional caseload%'!$T$57,'caseload data'!$D:$D,"SPO")/SUMIF('caseload data'!$C:$C,'divisional &amp; regional caseload%'!$T$57,'caseload data'!L:L),"")</f>
        <v/>
      </c>
      <c r="AC62" s="187" t="str">
        <f>IFERROR(SUMIFS('caseload data'!M:M,'caseload data'!$C:$C,'divisional &amp; regional caseload%'!$T$57,'caseload data'!$D:$D,"SPO")/SUMIF('caseload data'!$C:$C,'divisional &amp; regional caseload%'!$T$57,'caseload data'!M:M),"")</f>
        <v/>
      </c>
      <c r="AD62" s="187" t="str">
        <f>IFERROR(SUMIFS('caseload data'!N:N,'caseload data'!$C:$C,'divisional &amp; regional caseload%'!$T$57,'caseload data'!$D:$D,"SPO")/SUMIF('caseload data'!$C:$C,'divisional &amp; regional caseload%'!$T$57,'caseload data'!N:N),"")</f>
        <v/>
      </c>
      <c r="AE62" s="187" t="str">
        <f>IFERROR(SUMIFS('caseload data'!O:O,'caseload data'!$C:$C,'divisional &amp; regional caseload%'!$T$57,'caseload data'!$D:$D,"SPO")/SUMIF('caseload data'!$C:$C,'divisional &amp; regional caseload%'!$T$57,'caseload data'!O:O),"")</f>
        <v/>
      </c>
      <c r="AF62" s="187" t="str">
        <f>IFERROR(SUMIFS('caseload data'!P:P,'caseload data'!$C:$C,'divisional &amp; regional caseload%'!$T$57,'caseload data'!$D:$D,"SPO")/SUMIF('caseload data'!$C:$C,'divisional &amp; regional caseload%'!$T$57,'caseload data'!P:P),"")</f>
        <v/>
      </c>
      <c r="AG62" s="187" t="str">
        <f>IFERROR(SUMIFS('caseload data'!Q:Q,'caseload data'!$C:$C,'divisional &amp; regional caseload%'!$T$57,'caseload data'!$D:$D,"SPO")/SUMIF('caseload data'!$C:$C,'divisional &amp; regional caseload%'!$T$57,'caseload data'!Q:Q),"")</f>
        <v/>
      </c>
      <c r="AH62" s="187" t="str">
        <f>IFERROR(SUMIFS('caseload data'!R:R,'caseload data'!$C:$C,'divisional &amp; regional caseload%'!$T$57,'caseload data'!$D:$D,"SPO")/SUMIF('caseload data'!$C:$C,'divisional &amp; regional caseload%'!$T$57,'caseload data'!R:R),"")</f>
        <v/>
      </c>
      <c r="AI62" s="187" t="str">
        <f>IFERROR(SUMIFS('caseload data'!S:S,'caseload data'!$C:$C,'divisional &amp; regional caseload%'!$T$57,'caseload data'!$D:$D,"SPO")/SUMIF('caseload data'!$C:$C,'divisional &amp; regional caseload%'!$T$57,'caseload data'!S:S),"")</f>
        <v/>
      </c>
      <c r="AJ62" s="187" t="str">
        <f>IFERROR(SUMIFS('caseload data'!T:T,'caseload data'!$C:$C,'divisional &amp; regional caseload%'!$T$57,'caseload data'!$D:$D,"SPO")/SUMIF('caseload data'!$C:$C,'divisional &amp; regional caseload%'!$T$57,'caseload data'!T:T),"")</f>
        <v/>
      </c>
    </row>
    <row r="64" spans="2:36" ht="29.5" customHeight="1" x14ac:dyDescent="0.15">
      <c r="B64" s="162">
        <f>HLOOKUP($B$5,Region_Table,18,0)</f>
        <v>0</v>
      </c>
      <c r="C64" s="333" t="s">
        <v>1257</v>
      </c>
      <c r="D64" s="334"/>
      <c r="E64" s="334"/>
      <c r="F64" s="334"/>
      <c r="G64" s="334"/>
      <c r="H64" s="334"/>
      <c r="I64" s="334"/>
      <c r="J64" s="334"/>
      <c r="K64" s="334"/>
      <c r="L64" s="334"/>
      <c r="M64" s="343"/>
      <c r="N64" s="343"/>
      <c r="O64" s="344"/>
      <c r="P64" s="337">
        <f>SUMIF('caseload data'!$C:$C,'divisional &amp; regional caseload%'!B64,'caseload data'!V:V)</f>
        <v>0</v>
      </c>
      <c r="Q64" s="345"/>
      <c r="R64" s="346"/>
      <c r="S64" s="76"/>
      <c r="T64" s="162">
        <f>HLOOKUP($B$5,Region_Table,19,0)</f>
        <v>0</v>
      </c>
      <c r="U64" s="333" t="s">
        <v>1257</v>
      </c>
      <c r="V64" s="334"/>
      <c r="W64" s="334"/>
      <c r="X64" s="334"/>
      <c r="Y64" s="334"/>
      <c r="Z64" s="334"/>
      <c r="AA64" s="334"/>
      <c r="AB64" s="334"/>
      <c r="AC64" s="334"/>
      <c r="AD64" s="334"/>
      <c r="AE64" s="343"/>
      <c r="AF64" s="343"/>
      <c r="AG64" s="344"/>
      <c r="AH64" s="337">
        <f>SUMIF('caseload data'!$C:$C,'divisional &amp; regional caseload%'!T64,'caseload data'!V:V)</f>
        <v>0</v>
      </c>
      <c r="AI64" s="345"/>
      <c r="AJ64" s="346"/>
    </row>
    <row r="65" spans="2:36" x14ac:dyDescent="0.15">
      <c r="B65" s="108" t="s">
        <v>1199</v>
      </c>
      <c r="C65" s="42" t="s">
        <v>1019</v>
      </c>
      <c r="D65" s="42" t="s">
        <v>1020</v>
      </c>
      <c r="E65" s="42" t="s">
        <v>1021</v>
      </c>
      <c r="F65" s="42" t="s">
        <v>1022</v>
      </c>
      <c r="G65" s="42" t="s">
        <v>1023</v>
      </c>
      <c r="H65" s="42" t="s">
        <v>1024</v>
      </c>
      <c r="I65" s="42" t="s">
        <v>1025</v>
      </c>
      <c r="J65" s="42" t="s">
        <v>1026</v>
      </c>
      <c r="K65" s="42" t="s">
        <v>1027</v>
      </c>
      <c r="L65" s="42" t="s">
        <v>1028</v>
      </c>
      <c r="M65" s="42" t="s">
        <v>1029</v>
      </c>
      <c r="N65" s="42" t="s">
        <v>1030</v>
      </c>
      <c r="O65" s="42" t="s">
        <v>1031</v>
      </c>
      <c r="P65" s="42" t="s">
        <v>1032</v>
      </c>
      <c r="Q65" s="42" t="s">
        <v>1033</v>
      </c>
      <c r="R65" s="42" t="s">
        <v>1034</v>
      </c>
      <c r="S65" s="76"/>
      <c r="T65" s="108" t="s">
        <v>1199</v>
      </c>
      <c r="U65" s="42" t="s">
        <v>1019</v>
      </c>
      <c r="V65" s="42" t="s">
        <v>1020</v>
      </c>
      <c r="W65" s="42" t="s">
        <v>1021</v>
      </c>
      <c r="X65" s="42" t="s">
        <v>1022</v>
      </c>
      <c r="Y65" s="42" t="s">
        <v>1023</v>
      </c>
      <c r="Z65" s="42" t="s">
        <v>1024</v>
      </c>
      <c r="AA65" s="42" t="s">
        <v>1025</v>
      </c>
      <c r="AB65" s="42" t="s">
        <v>1026</v>
      </c>
      <c r="AC65" s="42" t="s">
        <v>1027</v>
      </c>
      <c r="AD65" s="42" t="s">
        <v>1028</v>
      </c>
      <c r="AE65" s="42" t="s">
        <v>1029</v>
      </c>
      <c r="AF65" s="42" t="s">
        <v>1030</v>
      </c>
      <c r="AG65" s="42" t="s">
        <v>1031</v>
      </c>
      <c r="AH65" s="42" t="s">
        <v>1032</v>
      </c>
      <c r="AI65" s="42" t="s">
        <v>1033</v>
      </c>
      <c r="AJ65" s="42" t="s">
        <v>1034</v>
      </c>
    </row>
    <row r="66" spans="2:36" x14ac:dyDescent="0.15">
      <c r="B66" s="109" t="s">
        <v>1037</v>
      </c>
      <c r="C66" s="187" t="str">
        <f>IFERROR(SUMIFS('caseload data'!E:E,'caseload data'!$C:$C,'divisional &amp; regional caseload%'!$B$64,'caseload data'!$D:$D,"PO")/SUMIF('caseload data'!$C:$C,'divisional &amp; regional caseload%'!$B$64,'caseload data'!E:E),"")</f>
        <v/>
      </c>
      <c r="D66" s="187" t="str">
        <f>IFERROR(SUMIFS('caseload data'!F:F,'caseload data'!$C:$C,'divisional &amp; regional caseload%'!$B$64,'caseload data'!$D:$D,"PO")/SUMIF('caseload data'!$C:$C,'divisional &amp; regional caseload%'!$B$64,'caseload data'!F:F),"")</f>
        <v/>
      </c>
      <c r="E66" s="187" t="str">
        <f>IFERROR(SUMIFS('caseload data'!G:G,'caseload data'!$C:$C,'divisional &amp; regional caseload%'!$B$64,'caseload data'!$D:$D,"PO")/SUMIF('caseload data'!$C:$C,'divisional &amp; regional caseload%'!$B$64,'caseload data'!G:G),"")</f>
        <v/>
      </c>
      <c r="F66" s="187" t="str">
        <f>IFERROR(SUMIFS('caseload data'!H:H,'caseload data'!$C:$C,'divisional &amp; regional caseload%'!$B$64,'caseload data'!$D:$D,"PO")/SUMIF('caseload data'!$C:$C,'divisional &amp; regional caseload%'!$B$64,'caseload data'!H:H),"")</f>
        <v/>
      </c>
      <c r="G66" s="187" t="str">
        <f>IFERROR(SUMIFS('caseload data'!I:I,'caseload data'!$C:$C,'divisional &amp; regional caseload%'!$B$64,'caseload data'!$D:$D,"PO")/SUMIF('caseload data'!$C:$C,'divisional &amp; regional caseload%'!$B$64,'caseload data'!I:I),"")</f>
        <v/>
      </c>
      <c r="H66" s="187" t="str">
        <f>IFERROR(SUMIFS('caseload data'!J:J,'caseload data'!$C:$C,'divisional &amp; regional caseload%'!$B$64,'caseload data'!$D:$D,"PO")/SUMIF('caseload data'!$C:$C,'divisional &amp; regional caseload%'!$B$64,'caseload data'!J:J),"")</f>
        <v/>
      </c>
      <c r="I66" s="187" t="str">
        <f>IFERROR(SUMIFS('caseload data'!K:K,'caseload data'!$C:$C,'divisional &amp; regional caseload%'!$B$64,'caseload data'!$D:$D,"PO")/SUMIF('caseload data'!$C:$C,'divisional &amp; regional caseload%'!$B$64,'caseload data'!K:K),"")</f>
        <v/>
      </c>
      <c r="J66" s="187" t="str">
        <f>IFERROR(SUMIFS('caseload data'!L:L,'caseload data'!$C:$C,'divisional &amp; regional caseload%'!$B$64,'caseload data'!$D:$D,"PO")/SUMIF('caseload data'!$C:$C,'divisional &amp; regional caseload%'!$B$64,'caseload data'!L:L),"")</f>
        <v/>
      </c>
      <c r="K66" s="187" t="str">
        <f>IFERROR(SUMIFS('caseload data'!M:M,'caseload data'!$C:$C,'divisional &amp; regional caseload%'!$B$64,'caseload data'!$D:$D,"PO")/SUMIF('caseload data'!$C:$C,'divisional &amp; regional caseload%'!$B$64,'caseload data'!M:M),"")</f>
        <v/>
      </c>
      <c r="L66" s="187" t="str">
        <f>IFERROR(SUMIFS('caseload data'!N:N,'caseload data'!$C:$C,'divisional &amp; regional caseload%'!$B$64,'caseload data'!$D:$D,"PO")/SUMIF('caseload data'!$C:$C,'divisional &amp; regional caseload%'!$B$64,'caseload data'!N:N),"")</f>
        <v/>
      </c>
      <c r="M66" s="187" t="str">
        <f>IFERROR(SUMIFS('caseload data'!O:O,'caseload data'!$C:$C,'divisional &amp; regional caseload%'!$B$64,'caseload data'!$D:$D,"PO")/SUMIF('caseload data'!$C:$C,'divisional &amp; regional caseload%'!$B$64,'caseload data'!O:O),"")</f>
        <v/>
      </c>
      <c r="N66" s="187" t="str">
        <f>IFERROR(SUMIFS('caseload data'!P:P,'caseload data'!$C:$C,'divisional &amp; regional caseload%'!$B$64,'caseload data'!$D:$D,"PO")/SUMIF('caseload data'!$C:$C,'divisional &amp; regional caseload%'!$B$64,'caseload data'!P:P),"")</f>
        <v/>
      </c>
      <c r="O66" s="187" t="str">
        <f>IFERROR(SUMIFS('caseload data'!Q:Q,'caseload data'!$C:$C,'divisional &amp; regional caseload%'!$B$64,'caseload data'!$D:$D,"PO")/SUMIF('caseload data'!$C:$C,'divisional &amp; regional caseload%'!$B$64,'caseload data'!Q:Q),"")</f>
        <v/>
      </c>
      <c r="P66" s="187" t="str">
        <f>IFERROR(SUMIFS('caseload data'!R:R,'caseload data'!$C:$C,'divisional &amp; regional caseload%'!$B$64,'caseload data'!$D:$D,"PO")/SUMIF('caseload data'!$C:$C,'divisional &amp; regional caseload%'!$B$64,'caseload data'!R:R),"")</f>
        <v/>
      </c>
      <c r="Q66" s="187" t="str">
        <f>IFERROR(SUMIFS('caseload data'!S:S,'caseload data'!$C:$C,'divisional &amp; regional caseload%'!$B$64,'caseload data'!$D:$D,"PO")/SUMIF('caseload data'!$C:$C,'divisional &amp; regional caseload%'!$B$64,'caseload data'!S:S),"")</f>
        <v/>
      </c>
      <c r="R66" s="187" t="str">
        <f>IFERROR(SUMIFS('caseload data'!T:T,'caseload data'!$C:$C,'divisional &amp; regional caseload%'!$B$64,'caseload data'!$D:$D,"PO")/SUMIF('caseload data'!$C:$C,'divisional &amp; regional caseload%'!$B$64,'caseload data'!T:T),"")</f>
        <v/>
      </c>
      <c r="S66" s="76"/>
      <c r="T66" s="109" t="s">
        <v>1037</v>
      </c>
      <c r="U66" s="187" t="str">
        <f>IFERROR(SUMIFS('caseload data'!E:E,'caseload data'!$C:$C,'divisional &amp; regional caseload%'!$T$57,'caseload data'!$D:$D,"PO")/SUMIF('caseload data'!$C:$C,'divisional &amp; regional caseload%'!$T$57,'caseload data'!E:E),"")</f>
        <v/>
      </c>
      <c r="V66" s="187" t="str">
        <f>IFERROR(SUMIFS('caseload data'!F:F,'caseload data'!$C:$C,'divisional &amp; regional caseload%'!$T$57,'caseload data'!$D:$D,"PO")/SUMIF('caseload data'!$C:$C,'divisional &amp; regional caseload%'!$T$57,'caseload data'!F:F),"")</f>
        <v/>
      </c>
      <c r="W66" s="187" t="str">
        <f>IFERROR(SUMIFS('caseload data'!G:G,'caseload data'!$C:$C,'divisional &amp; regional caseload%'!$T$57,'caseload data'!$D:$D,"PO")/SUMIF('caseload data'!$C:$C,'divisional &amp; regional caseload%'!$T$57,'caseload data'!G:G),"")</f>
        <v/>
      </c>
      <c r="X66" s="187" t="str">
        <f>IFERROR(SUMIFS('caseload data'!H:H,'caseload data'!$C:$C,'divisional &amp; regional caseload%'!$T$57,'caseload data'!$D:$D,"PO")/SUMIF('caseload data'!$C:$C,'divisional &amp; regional caseload%'!$T$57,'caseload data'!H:H),"")</f>
        <v/>
      </c>
      <c r="Y66" s="187" t="str">
        <f>IFERROR(SUMIFS('caseload data'!I:I,'caseload data'!$C:$C,'divisional &amp; regional caseload%'!$T$57,'caseload data'!$D:$D,"PO")/SUMIF('caseload data'!$C:$C,'divisional &amp; regional caseload%'!$T$57,'caseload data'!I:I),"")</f>
        <v/>
      </c>
      <c r="Z66" s="187" t="str">
        <f>IFERROR(SUMIFS('caseload data'!J:J,'caseload data'!$C:$C,'divisional &amp; regional caseload%'!$T$57,'caseload data'!$D:$D,"PO")/SUMIF('caseload data'!$C:$C,'divisional &amp; regional caseload%'!$T$57,'caseload data'!J:J),"")</f>
        <v/>
      </c>
      <c r="AA66" s="187" t="str">
        <f>IFERROR(SUMIFS('caseload data'!K:K,'caseload data'!$C:$C,'divisional &amp; regional caseload%'!$T$57,'caseload data'!$D:$D,"PO")/SUMIF('caseload data'!$C:$C,'divisional &amp; regional caseload%'!$T$57,'caseload data'!K:K),"")</f>
        <v/>
      </c>
      <c r="AB66" s="187" t="str">
        <f>IFERROR(SUMIFS('caseload data'!L:L,'caseload data'!$C:$C,'divisional &amp; regional caseload%'!$T$57,'caseload data'!$D:$D,"PO")/SUMIF('caseload data'!$C:$C,'divisional &amp; regional caseload%'!$T$57,'caseload data'!L:L),"")</f>
        <v/>
      </c>
      <c r="AC66" s="187" t="str">
        <f>IFERROR(SUMIFS('caseload data'!M:M,'caseload data'!$C:$C,'divisional &amp; regional caseload%'!$T$57,'caseload data'!$D:$D,"PO")/SUMIF('caseload data'!$C:$C,'divisional &amp; regional caseload%'!$T$57,'caseload data'!M:M),"")</f>
        <v/>
      </c>
      <c r="AD66" s="187" t="str">
        <f>IFERROR(SUMIFS('caseload data'!N:N,'caseload data'!$C:$C,'divisional &amp; regional caseload%'!$T$57,'caseload data'!$D:$D,"PO")/SUMIF('caseload data'!$C:$C,'divisional &amp; regional caseload%'!$T$57,'caseload data'!N:N),"")</f>
        <v/>
      </c>
      <c r="AE66" s="187" t="str">
        <f>IFERROR(SUMIFS('caseload data'!O:O,'caseload data'!$C:$C,'divisional &amp; regional caseload%'!$T$57,'caseload data'!$D:$D,"PO")/SUMIF('caseload data'!$C:$C,'divisional &amp; regional caseload%'!$T$57,'caseload data'!O:O),"")</f>
        <v/>
      </c>
      <c r="AF66" s="187" t="str">
        <f>IFERROR(SUMIFS('caseload data'!P:P,'caseload data'!$C:$C,'divisional &amp; regional caseload%'!$T$57,'caseload data'!$D:$D,"PO")/SUMIF('caseload data'!$C:$C,'divisional &amp; regional caseload%'!$T$57,'caseload data'!P:P),"")</f>
        <v/>
      </c>
      <c r="AG66" s="187" t="str">
        <f>IFERROR(SUMIFS('caseload data'!Q:Q,'caseload data'!$C:$C,'divisional &amp; regional caseload%'!$T$57,'caseload data'!$D:$D,"PO")/SUMIF('caseload data'!$C:$C,'divisional &amp; regional caseload%'!$T$57,'caseload data'!Q:Q),"")</f>
        <v/>
      </c>
      <c r="AH66" s="187" t="str">
        <f>IFERROR(SUMIFS('caseload data'!R:R,'caseload data'!$C:$C,'divisional &amp; regional caseload%'!$T$57,'caseload data'!$D:$D,"PO")/SUMIF('caseload data'!$C:$C,'divisional &amp; regional caseload%'!$T$57,'caseload data'!R:R),"")</f>
        <v/>
      </c>
      <c r="AI66" s="187" t="str">
        <f>IFERROR(SUMIFS('caseload data'!S:S,'caseload data'!$C:$C,'divisional &amp; regional caseload%'!$T$57,'caseload data'!$D:$D,"PO")/SUMIF('caseload data'!$C:$C,'divisional &amp; regional caseload%'!$T$57,'caseload data'!S:S),"")</f>
        <v/>
      </c>
      <c r="AJ66" s="187" t="str">
        <f>IFERROR(SUMIFS('caseload data'!T:T,'caseload data'!$C:$C,'divisional &amp; regional caseload%'!$T$57,'caseload data'!$D:$D,"PO")/SUMIF('caseload data'!$C:$C,'divisional &amp; regional caseload%'!$T$57,'caseload data'!T:T),"")</f>
        <v/>
      </c>
    </row>
    <row r="67" spans="2:36" x14ac:dyDescent="0.15">
      <c r="B67" s="110" t="s">
        <v>1038</v>
      </c>
      <c r="C67" s="187" t="str">
        <f>IFERROR(SUMIFS('caseload data'!E:E,'caseload data'!$C:$C,'divisional &amp; regional caseload%'!$B$64,'caseload data'!$D:$D,"PSO")/SUMIF('caseload data'!$C:$C,'divisional &amp; regional caseload%'!$B$64,'caseload data'!E:E),"")</f>
        <v/>
      </c>
      <c r="D67" s="187" t="str">
        <f>IFERROR(SUMIFS('caseload data'!F:F,'caseload data'!$C:$C,'divisional &amp; regional caseload%'!$B$64,'caseload data'!$D:$D,"PSO")/SUMIF('caseload data'!$C:$C,'divisional &amp; regional caseload%'!$B$64,'caseload data'!F:F),"")</f>
        <v/>
      </c>
      <c r="E67" s="187" t="str">
        <f>IFERROR(SUMIFS('caseload data'!G:G,'caseload data'!$C:$C,'divisional &amp; regional caseload%'!$B$64,'caseload data'!$D:$D,"PSO")/SUMIF('caseload data'!$C:$C,'divisional &amp; regional caseload%'!$B$64,'caseload data'!G:G),"")</f>
        <v/>
      </c>
      <c r="F67" s="187" t="str">
        <f>IFERROR(SUMIFS('caseload data'!H:H,'caseload data'!$C:$C,'divisional &amp; regional caseload%'!$B$64,'caseload data'!$D:$D,"PSO")/SUMIF('caseload data'!$C:$C,'divisional &amp; regional caseload%'!$B$64,'caseload data'!H:H),"")</f>
        <v/>
      </c>
      <c r="G67" s="187" t="str">
        <f>IFERROR(SUMIFS('caseload data'!I:I,'caseload data'!$C:$C,'divisional &amp; regional caseload%'!$B$64,'caseload data'!$D:$D,"PSO")/SUMIF('caseload data'!$C:$C,'divisional &amp; regional caseload%'!$B$64,'caseload data'!I:I),"")</f>
        <v/>
      </c>
      <c r="H67" s="187" t="str">
        <f>IFERROR(SUMIFS('caseload data'!J:J,'caseload data'!$C:$C,'divisional &amp; regional caseload%'!$B$64,'caseload data'!$D:$D,"PSO")/SUMIF('caseload data'!$C:$C,'divisional &amp; regional caseload%'!$B$64,'caseload data'!J:J),"")</f>
        <v/>
      </c>
      <c r="I67" s="187" t="str">
        <f>IFERROR(SUMIFS('caseload data'!K:K,'caseload data'!$C:$C,'divisional &amp; regional caseload%'!$B$64,'caseload data'!$D:$D,"PSO")/SUMIF('caseload data'!$C:$C,'divisional &amp; regional caseload%'!$B$64,'caseload data'!K:K),"")</f>
        <v/>
      </c>
      <c r="J67" s="187" t="str">
        <f>IFERROR(SUMIFS('caseload data'!L:L,'caseload data'!$C:$C,'divisional &amp; regional caseload%'!$B$64,'caseload data'!$D:$D,"PSO")/SUMIF('caseload data'!$C:$C,'divisional &amp; regional caseload%'!$B$64,'caseload data'!L:L),"")</f>
        <v/>
      </c>
      <c r="K67" s="187" t="str">
        <f>IFERROR(SUMIFS('caseload data'!M:M,'caseload data'!$C:$C,'divisional &amp; regional caseload%'!$B$64,'caseload data'!$D:$D,"PSO")/SUMIF('caseload data'!$C:$C,'divisional &amp; regional caseload%'!$B$64,'caseload data'!M:M),"")</f>
        <v/>
      </c>
      <c r="L67" s="187" t="str">
        <f>IFERROR(SUMIFS('caseload data'!N:N,'caseload data'!$C:$C,'divisional &amp; regional caseload%'!$B$64,'caseload data'!$D:$D,"PSO")/SUMIF('caseload data'!$C:$C,'divisional &amp; regional caseload%'!$B$64,'caseload data'!N:N),"")</f>
        <v/>
      </c>
      <c r="M67" s="187" t="str">
        <f>IFERROR(SUMIFS('caseload data'!O:O,'caseload data'!$C:$C,'divisional &amp; regional caseload%'!$B$64,'caseload data'!$D:$D,"PSO")/SUMIF('caseload data'!$C:$C,'divisional &amp; regional caseload%'!$B$64,'caseload data'!O:O),"")</f>
        <v/>
      </c>
      <c r="N67" s="187" t="str">
        <f>IFERROR(SUMIFS('caseload data'!P:P,'caseload data'!$C:$C,'divisional &amp; regional caseload%'!$B$64,'caseload data'!$D:$D,"PSO")/SUMIF('caseload data'!$C:$C,'divisional &amp; regional caseload%'!$B$64,'caseload data'!P:P),"")</f>
        <v/>
      </c>
      <c r="O67" s="187" t="str">
        <f>IFERROR(SUMIFS('caseload data'!Q:Q,'caseload data'!$C:$C,'divisional &amp; regional caseload%'!$B$64,'caseload data'!$D:$D,"PSO")/SUMIF('caseload data'!$C:$C,'divisional &amp; regional caseload%'!$B$64,'caseload data'!Q:Q),"")</f>
        <v/>
      </c>
      <c r="P67" s="187" t="str">
        <f>IFERROR(SUMIFS('caseload data'!R:R,'caseload data'!$C:$C,'divisional &amp; regional caseload%'!$B$64,'caseload data'!$D:$D,"PSO")/SUMIF('caseload data'!$C:$C,'divisional &amp; regional caseload%'!$B$64,'caseload data'!R:R),"")</f>
        <v/>
      </c>
      <c r="Q67" s="187" t="str">
        <f>IFERROR(SUMIFS('caseload data'!S:S,'caseload data'!$C:$C,'divisional &amp; regional caseload%'!$B$64,'caseload data'!$D:$D,"PSO")/SUMIF('caseload data'!$C:$C,'divisional &amp; regional caseload%'!$B$64,'caseload data'!S:S),"")</f>
        <v/>
      </c>
      <c r="R67" s="187" t="str">
        <f>IFERROR(SUMIFS('caseload data'!T:T,'caseload data'!$C:$C,'divisional &amp; regional caseload%'!$B$64,'caseload data'!$D:$D,"PSO")/SUMIF('caseload data'!$C:$C,'divisional &amp; regional caseload%'!$B$64,'caseload data'!T:T),"")</f>
        <v/>
      </c>
      <c r="S67" s="76"/>
      <c r="T67" s="110" t="s">
        <v>1038</v>
      </c>
      <c r="U67" s="187" t="str">
        <f>IFERROR(SUMIFS('caseload data'!E:E,'caseload data'!$C:$C,'divisional &amp; regional caseload%'!$T$57,'caseload data'!$D:$D,"PSO")/SUMIF('caseload data'!$C:$C,'divisional &amp; regional caseload%'!$T$57,'caseload data'!E:E),"")</f>
        <v/>
      </c>
      <c r="V67" s="187" t="str">
        <f>IFERROR(SUMIFS('caseload data'!F:F,'caseload data'!$C:$C,'divisional &amp; regional caseload%'!$T$57,'caseload data'!$D:$D,"PSO")/SUMIF('caseload data'!$C:$C,'divisional &amp; regional caseload%'!$T$57,'caseload data'!F:F),"")</f>
        <v/>
      </c>
      <c r="W67" s="187" t="str">
        <f>IFERROR(SUMIFS('caseload data'!G:G,'caseload data'!$C:$C,'divisional &amp; regional caseload%'!$T$57,'caseload data'!$D:$D,"PSO")/SUMIF('caseload data'!$C:$C,'divisional &amp; regional caseload%'!$T$57,'caseload data'!G:G),"")</f>
        <v/>
      </c>
      <c r="X67" s="187" t="str">
        <f>IFERROR(SUMIFS('caseload data'!H:H,'caseload data'!$C:$C,'divisional &amp; regional caseload%'!$T$57,'caseload data'!$D:$D,"PSO")/SUMIF('caseload data'!$C:$C,'divisional &amp; regional caseload%'!$T$57,'caseload data'!H:H),"")</f>
        <v/>
      </c>
      <c r="Y67" s="187" t="str">
        <f>IFERROR(SUMIFS('caseload data'!I:I,'caseload data'!$C:$C,'divisional &amp; regional caseload%'!$T$57,'caseload data'!$D:$D,"PSO")/SUMIF('caseload data'!$C:$C,'divisional &amp; regional caseload%'!$T$57,'caseload data'!I:I),"")</f>
        <v/>
      </c>
      <c r="Z67" s="187" t="str">
        <f>IFERROR(SUMIFS('caseload data'!J:J,'caseload data'!$C:$C,'divisional &amp; regional caseload%'!$T$57,'caseload data'!$D:$D,"PSO")/SUMIF('caseload data'!$C:$C,'divisional &amp; regional caseload%'!$T$57,'caseload data'!J:J),"")</f>
        <v/>
      </c>
      <c r="AA67" s="187" t="str">
        <f>IFERROR(SUMIFS('caseload data'!K:K,'caseload data'!$C:$C,'divisional &amp; regional caseload%'!$T$57,'caseload data'!$D:$D,"PSO")/SUMIF('caseload data'!$C:$C,'divisional &amp; regional caseload%'!$T$57,'caseload data'!K:K),"")</f>
        <v/>
      </c>
      <c r="AB67" s="187" t="str">
        <f>IFERROR(SUMIFS('caseload data'!L:L,'caseload data'!$C:$C,'divisional &amp; regional caseload%'!$T$57,'caseload data'!$D:$D,"PSO")/SUMIF('caseload data'!$C:$C,'divisional &amp; regional caseload%'!$T$57,'caseload data'!L:L),"")</f>
        <v/>
      </c>
      <c r="AC67" s="187" t="str">
        <f>IFERROR(SUMIFS('caseload data'!M:M,'caseload data'!$C:$C,'divisional &amp; regional caseload%'!$T$57,'caseload data'!$D:$D,"PSO")/SUMIF('caseload data'!$C:$C,'divisional &amp; regional caseload%'!$T$57,'caseload data'!M:M),"")</f>
        <v/>
      </c>
      <c r="AD67" s="187" t="str">
        <f>IFERROR(SUMIFS('caseload data'!N:N,'caseload data'!$C:$C,'divisional &amp; regional caseload%'!$T$57,'caseload data'!$D:$D,"PSO")/SUMIF('caseload data'!$C:$C,'divisional &amp; regional caseload%'!$T$57,'caseload data'!N:N),"")</f>
        <v/>
      </c>
      <c r="AE67" s="187" t="str">
        <f>IFERROR(SUMIFS('caseload data'!O:O,'caseload data'!$C:$C,'divisional &amp; regional caseload%'!$T$57,'caseload data'!$D:$D,"PSO")/SUMIF('caseload data'!$C:$C,'divisional &amp; regional caseload%'!$T$57,'caseload data'!O:O),"")</f>
        <v/>
      </c>
      <c r="AF67" s="187" t="str">
        <f>IFERROR(SUMIFS('caseload data'!P:P,'caseload data'!$C:$C,'divisional &amp; regional caseload%'!$T$57,'caseload data'!$D:$D,"PSO")/SUMIF('caseload data'!$C:$C,'divisional &amp; regional caseload%'!$T$57,'caseload data'!P:P),"")</f>
        <v/>
      </c>
      <c r="AG67" s="187" t="str">
        <f>IFERROR(SUMIFS('caseload data'!Q:Q,'caseload data'!$C:$C,'divisional &amp; regional caseload%'!$T$57,'caseload data'!$D:$D,"PSO")/SUMIF('caseload data'!$C:$C,'divisional &amp; regional caseload%'!$T$57,'caseload data'!Q:Q),"")</f>
        <v/>
      </c>
      <c r="AH67" s="187" t="str">
        <f>IFERROR(SUMIFS('caseload data'!R:R,'caseload data'!$C:$C,'divisional &amp; regional caseload%'!$T$57,'caseload data'!$D:$D,"PSO")/SUMIF('caseload data'!$C:$C,'divisional &amp; regional caseload%'!$T$57,'caseload data'!R:R),"")</f>
        <v/>
      </c>
      <c r="AI67" s="187" t="str">
        <f>IFERROR(SUMIFS('caseload data'!S:S,'caseload data'!$C:$C,'divisional &amp; regional caseload%'!$T$57,'caseload data'!$D:$D,"PSO")/SUMIF('caseload data'!$C:$C,'divisional &amp; regional caseload%'!$T$57,'caseload data'!S:S),"")</f>
        <v/>
      </c>
      <c r="AJ67" s="187" t="str">
        <f>IFERROR(SUMIFS('caseload data'!T:T,'caseload data'!$C:$C,'divisional &amp; regional caseload%'!$T$57,'caseload data'!$D:$D,"PSO")/SUMIF('caseload data'!$C:$C,'divisional &amp; regional caseload%'!$T$57,'caseload data'!T:T),"")</f>
        <v/>
      </c>
    </row>
    <row r="68" spans="2:36" x14ac:dyDescent="0.15">
      <c r="B68" s="110" t="s">
        <v>1039</v>
      </c>
      <c r="C68" s="187" t="str">
        <f>IFERROR(SUMIFS('caseload data'!E:E,'caseload data'!$C:$C,'divisional &amp; regional caseload%'!$B$64,'caseload data'!$D:$D,"TPO")/SUMIF('caseload data'!$C:$C,'divisional &amp; regional caseload%'!$B$64,'caseload data'!E:E),"")</f>
        <v/>
      </c>
      <c r="D68" s="187" t="str">
        <f>IFERROR(SUMIFS('caseload data'!F:F,'caseload data'!$C:$C,'divisional &amp; regional caseload%'!$B$64,'caseload data'!$D:$D,"TPO")/SUMIF('caseload data'!$C:$C,'divisional &amp; regional caseload%'!$B$64,'caseload data'!F:F),"")</f>
        <v/>
      </c>
      <c r="E68" s="187" t="str">
        <f>IFERROR(SUMIFS('caseload data'!G:G,'caseload data'!$C:$C,'divisional &amp; regional caseload%'!$B$64,'caseload data'!$D:$D,"TPO")/SUMIF('caseload data'!$C:$C,'divisional &amp; regional caseload%'!$B$64,'caseload data'!G:G),"")</f>
        <v/>
      </c>
      <c r="F68" s="187" t="str">
        <f>IFERROR(SUMIFS('caseload data'!H:H,'caseload data'!$C:$C,'divisional &amp; regional caseload%'!$B$64,'caseload data'!$D:$D,"TPO")/SUMIF('caseload data'!$C:$C,'divisional &amp; regional caseload%'!$B$64,'caseload data'!H:H),"")</f>
        <v/>
      </c>
      <c r="G68" s="187" t="str">
        <f>IFERROR(SUMIFS('caseload data'!I:I,'caseload data'!$C:$C,'divisional &amp; regional caseload%'!$B$64,'caseload data'!$D:$D,"TPO")/SUMIF('caseload data'!$C:$C,'divisional &amp; regional caseload%'!$B$64,'caseload data'!I:I),"")</f>
        <v/>
      </c>
      <c r="H68" s="187" t="str">
        <f>IFERROR(SUMIFS('caseload data'!J:J,'caseload data'!$C:$C,'divisional &amp; regional caseload%'!$B$64,'caseload data'!$D:$D,"TPO")/SUMIF('caseload data'!$C:$C,'divisional &amp; regional caseload%'!$B$64,'caseload data'!J:J),"")</f>
        <v/>
      </c>
      <c r="I68" s="187" t="str">
        <f>IFERROR(SUMIFS('caseload data'!K:K,'caseload data'!$C:$C,'divisional &amp; regional caseload%'!$B$64,'caseload data'!$D:$D,"TPO")/SUMIF('caseload data'!$C:$C,'divisional &amp; regional caseload%'!$B$64,'caseload data'!K:K),"")</f>
        <v/>
      </c>
      <c r="J68" s="187" t="str">
        <f>IFERROR(SUMIFS('caseload data'!L:L,'caseload data'!$C:$C,'divisional &amp; regional caseload%'!$B$64,'caseload data'!$D:$D,"TPO")/SUMIF('caseload data'!$C:$C,'divisional &amp; regional caseload%'!$B$64,'caseload data'!L:L),"")</f>
        <v/>
      </c>
      <c r="K68" s="187" t="str">
        <f>IFERROR(SUMIFS('caseload data'!M:M,'caseload data'!$C:$C,'divisional &amp; regional caseload%'!$B$64,'caseload data'!$D:$D,"TPO")/SUMIF('caseload data'!$C:$C,'divisional &amp; regional caseload%'!$B$64,'caseload data'!M:M),"")</f>
        <v/>
      </c>
      <c r="L68" s="187" t="str">
        <f>IFERROR(SUMIFS('caseload data'!N:N,'caseload data'!$C:$C,'divisional &amp; regional caseload%'!$B$64,'caseload data'!$D:$D,"TPO")/SUMIF('caseload data'!$C:$C,'divisional &amp; regional caseload%'!$B$64,'caseload data'!N:N),"")</f>
        <v/>
      </c>
      <c r="M68" s="187" t="str">
        <f>IFERROR(SUMIFS('caseload data'!O:O,'caseload data'!$C:$C,'divisional &amp; regional caseload%'!$B$64,'caseload data'!$D:$D,"TPO")/SUMIF('caseload data'!$C:$C,'divisional &amp; regional caseload%'!$B$64,'caseload data'!O:O),"")</f>
        <v/>
      </c>
      <c r="N68" s="187" t="str">
        <f>IFERROR(SUMIFS('caseload data'!P:P,'caseload data'!$C:$C,'divisional &amp; regional caseload%'!$B$64,'caseload data'!$D:$D,"TPO")/SUMIF('caseload data'!$C:$C,'divisional &amp; regional caseload%'!$B$64,'caseload data'!P:P),"")</f>
        <v/>
      </c>
      <c r="O68" s="187" t="str">
        <f>IFERROR(SUMIFS('caseload data'!Q:Q,'caseload data'!$C:$C,'divisional &amp; regional caseload%'!$B$64,'caseload data'!$D:$D,"TPO")/SUMIF('caseload data'!$C:$C,'divisional &amp; regional caseload%'!$B$64,'caseload data'!Q:Q),"")</f>
        <v/>
      </c>
      <c r="P68" s="187" t="str">
        <f>IFERROR(SUMIFS('caseload data'!R:R,'caseload data'!$C:$C,'divisional &amp; regional caseload%'!$B$64,'caseload data'!$D:$D,"TPO")/SUMIF('caseload data'!$C:$C,'divisional &amp; regional caseload%'!$B$64,'caseload data'!R:R),"")</f>
        <v/>
      </c>
      <c r="Q68" s="187" t="str">
        <f>IFERROR(SUMIFS('caseload data'!S:S,'caseload data'!$C:$C,'divisional &amp; regional caseload%'!$B$64,'caseload data'!$D:$D,"TPO")/SUMIF('caseload data'!$C:$C,'divisional &amp; regional caseload%'!$B$64,'caseload data'!S:S),"")</f>
        <v/>
      </c>
      <c r="R68" s="187" t="str">
        <f>IFERROR(SUMIFS('caseload data'!T:T,'caseload data'!$C:$C,'divisional &amp; regional caseload%'!$B$64,'caseload data'!$D:$D,"TPO")/SUMIF('caseload data'!$C:$C,'divisional &amp; regional caseload%'!$B$64,'caseload data'!T:T),"")</f>
        <v/>
      </c>
      <c r="S68" s="76"/>
      <c r="T68" s="110" t="s">
        <v>1039</v>
      </c>
      <c r="U68" s="187" t="str">
        <f>IFERROR(SUMIFS('caseload data'!E:E,'caseload data'!$C:$C,'divisional &amp; regional caseload%'!$T$57,'caseload data'!$D:$D,"TPO")/SUMIF('caseload data'!$C:$C,'divisional &amp; regional caseload%'!$T$57,'caseload data'!E:E),"")</f>
        <v/>
      </c>
      <c r="V68" s="187" t="str">
        <f>IFERROR(SUMIFS('caseload data'!F:F,'caseload data'!$C:$C,'divisional &amp; regional caseload%'!$T$57,'caseload data'!$D:$D,"TPO")/SUMIF('caseload data'!$C:$C,'divisional &amp; regional caseload%'!$T$57,'caseload data'!F:F),"")</f>
        <v/>
      </c>
      <c r="W68" s="187" t="str">
        <f>IFERROR(SUMIFS('caseload data'!G:G,'caseload data'!$C:$C,'divisional &amp; regional caseload%'!$T$57,'caseload data'!$D:$D,"TPO")/SUMIF('caseload data'!$C:$C,'divisional &amp; regional caseload%'!$T$57,'caseload data'!G:G),"")</f>
        <v/>
      </c>
      <c r="X68" s="187" t="str">
        <f>IFERROR(SUMIFS('caseload data'!H:H,'caseload data'!$C:$C,'divisional &amp; regional caseload%'!$T$57,'caseload data'!$D:$D,"TPO")/SUMIF('caseload data'!$C:$C,'divisional &amp; regional caseload%'!$T$57,'caseload data'!H:H),"")</f>
        <v/>
      </c>
      <c r="Y68" s="187" t="str">
        <f>IFERROR(SUMIFS('caseload data'!I:I,'caseload data'!$C:$C,'divisional &amp; regional caseload%'!$T$57,'caseload data'!$D:$D,"TPO")/SUMIF('caseload data'!$C:$C,'divisional &amp; regional caseload%'!$T$57,'caseload data'!I:I),"")</f>
        <v/>
      </c>
      <c r="Z68" s="187" t="str">
        <f>IFERROR(SUMIFS('caseload data'!J:J,'caseload data'!$C:$C,'divisional &amp; regional caseload%'!$T$57,'caseload data'!$D:$D,"TPO")/SUMIF('caseload data'!$C:$C,'divisional &amp; regional caseload%'!$T$57,'caseload data'!J:J),"")</f>
        <v/>
      </c>
      <c r="AA68" s="187" t="str">
        <f>IFERROR(SUMIFS('caseload data'!K:K,'caseload data'!$C:$C,'divisional &amp; regional caseload%'!$T$57,'caseload data'!$D:$D,"TPO")/SUMIF('caseload data'!$C:$C,'divisional &amp; regional caseload%'!$T$57,'caseload data'!K:K),"")</f>
        <v/>
      </c>
      <c r="AB68" s="187" t="str">
        <f>IFERROR(SUMIFS('caseload data'!L:L,'caseload data'!$C:$C,'divisional &amp; regional caseload%'!$T$57,'caseload data'!$D:$D,"TPO")/SUMIF('caseload data'!$C:$C,'divisional &amp; regional caseload%'!$T$57,'caseload data'!L:L),"")</f>
        <v/>
      </c>
      <c r="AC68" s="187" t="str">
        <f>IFERROR(SUMIFS('caseload data'!M:M,'caseload data'!$C:$C,'divisional &amp; regional caseload%'!$T$57,'caseload data'!$D:$D,"TPO")/SUMIF('caseload data'!$C:$C,'divisional &amp; regional caseload%'!$T$57,'caseload data'!M:M),"")</f>
        <v/>
      </c>
      <c r="AD68" s="187" t="str">
        <f>IFERROR(SUMIFS('caseload data'!N:N,'caseload data'!$C:$C,'divisional &amp; regional caseload%'!$T$57,'caseload data'!$D:$D,"TPO")/SUMIF('caseload data'!$C:$C,'divisional &amp; regional caseload%'!$T$57,'caseload data'!N:N),"")</f>
        <v/>
      </c>
      <c r="AE68" s="187" t="str">
        <f>IFERROR(SUMIFS('caseload data'!O:O,'caseload data'!$C:$C,'divisional &amp; regional caseload%'!$T$57,'caseload data'!$D:$D,"TPO")/SUMIF('caseload data'!$C:$C,'divisional &amp; regional caseload%'!$T$57,'caseload data'!O:O),"")</f>
        <v/>
      </c>
      <c r="AF68" s="187" t="str">
        <f>IFERROR(SUMIFS('caseload data'!P:P,'caseload data'!$C:$C,'divisional &amp; regional caseload%'!$T$57,'caseload data'!$D:$D,"TPO")/SUMIF('caseload data'!$C:$C,'divisional &amp; regional caseload%'!$T$57,'caseload data'!P:P),"")</f>
        <v/>
      </c>
      <c r="AG68" s="187" t="str">
        <f>IFERROR(SUMIFS('caseload data'!Q:Q,'caseload data'!$C:$C,'divisional &amp; regional caseload%'!$T$57,'caseload data'!$D:$D,"TPO")/SUMIF('caseload data'!$C:$C,'divisional &amp; regional caseload%'!$T$57,'caseload data'!Q:Q),"")</f>
        <v/>
      </c>
      <c r="AH68" s="187" t="str">
        <f>IFERROR(SUMIFS('caseload data'!R:R,'caseload data'!$C:$C,'divisional &amp; regional caseload%'!$T$57,'caseload data'!$D:$D,"TPO")/SUMIF('caseload data'!$C:$C,'divisional &amp; regional caseload%'!$T$57,'caseload data'!R:R),"")</f>
        <v/>
      </c>
      <c r="AI68" s="187" t="str">
        <f>IFERROR(SUMIFS('caseload data'!S:S,'caseload data'!$C:$C,'divisional &amp; regional caseload%'!$T$57,'caseload data'!$D:$D,"TPO")/SUMIF('caseload data'!$C:$C,'divisional &amp; regional caseload%'!$T$57,'caseload data'!S:S),"")</f>
        <v/>
      </c>
      <c r="AJ68" s="187" t="str">
        <f>IFERROR(SUMIFS('caseload data'!T:T,'caseload data'!$C:$C,'divisional &amp; regional caseload%'!$T$57,'caseload data'!$D:$D,"TPO")/SUMIF('caseload data'!$C:$C,'divisional &amp; regional caseload%'!$T$57,'caseload data'!T:T),"")</f>
        <v/>
      </c>
    </row>
    <row r="69" spans="2:36" x14ac:dyDescent="0.15">
      <c r="B69" s="111" t="s">
        <v>1040</v>
      </c>
      <c r="C69" s="187" t="str">
        <f>IFERROR(SUMIFS('caseload data'!E:E,'caseload data'!$C:$C,'divisional &amp; regional caseload%'!$B$64,'caseload data'!$D:$D,"SPO")/SUMIF('caseload data'!$C:$C,'divisional &amp; regional caseload%'!$B$64,'caseload data'!E:E),"")</f>
        <v/>
      </c>
      <c r="D69" s="187" t="str">
        <f>IFERROR(SUMIFS('caseload data'!F:F,'caseload data'!$C:$C,'divisional &amp; regional caseload%'!$B$64,'caseload data'!$D:$D,"SPO")/SUMIF('caseload data'!$C:$C,'divisional &amp; regional caseload%'!$B$64,'caseload data'!F:F),"")</f>
        <v/>
      </c>
      <c r="E69" s="187" t="str">
        <f>IFERROR(SUMIFS('caseload data'!G:G,'caseload data'!$C:$C,'divisional &amp; regional caseload%'!$B$64,'caseload data'!$D:$D,"SPO")/SUMIF('caseload data'!$C:$C,'divisional &amp; regional caseload%'!$B$64,'caseload data'!G:G),"")</f>
        <v/>
      </c>
      <c r="F69" s="187" t="str">
        <f>IFERROR(SUMIFS('caseload data'!H:H,'caseload data'!$C:$C,'divisional &amp; regional caseload%'!$B$64,'caseload data'!$D:$D,"SPO")/SUMIF('caseload data'!$C:$C,'divisional &amp; regional caseload%'!$B$64,'caseload data'!H:H),"")</f>
        <v/>
      </c>
      <c r="G69" s="187" t="str">
        <f>IFERROR(SUMIFS('caseload data'!I:I,'caseload data'!$C:$C,'divisional &amp; regional caseload%'!$B$64,'caseload data'!$D:$D,"SPO")/SUMIF('caseload data'!$C:$C,'divisional &amp; regional caseload%'!$B$64,'caseload data'!I:I),"")</f>
        <v/>
      </c>
      <c r="H69" s="187" t="str">
        <f>IFERROR(SUMIFS('caseload data'!J:J,'caseload data'!$C:$C,'divisional &amp; regional caseload%'!$B$64,'caseload data'!$D:$D,"SPO")/SUMIF('caseload data'!$C:$C,'divisional &amp; regional caseload%'!$B$64,'caseload data'!J:J),"")</f>
        <v/>
      </c>
      <c r="I69" s="187" t="str">
        <f>IFERROR(SUMIFS('caseload data'!K:K,'caseload data'!$C:$C,'divisional &amp; regional caseload%'!$B$64,'caseload data'!$D:$D,"SPO")/SUMIF('caseload data'!$C:$C,'divisional &amp; regional caseload%'!$B$64,'caseload data'!K:K),"")</f>
        <v/>
      </c>
      <c r="J69" s="187" t="str">
        <f>IFERROR(SUMIFS('caseload data'!L:L,'caseload data'!$C:$C,'divisional &amp; regional caseload%'!$B$64,'caseload data'!$D:$D,"SPO")/SUMIF('caseload data'!$C:$C,'divisional &amp; regional caseload%'!$B$64,'caseload data'!L:L),"")</f>
        <v/>
      </c>
      <c r="K69" s="187" t="str">
        <f>IFERROR(SUMIFS('caseload data'!M:M,'caseload data'!$C:$C,'divisional &amp; regional caseload%'!$B$64,'caseload data'!$D:$D,"SPO")/SUMIF('caseload data'!$C:$C,'divisional &amp; regional caseload%'!$B$64,'caseload data'!M:M),"")</f>
        <v/>
      </c>
      <c r="L69" s="187" t="str">
        <f>IFERROR(SUMIFS('caseload data'!N:N,'caseload data'!$C:$C,'divisional &amp; regional caseload%'!$B$64,'caseload data'!$D:$D,"SPO")/SUMIF('caseload data'!$C:$C,'divisional &amp; regional caseload%'!$B$64,'caseload data'!N:N),"")</f>
        <v/>
      </c>
      <c r="M69" s="187" t="str">
        <f>IFERROR(SUMIFS('caseload data'!O:O,'caseload data'!$C:$C,'divisional &amp; regional caseload%'!$B$64,'caseload data'!$D:$D,"SPO")/SUMIF('caseload data'!$C:$C,'divisional &amp; regional caseload%'!$B$64,'caseload data'!O:O),"")</f>
        <v/>
      </c>
      <c r="N69" s="187" t="str">
        <f>IFERROR(SUMIFS('caseload data'!P:P,'caseload data'!$C:$C,'divisional &amp; regional caseload%'!$B$64,'caseload data'!$D:$D,"SPO")/SUMIF('caseload data'!$C:$C,'divisional &amp; regional caseload%'!$B$64,'caseload data'!P:P),"")</f>
        <v/>
      </c>
      <c r="O69" s="187" t="str">
        <f>IFERROR(SUMIFS('caseload data'!Q:Q,'caseload data'!$C:$C,'divisional &amp; regional caseload%'!$B$64,'caseload data'!$D:$D,"SPO")/SUMIF('caseload data'!$C:$C,'divisional &amp; regional caseload%'!$B$64,'caseload data'!Q:Q),"")</f>
        <v/>
      </c>
      <c r="P69" s="187" t="str">
        <f>IFERROR(SUMIFS('caseload data'!R:R,'caseload data'!$C:$C,'divisional &amp; regional caseload%'!$B$64,'caseload data'!$D:$D,"SPO")/SUMIF('caseload data'!$C:$C,'divisional &amp; regional caseload%'!$B$64,'caseload data'!R:R),"")</f>
        <v/>
      </c>
      <c r="Q69" s="187" t="str">
        <f>IFERROR(SUMIFS('caseload data'!S:S,'caseload data'!$C:$C,'divisional &amp; regional caseload%'!$B$64,'caseload data'!$D:$D,"SPO")/SUMIF('caseload data'!$C:$C,'divisional &amp; regional caseload%'!$B$64,'caseload data'!S:S),"")</f>
        <v/>
      </c>
      <c r="R69" s="187" t="str">
        <f>IFERROR(SUMIFS('caseload data'!T:T,'caseload data'!$C:$C,'divisional &amp; regional caseload%'!$B$64,'caseload data'!$D:$D,"SPO")/SUMIF('caseload data'!$C:$C,'divisional &amp; regional caseload%'!$B$64,'caseload data'!T:T),"")</f>
        <v/>
      </c>
      <c r="S69" s="76"/>
      <c r="T69" s="111" t="s">
        <v>1040</v>
      </c>
      <c r="U69" s="187" t="str">
        <f>IFERROR(SUMIFS('caseload data'!E:E,'caseload data'!$C:$C,'divisional &amp; regional caseload%'!$T$57,'caseload data'!$D:$D,"SPO")/SUMIF('caseload data'!$C:$C,'divisional &amp; regional caseload%'!$T$57,'caseload data'!E:E),"")</f>
        <v/>
      </c>
      <c r="V69" s="187" t="str">
        <f>IFERROR(SUMIFS('caseload data'!F:F,'caseload data'!$C:$C,'divisional &amp; regional caseload%'!$T$57,'caseload data'!$D:$D,"SPO")/SUMIF('caseload data'!$C:$C,'divisional &amp; regional caseload%'!$T$57,'caseload data'!F:F),"")</f>
        <v/>
      </c>
      <c r="W69" s="187" t="str">
        <f>IFERROR(SUMIFS('caseload data'!G:G,'caseload data'!$C:$C,'divisional &amp; regional caseload%'!$T$57,'caseload data'!$D:$D,"SPO")/SUMIF('caseload data'!$C:$C,'divisional &amp; regional caseload%'!$T$57,'caseload data'!G:G),"")</f>
        <v/>
      </c>
      <c r="X69" s="187" t="str">
        <f>IFERROR(SUMIFS('caseload data'!H:H,'caseload data'!$C:$C,'divisional &amp; regional caseload%'!$T$57,'caseload data'!$D:$D,"SPO")/SUMIF('caseload data'!$C:$C,'divisional &amp; regional caseload%'!$T$57,'caseload data'!H:H),"")</f>
        <v/>
      </c>
      <c r="Y69" s="187" t="str">
        <f>IFERROR(SUMIFS('caseload data'!I:I,'caseload data'!$C:$C,'divisional &amp; regional caseload%'!$T$57,'caseload data'!$D:$D,"SPO")/SUMIF('caseload data'!$C:$C,'divisional &amp; regional caseload%'!$T$57,'caseload data'!I:I),"")</f>
        <v/>
      </c>
      <c r="Z69" s="187" t="str">
        <f>IFERROR(SUMIFS('caseload data'!J:J,'caseload data'!$C:$C,'divisional &amp; regional caseload%'!$T$57,'caseload data'!$D:$D,"SPO")/SUMIF('caseload data'!$C:$C,'divisional &amp; regional caseload%'!$T$57,'caseload data'!J:J),"")</f>
        <v/>
      </c>
      <c r="AA69" s="187" t="str">
        <f>IFERROR(SUMIFS('caseload data'!K:K,'caseload data'!$C:$C,'divisional &amp; regional caseload%'!$T$57,'caseload data'!$D:$D,"SPO")/SUMIF('caseload data'!$C:$C,'divisional &amp; regional caseload%'!$T$57,'caseload data'!K:K),"")</f>
        <v/>
      </c>
      <c r="AB69" s="187" t="str">
        <f>IFERROR(SUMIFS('caseload data'!L:L,'caseload data'!$C:$C,'divisional &amp; regional caseload%'!$T$57,'caseload data'!$D:$D,"SPO")/SUMIF('caseload data'!$C:$C,'divisional &amp; regional caseload%'!$T$57,'caseload data'!L:L),"")</f>
        <v/>
      </c>
      <c r="AC69" s="187" t="str">
        <f>IFERROR(SUMIFS('caseload data'!M:M,'caseload data'!$C:$C,'divisional &amp; regional caseload%'!$T$57,'caseload data'!$D:$D,"SPO")/SUMIF('caseload data'!$C:$C,'divisional &amp; regional caseload%'!$T$57,'caseload data'!M:M),"")</f>
        <v/>
      </c>
      <c r="AD69" s="187" t="str">
        <f>IFERROR(SUMIFS('caseload data'!N:N,'caseload data'!$C:$C,'divisional &amp; regional caseload%'!$T$57,'caseload data'!$D:$D,"SPO")/SUMIF('caseload data'!$C:$C,'divisional &amp; regional caseload%'!$T$57,'caseload data'!N:N),"")</f>
        <v/>
      </c>
      <c r="AE69" s="187" t="str">
        <f>IFERROR(SUMIFS('caseload data'!O:O,'caseload data'!$C:$C,'divisional &amp; regional caseload%'!$T$57,'caseload data'!$D:$D,"SPO")/SUMIF('caseload data'!$C:$C,'divisional &amp; regional caseload%'!$T$57,'caseload data'!O:O),"")</f>
        <v/>
      </c>
      <c r="AF69" s="187" t="str">
        <f>IFERROR(SUMIFS('caseload data'!P:P,'caseload data'!$C:$C,'divisional &amp; regional caseload%'!$T$57,'caseload data'!$D:$D,"SPO")/SUMIF('caseload data'!$C:$C,'divisional &amp; regional caseload%'!$T$57,'caseload data'!P:P),"")</f>
        <v/>
      </c>
      <c r="AG69" s="187" t="str">
        <f>IFERROR(SUMIFS('caseload data'!Q:Q,'caseload data'!$C:$C,'divisional &amp; regional caseload%'!$T$57,'caseload data'!$D:$D,"SPO")/SUMIF('caseload data'!$C:$C,'divisional &amp; regional caseload%'!$T$57,'caseload data'!Q:Q),"")</f>
        <v/>
      </c>
      <c r="AH69" s="187" t="str">
        <f>IFERROR(SUMIFS('caseload data'!R:R,'caseload data'!$C:$C,'divisional &amp; regional caseload%'!$T$57,'caseload data'!$D:$D,"SPO")/SUMIF('caseload data'!$C:$C,'divisional &amp; regional caseload%'!$T$57,'caseload data'!R:R),"")</f>
        <v/>
      </c>
      <c r="AI69" s="187" t="str">
        <f>IFERROR(SUMIFS('caseload data'!S:S,'caseload data'!$C:$C,'divisional &amp; regional caseload%'!$T$57,'caseload data'!$D:$D,"SPO")/SUMIF('caseload data'!$C:$C,'divisional &amp; regional caseload%'!$T$57,'caseload data'!S:S),"")</f>
        <v/>
      </c>
      <c r="AJ69" s="187" t="str">
        <f>IFERROR(SUMIFS('caseload data'!T:T,'caseload data'!$C:$C,'divisional &amp; regional caseload%'!$T$57,'caseload data'!$D:$D,"SPO")/SUMIF('caseload data'!$C:$C,'divisional &amp; regional caseload%'!$T$57,'caseload data'!T:T),"")</f>
        <v/>
      </c>
    </row>
    <row r="71" spans="2:36" x14ac:dyDescent="0.15">
      <c r="B71" s="162">
        <f>HLOOKUP($B$5,Region_Table,20,0)</f>
        <v>0</v>
      </c>
      <c r="C71" s="333" t="s">
        <v>1257</v>
      </c>
      <c r="D71" s="334"/>
      <c r="E71" s="334"/>
      <c r="F71" s="334"/>
      <c r="G71" s="334"/>
      <c r="H71" s="334"/>
      <c r="I71" s="334"/>
      <c r="J71" s="334"/>
      <c r="K71" s="334"/>
      <c r="L71" s="334"/>
      <c r="M71" s="343"/>
      <c r="N71" s="343"/>
      <c r="O71" s="344"/>
      <c r="P71" s="337">
        <f>SUMIF('caseload data'!$C:$C,'divisional &amp; regional caseload%'!B71,'caseload data'!V:V)</f>
        <v>0</v>
      </c>
      <c r="Q71" s="345"/>
      <c r="R71" s="346"/>
    </row>
    <row r="72" spans="2:36" x14ac:dyDescent="0.15">
      <c r="B72" s="108" t="s">
        <v>1199</v>
      </c>
      <c r="C72" s="42" t="s">
        <v>1019</v>
      </c>
      <c r="D72" s="42" t="s">
        <v>1020</v>
      </c>
      <c r="E72" s="42" t="s">
        <v>1021</v>
      </c>
      <c r="F72" s="42" t="s">
        <v>1022</v>
      </c>
      <c r="G72" s="42" t="s">
        <v>1023</v>
      </c>
      <c r="H72" s="42" t="s">
        <v>1024</v>
      </c>
      <c r="I72" s="42" t="s">
        <v>1025</v>
      </c>
      <c r="J72" s="42" t="s">
        <v>1026</v>
      </c>
      <c r="K72" s="42" t="s">
        <v>1027</v>
      </c>
      <c r="L72" s="42" t="s">
        <v>1028</v>
      </c>
      <c r="M72" s="42" t="s">
        <v>1029</v>
      </c>
      <c r="N72" s="42" t="s">
        <v>1030</v>
      </c>
      <c r="O72" s="42" t="s">
        <v>1031</v>
      </c>
      <c r="P72" s="42" t="s">
        <v>1032</v>
      </c>
      <c r="Q72" s="42" t="s">
        <v>1033</v>
      </c>
      <c r="R72" s="42" t="s">
        <v>1034</v>
      </c>
    </row>
    <row r="73" spans="2:36" x14ac:dyDescent="0.15">
      <c r="B73" s="109" t="s">
        <v>1037</v>
      </c>
      <c r="C73" s="187" t="str">
        <f>IFERROR(SUMIFS('caseload data'!E:E,'caseload data'!$C:$C,'divisional &amp; regional caseload%'!$B$71,'caseload data'!$D:$D,"PO")/SUMIF('caseload data'!$C:$C,'divisional &amp; regional caseload%'!$B$71,'caseload data'!E:E),"")</f>
        <v/>
      </c>
      <c r="D73" s="187" t="str">
        <f>IFERROR(SUMIFS('caseload data'!F:F,'caseload data'!$C:$C,'divisional &amp; regional caseload%'!$B$71,'caseload data'!$D:$D,"PO")/SUMIF('caseload data'!$C:$C,'divisional &amp; regional caseload%'!$B$71,'caseload data'!F:F),"")</f>
        <v/>
      </c>
      <c r="E73" s="187" t="str">
        <f>IFERROR(SUMIFS('caseload data'!G:G,'caseload data'!$C:$C,'divisional &amp; regional caseload%'!$B$71,'caseload data'!$D:$D,"PO")/SUMIF('caseload data'!$C:$C,'divisional &amp; regional caseload%'!$B$71,'caseload data'!G:G),"")</f>
        <v/>
      </c>
      <c r="F73" s="187" t="str">
        <f>IFERROR(SUMIFS('caseload data'!H:H,'caseload data'!$C:$C,'divisional &amp; regional caseload%'!$B$71,'caseload data'!$D:$D,"PO")/SUMIF('caseload data'!$C:$C,'divisional &amp; regional caseload%'!$B$71,'caseload data'!H:H),"")</f>
        <v/>
      </c>
      <c r="G73" s="187" t="str">
        <f>IFERROR(SUMIFS('caseload data'!I:I,'caseload data'!$C:$C,'divisional &amp; regional caseload%'!$B$71,'caseload data'!$D:$D,"PO")/SUMIF('caseload data'!$C:$C,'divisional &amp; regional caseload%'!$B$71,'caseload data'!I:I),"")</f>
        <v/>
      </c>
      <c r="H73" s="187" t="str">
        <f>IFERROR(SUMIFS('caseload data'!J:J,'caseload data'!$C:$C,'divisional &amp; regional caseload%'!$B$71,'caseload data'!$D:$D,"PO")/SUMIF('caseload data'!$C:$C,'divisional &amp; regional caseload%'!$B$71,'caseload data'!J:J),"")</f>
        <v/>
      </c>
      <c r="I73" s="187" t="str">
        <f>IFERROR(SUMIFS('caseload data'!K:K,'caseload data'!$C:$C,'divisional &amp; regional caseload%'!$B$71,'caseload data'!$D:$D,"PO")/SUMIF('caseload data'!$C:$C,'divisional &amp; regional caseload%'!$B$71,'caseload data'!K:K),"")</f>
        <v/>
      </c>
      <c r="J73" s="187" t="str">
        <f>IFERROR(SUMIFS('caseload data'!L:L,'caseload data'!$C:$C,'divisional &amp; regional caseload%'!$B$71,'caseload data'!$D:$D,"PO")/SUMIF('caseload data'!$C:$C,'divisional &amp; regional caseload%'!$B$71,'caseload data'!L:L),"")</f>
        <v/>
      </c>
      <c r="K73" s="187" t="str">
        <f>IFERROR(SUMIFS('caseload data'!M:M,'caseload data'!$C:$C,'divisional &amp; regional caseload%'!$B$71,'caseload data'!$D:$D,"PO")/SUMIF('caseload data'!$C:$C,'divisional &amp; regional caseload%'!$B$71,'caseload data'!M:M),"")</f>
        <v/>
      </c>
      <c r="L73" s="187" t="str">
        <f>IFERROR(SUMIFS('caseload data'!N:N,'caseload data'!$C:$C,'divisional &amp; regional caseload%'!$B$71,'caseload data'!$D:$D,"PO")/SUMIF('caseload data'!$C:$C,'divisional &amp; regional caseload%'!$B$71,'caseload data'!N:N),"")</f>
        <v/>
      </c>
      <c r="M73" s="187" t="str">
        <f>IFERROR(SUMIFS('caseload data'!O:O,'caseload data'!$C:$C,'divisional &amp; regional caseload%'!$B$71,'caseload data'!$D:$D,"PO")/SUMIF('caseload data'!$C:$C,'divisional &amp; regional caseload%'!$B$71,'caseload data'!O:O),"")</f>
        <v/>
      </c>
      <c r="N73" s="187" t="str">
        <f>IFERROR(SUMIFS('caseload data'!P:P,'caseload data'!$C:$C,'divisional &amp; regional caseload%'!$B$71,'caseload data'!$D:$D,"PO")/SUMIF('caseload data'!$C:$C,'divisional &amp; regional caseload%'!$B$71,'caseload data'!P:P),"")</f>
        <v/>
      </c>
      <c r="O73" s="187" t="str">
        <f>IFERROR(SUMIFS('caseload data'!Q:Q,'caseload data'!$C:$C,'divisional &amp; regional caseload%'!$B$71,'caseload data'!$D:$D,"PO")/SUMIF('caseload data'!$C:$C,'divisional &amp; regional caseload%'!$B$71,'caseload data'!Q:Q),"")</f>
        <v/>
      </c>
      <c r="P73" s="187" t="str">
        <f>IFERROR(SUMIFS('caseload data'!R:R,'caseload data'!$C:$C,'divisional &amp; regional caseload%'!$B$71,'caseload data'!$D:$D,"PO")/SUMIF('caseload data'!$C:$C,'divisional &amp; regional caseload%'!$B$71,'caseload data'!R:R),"")</f>
        <v/>
      </c>
      <c r="Q73" s="187" t="str">
        <f>IFERROR(SUMIFS('caseload data'!S:S,'caseload data'!$C:$C,'divisional &amp; regional caseload%'!$B$71,'caseload data'!$D:$D,"PO")/SUMIF('caseload data'!$C:$C,'divisional &amp; regional caseload%'!$B$71,'caseload data'!S:S),"")</f>
        <v/>
      </c>
      <c r="R73" s="187" t="str">
        <f>IFERROR(SUMIFS('caseload data'!T:T,'caseload data'!$C:$C,'divisional &amp; regional caseload%'!$B$71,'caseload data'!$D:$D,"PO")/SUMIF('caseload data'!$C:$C,'divisional &amp; regional caseload%'!$B$71,'caseload data'!T:T),"")</f>
        <v/>
      </c>
    </row>
    <row r="74" spans="2:36" x14ac:dyDescent="0.15">
      <c r="B74" s="110" t="s">
        <v>1038</v>
      </c>
      <c r="C74" s="187" t="str">
        <f>IFERROR(SUMIFS('caseload data'!E:E,'caseload data'!$C:$C,'divisional &amp; regional caseload%'!$B$71,'caseload data'!$D:$D,"PSO")/SUMIF('caseload data'!$C:$C,'divisional &amp; regional caseload%'!$B$71,'caseload data'!E:E),"")</f>
        <v/>
      </c>
      <c r="D74" s="187" t="str">
        <f>IFERROR(SUMIFS('caseload data'!F:F,'caseload data'!$C:$C,'divisional &amp; regional caseload%'!$B$71,'caseload data'!$D:$D,"PSO")/SUMIF('caseload data'!$C:$C,'divisional &amp; regional caseload%'!$B$71,'caseload data'!F:F),"")</f>
        <v/>
      </c>
      <c r="E74" s="187" t="str">
        <f>IFERROR(SUMIFS('caseload data'!G:G,'caseload data'!$C:$C,'divisional &amp; regional caseload%'!$B$71,'caseload data'!$D:$D,"PSO")/SUMIF('caseload data'!$C:$C,'divisional &amp; regional caseload%'!$B$71,'caseload data'!G:G),"")</f>
        <v/>
      </c>
      <c r="F74" s="187" t="str">
        <f>IFERROR(SUMIFS('caseload data'!H:H,'caseload data'!$C:$C,'divisional &amp; regional caseload%'!$B$71,'caseload data'!$D:$D,"PSO")/SUMIF('caseload data'!$C:$C,'divisional &amp; regional caseload%'!$B$71,'caseload data'!H:H),"")</f>
        <v/>
      </c>
      <c r="G74" s="187" t="str">
        <f>IFERROR(SUMIFS('caseload data'!I:I,'caseload data'!$C:$C,'divisional &amp; regional caseload%'!$B$71,'caseload data'!$D:$D,"PSO")/SUMIF('caseload data'!$C:$C,'divisional &amp; regional caseload%'!$B$71,'caseload data'!I:I),"")</f>
        <v/>
      </c>
      <c r="H74" s="187" t="str">
        <f>IFERROR(SUMIFS('caseload data'!J:J,'caseload data'!$C:$C,'divisional &amp; regional caseload%'!$B$71,'caseload data'!$D:$D,"PSO")/SUMIF('caseload data'!$C:$C,'divisional &amp; regional caseload%'!$B$71,'caseload data'!J:J),"")</f>
        <v/>
      </c>
      <c r="I74" s="187" t="str">
        <f>IFERROR(SUMIFS('caseload data'!K:K,'caseload data'!$C:$C,'divisional &amp; regional caseload%'!$B$71,'caseload data'!$D:$D,"PSO")/SUMIF('caseload data'!$C:$C,'divisional &amp; regional caseload%'!$B$71,'caseload data'!K:K),"")</f>
        <v/>
      </c>
      <c r="J74" s="187" t="str">
        <f>IFERROR(SUMIFS('caseload data'!L:L,'caseload data'!$C:$C,'divisional &amp; regional caseload%'!$B$71,'caseload data'!$D:$D,"PSO")/SUMIF('caseload data'!$C:$C,'divisional &amp; regional caseload%'!$B$71,'caseload data'!L:L),"")</f>
        <v/>
      </c>
      <c r="K74" s="187" t="str">
        <f>IFERROR(SUMIFS('caseload data'!M:M,'caseload data'!$C:$C,'divisional &amp; regional caseload%'!$B$71,'caseload data'!$D:$D,"PSO")/SUMIF('caseload data'!$C:$C,'divisional &amp; regional caseload%'!$B$71,'caseload data'!M:M),"")</f>
        <v/>
      </c>
      <c r="L74" s="187" t="str">
        <f>IFERROR(SUMIFS('caseload data'!N:N,'caseload data'!$C:$C,'divisional &amp; regional caseload%'!$B$71,'caseload data'!$D:$D,"PSO")/SUMIF('caseload data'!$C:$C,'divisional &amp; regional caseload%'!$B$71,'caseload data'!N:N),"")</f>
        <v/>
      </c>
      <c r="M74" s="187" t="str">
        <f>IFERROR(SUMIFS('caseload data'!O:O,'caseload data'!$C:$C,'divisional &amp; regional caseload%'!$B$71,'caseload data'!$D:$D,"PSO")/SUMIF('caseload data'!$C:$C,'divisional &amp; regional caseload%'!$B$71,'caseload data'!O:O),"")</f>
        <v/>
      </c>
      <c r="N74" s="187" t="str">
        <f>IFERROR(SUMIFS('caseload data'!P:P,'caseload data'!$C:$C,'divisional &amp; regional caseload%'!$B$71,'caseload data'!$D:$D,"PSO")/SUMIF('caseload data'!$C:$C,'divisional &amp; regional caseload%'!$B$71,'caseload data'!P:P),"")</f>
        <v/>
      </c>
      <c r="O74" s="187" t="str">
        <f>IFERROR(SUMIFS('caseload data'!Q:Q,'caseload data'!$C:$C,'divisional &amp; regional caseload%'!$B$71,'caseload data'!$D:$D,"PSO")/SUMIF('caseload data'!$C:$C,'divisional &amp; regional caseload%'!$B$71,'caseload data'!Q:Q),"")</f>
        <v/>
      </c>
      <c r="P74" s="187" t="str">
        <f>IFERROR(SUMIFS('caseload data'!R:R,'caseload data'!$C:$C,'divisional &amp; regional caseload%'!$B$71,'caseload data'!$D:$D,"PSO")/SUMIF('caseload data'!$C:$C,'divisional &amp; regional caseload%'!$B$71,'caseload data'!R:R),"")</f>
        <v/>
      </c>
      <c r="Q74" s="187" t="str">
        <f>IFERROR(SUMIFS('caseload data'!S:S,'caseload data'!$C:$C,'divisional &amp; regional caseload%'!$B$71,'caseload data'!$D:$D,"PSO")/SUMIF('caseload data'!$C:$C,'divisional &amp; regional caseload%'!$B$71,'caseload data'!S:S),"")</f>
        <v/>
      </c>
      <c r="R74" s="187" t="str">
        <f>IFERROR(SUMIFS('caseload data'!T:T,'caseload data'!$C:$C,'divisional &amp; regional caseload%'!$B$71,'caseload data'!$D:$D,"PSO")/SUMIF('caseload data'!$C:$C,'divisional &amp; regional caseload%'!$B$71,'caseload data'!T:T),"")</f>
        <v/>
      </c>
    </row>
    <row r="75" spans="2:36" x14ac:dyDescent="0.15">
      <c r="B75" s="110" t="s">
        <v>1039</v>
      </c>
      <c r="C75" s="187" t="str">
        <f>IFERROR(SUMIFS('caseload data'!E:E,'caseload data'!$C:$C,'divisional &amp; regional caseload%'!$B$71,'caseload data'!$D:$D,"TPO")/SUMIF('caseload data'!$C:$C,'divisional &amp; regional caseload%'!$B$71,'caseload data'!E:E),"")</f>
        <v/>
      </c>
      <c r="D75" s="187" t="str">
        <f>IFERROR(SUMIFS('caseload data'!F:F,'caseload data'!$C:$C,'divisional &amp; regional caseload%'!$B$71,'caseload data'!$D:$D,"TPO")/SUMIF('caseload data'!$C:$C,'divisional &amp; regional caseload%'!$B$71,'caseload data'!F:F),"")</f>
        <v/>
      </c>
      <c r="E75" s="187" t="str">
        <f>IFERROR(SUMIFS('caseload data'!G:G,'caseload data'!$C:$C,'divisional &amp; regional caseload%'!$B$71,'caseload data'!$D:$D,"TPO")/SUMIF('caseload data'!$C:$C,'divisional &amp; regional caseload%'!$B$71,'caseload data'!G:G),"")</f>
        <v/>
      </c>
      <c r="F75" s="187" t="str">
        <f>IFERROR(SUMIFS('caseload data'!H:H,'caseload data'!$C:$C,'divisional &amp; regional caseload%'!$B$71,'caseload data'!$D:$D,"TPO")/SUMIF('caseload data'!$C:$C,'divisional &amp; regional caseload%'!$B$71,'caseload data'!H:H),"")</f>
        <v/>
      </c>
      <c r="G75" s="187" t="str">
        <f>IFERROR(SUMIFS('caseload data'!I:I,'caseload data'!$C:$C,'divisional &amp; regional caseload%'!$B$71,'caseload data'!$D:$D,"TPO")/SUMIF('caseload data'!$C:$C,'divisional &amp; regional caseload%'!$B$71,'caseload data'!I:I),"")</f>
        <v/>
      </c>
      <c r="H75" s="187" t="str">
        <f>IFERROR(SUMIFS('caseload data'!J:J,'caseload data'!$C:$C,'divisional &amp; regional caseload%'!$B$71,'caseload data'!$D:$D,"TPO")/SUMIF('caseload data'!$C:$C,'divisional &amp; regional caseload%'!$B$71,'caseload data'!J:J),"")</f>
        <v/>
      </c>
      <c r="I75" s="187" t="str">
        <f>IFERROR(SUMIFS('caseload data'!K:K,'caseload data'!$C:$C,'divisional &amp; regional caseload%'!$B$71,'caseload data'!$D:$D,"TPO")/SUMIF('caseload data'!$C:$C,'divisional &amp; regional caseload%'!$B$71,'caseload data'!K:K),"")</f>
        <v/>
      </c>
      <c r="J75" s="187" t="str">
        <f>IFERROR(SUMIFS('caseload data'!L:L,'caseload data'!$C:$C,'divisional &amp; regional caseload%'!$B$71,'caseload data'!$D:$D,"TPO")/SUMIF('caseload data'!$C:$C,'divisional &amp; regional caseload%'!$B$71,'caseload data'!L:L),"")</f>
        <v/>
      </c>
      <c r="K75" s="187" t="str">
        <f>IFERROR(SUMIFS('caseload data'!M:M,'caseload data'!$C:$C,'divisional &amp; regional caseload%'!$B$71,'caseload data'!$D:$D,"TPO")/SUMIF('caseload data'!$C:$C,'divisional &amp; regional caseload%'!$B$71,'caseload data'!M:M),"")</f>
        <v/>
      </c>
      <c r="L75" s="187" t="str">
        <f>IFERROR(SUMIFS('caseload data'!N:N,'caseload data'!$C:$C,'divisional &amp; regional caseload%'!$B$71,'caseload data'!$D:$D,"TPO")/SUMIF('caseload data'!$C:$C,'divisional &amp; regional caseload%'!$B$71,'caseload data'!N:N),"")</f>
        <v/>
      </c>
      <c r="M75" s="187" t="str">
        <f>IFERROR(SUMIFS('caseload data'!O:O,'caseload data'!$C:$C,'divisional &amp; regional caseload%'!$B$71,'caseload data'!$D:$D,"TPO")/SUMIF('caseload data'!$C:$C,'divisional &amp; regional caseload%'!$B$71,'caseload data'!O:O),"")</f>
        <v/>
      </c>
      <c r="N75" s="187" t="str">
        <f>IFERROR(SUMIFS('caseload data'!P:P,'caseload data'!$C:$C,'divisional &amp; regional caseload%'!$B$71,'caseload data'!$D:$D,"TPO")/SUMIF('caseload data'!$C:$C,'divisional &amp; regional caseload%'!$B$71,'caseload data'!P:P),"")</f>
        <v/>
      </c>
      <c r="O75" s="187" t="str">
        <f>IFERROR(SUMIFS('caseload data'!Q:Q,'caseload data'!$C:$C,'divisional &amp; regional caseload%'!$B$71,'caseload data'!$D:$D,"TPO")/SUMIF('caseload data'!$C:$C,'divisional &amp; regional caseload%'!$B$71,'caseload data'!Q:Q),"")</f>
        <v/>
      </c>
      <c r="P75" s="187" t="str">
        <f>IFERROR(SUMIFS('caseload data'!R:R,'caseload data'!$C:$C,'divisional &amp; regional caseload%'!$B$71,'caseload data'!$D:$D,"TPO")/SUMIF('caseload data'!$C:$C,'divisional &amp; regional caseload%'!$B$71,'caseload data'!R:R),"")</f>
        <v/>
      </c>
      <c r="Q75" s="187" t="str">
        <f>IFERROR(SUMIFS('caseload data'!S:S,'caseload data'!$C:$C,'divisional &amp; regional caseload%'!$B$71,'caseload data'!$D:$D,"TPO")/SUMIF('caseload data'!$C:$C,'divisional &amp; regional caseload%'!$B$71,'caseload data'!S:S),"")</f>
        <v/>
      </c>
      <c r="R75" s="187" t="str">
        <f>IFERROR(SUMIFS('caseload data'!T:T,'caseload data'!$C:$C,'divisional &amp; regional caseload%'!$B$71,'caseload data'!$D:$D,"TPO")/SUMIF('caseload data'!$C:$C,'divisional &amp; regional caseload%'!$B$71,'caseload data'!T:T),"")</f>
        <v/>
      </c>
    </row>
    <row r="76" spans="2:36" x14ac:dyDescent="0.15">
      <c r="B76" s="111" t="s">
        <v>1040</v>
      </c>
      <c r="C76" s="187" t="str">
        <f>IFERROR(SUMIFS('caseload data'!E:E,'caseload data'!$C:$C,'divisional &amp; regional caseload%'!$B$71,'caseload data'!$D:$D,"SPO")/SUMIF('caseload data'!$C:$C,'divisional &amp; regional caseload%'!$B$71,'caseload data'!E:E),"")</f>
        <v/>
      </c>
      <c r="D76" s="187" t="str">
        <f>IFERROR(SUMIFS('caseload data'!F:F,'caseload data'!$C:$C,'divisional &amp; regional caseload%'!$B$71,'caseload data'!$D:$D,"SPO")/SUMIF('caseload data'!$C:$C,'divisional &amp; regional caseload%'!$B$71,'caseload data'!F:F),"")</f>
        <v/>
      </c>
      <c r="E76" s="187" t="str">
        <f>IFERROR(SUMIFS('caseload data'!G:G,'caseload data'!$C:$C,'divisional &amp; regional caseload%'!$B$71,'caseload data'!$D:$D,"SPO")/SUMIF('caseload data'!$C:$C,'divisional &amp; regional caseload%'!$B$71,'caseload data'!G:G),"")</f>
        <v/>
      </c>
      <c r="F76" s="187" t="str">
        <f>IFERROR(SUMIFS('caseload data'!H:H,'caseload data'!$C:$C,'divisional &amp; regional caseload%'!$B$71,'caseload data'!$D:$D,"SPO")/SUMIF('caseload data'!$C:$C,'divisional &amp; regional caseload%'!$B$71,'caseload data'!H:H),"")</f>
        <v/>
      </c>
      <c r="G76" s="187" t="str">
        <f>IFERROR(SUMIFS('caseload data'!I:I,'caseload data'!$C:$C,'divisional &amp; regional caseload%'!$B$71,'caseload data'!$D:$D,"SPO")/SUMIF('caseload data'!$C:$C,'divisional &amp; regional caseload%'!$B$71,'caseload data'!I:I),"")</f>
        <v/>
      </c>
      <c r="H76" s="187" t="str">
        <f>IFERROR(SUMIFS('caseload data'!J:J,'caseload data'!$C:$C,'divisional &amp; regional caseload%'!$B$71,'caseload data'!$D:$D,"SPO")/SUMIF('caseload data'!$C:$C,'divisional &amp; regional caseload%'!$B$71,'caseload data'!J:J),"")</f>
        <v/>
      </c>
      <c r="I76" s="187" t="str">
        <f>IFERROR(SUMIFS('caseload data'!K:K,'caseload data'!$C:$C,'divisional &amp; regional caseload%'!$B$71,'caseload data'!$D:$D,"SPO")/SUMIF('caseload data'!$C:$C,'divisional &amp; regional caseload%'!$B$71,'caseload data'!K:K),"")</f>
        <v/>
      </c>
      <c r="J76" s="187" t="str">
        <f>IFERROR(SUMIFS('caseload data'!L:L,'caseload data'!$C:$C,'divisional &amp; regional caseload%'!$B$71,'caseload data'!$D:$D,"SPO")/SUMIF('caseload data'!$C:$C,'divisional &amp; regional caseload%'!$B$71,'caseload data'!L:L),"")</f>
        <v/>
      </c>
      <c r="K76" s="187" t="str">
        <f>IFERROR(SUMIFS('caseload data'!M:M,'caseload data'!$C:$C,'divisional &amp; regional caseload%'!$B$71,'caseload data'!$D:$D,"SPO")/SUMIF('caseload data'!$C:$C,'divisional &amp; regional caseload%'!$B$71,'caseload data'!M:M),"")</f>
        <v/>
      </c>
      <c r="L76" s="187" t="str">
        <f>IFERROR(SUMIFS('caseload data'!N:N,'caseload data'!$C:$C,'divisional &amp; regional caseload%'!$B$71,'caseload data'!$D:$D,"SPO")/SUMIF('caseload data'!$C:$C,'divisional &amp; regional caseload%'!$B$71,'caseload data'!N:N),"")</f>
        <v/>
      </c>
      <c r="M76" s="187" t="str">
        <f>IFERROR(SUMIFS('caseload data'!O:O,'caseload data'!$C:$C,'divisional &amp; regional caseload%'!$B$71,'caseload data'!$D:$D,"SPO")/SUMIF('caseload data'!$C:$C,'divisional &amp; regional caseload%'!$B$71,'caseload data'!O:O),"")</f>
        <v/>
      </c>
      <c r="N76" s="187" t="str">
        <f>IFERROR(SUMIFS('caseload data'!P:P,'caseload data'!$C:$C,'divisional &amp; regional caseload%'!$B$71,'caseload data'!$D:$D,"SPO")/SUMIF('caseload data'!$C:$C,'divisional &amp; regional caseload%'!$B$71,'caseload data'!P:P),"")</f>
        <v/>
      </c>
      <c r="O76" s="187" t="str">
        <f>IFERROR(SUMIFS('caseload data'!Q:Q,'caseload data'!$C:$C,'divisional &amp; regional caseload%'!$B$71,'caseload data'!$D:$D,"SPO")/SUMIF('caseload data'!$C:$C,'divisional &amp; regional caseload%'!$B$71,'caseload data'!Q:Q),"")</f>
        <v/>
      </c>
      <c r="P76" s="187" t="str">
        <f>IFERROR(SUMIFS('caseload data'!R:R,'caseload data'!$C:$C,'divisional &amp; regional caseload%'!$B$71,'caseload data'!$D:$D,"SPO")/SUMIF('caseload data'!$C:$C,'divisional &amp; regional caseload%'!$B$71,'caseload data'!R:R),"")</f>
        <v/>
      </c>
      <c r="Q76" s="187" t="str">
        <f>IFERROR(SUMIFS('caseload data'!S:S,'caseload data'!$C:$C,'divisional &amp; regional caseload%'!$B$71,'caseload data'!$D:$D,"SPO")/SUMIF('caseload data'!$C:$C,'divisional &amp; regional caseload%'!$B$71,'caseload data'!S:S),"")</f>
        <v/>
      </c>
      <c r="R76" s="187" t="str">
        <f>IFERROR(SUMIFS('caseload data'!T:T,'caseload data'!$C:$C,'divisional &amp; regional caseload%'!$B$71,'caseload data'!$D:$D,"SPO")/SUMIF('caseload data'!$C:$C,'divisional &amp; regional caseload%'!$B$71,'caseload data'!T:T),"")</f>
        <v/>
      </c>
    </row>
  </sheetData>
  <mergeCells count="40">
    <mergeCell ref="C64:O64"/>
    <mergeCell ref="P64:R64"/>
    <mergeCell ref="U64:AG64"/>
    <mergeCell ref="AH64:AJ64"/>
    <mergeCell ref="C71:O71"/>
    <mergeCell ref="P71:R71"/>
    <mergeCell ref="C8:O8"/>
    <mergeCell ref="P8:R8"/>
    <mergeCell ref="U8:AG8"/>
    <mergeCell ref="AH8:AJ8"/>
    <mergeCell ref="A1:AX1"/>
    <mergeCell ref="A2:AX2"/>
    <mergeCell ref="C15:O15"/>
    <mergeCell ref="P15:R15"/>
    <mergeCell ref="U15:AG15"/>
    <mergeCell ref="AH15:AJ15"/>
    <mergeCell ref="C22:O22"/>
    <mergeCell ref="P22:R22"/>
    <mergeCell ref="U22:AG22"/>
    <mergeCell ref="AH22:AJ22"/>
    <mergeCell ref="C29:O29"/>
    <mergeCell ref="P29:R29"/>
    <mergeCell ref="U29:AG29"/>
    <mergeCell ref="AH29:AJ29"/>
    <mergeCell ref="C36:O36"/>
    <mergeCell ref="P36:R36"/>
    <mergeCell ref="U36:AG36"/>
    <mergeCell ref="AH36:AJ36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</mergeCells>
  <conditionalFormatting sqref="C11:C12">
    <cfRule type="cellIs" dxfId="2817" priority="683" operator="equal">
      <formula>0</formula>
    </cfRule>
    <cfRule type="cellIs" dxfId="2816" priority="684" operator="notEqual">
      <formula>0</formula>
    </cfRule>
  </conditionalFormatting>
  <conditionalFormatting sqref="C10">
    <cfRule type="cellIs" dxfId="2815" priority="682" operator="equal">
      <formula>1</formula>
    </cfRule>
  </conditionalFormatting>
  <conditionalFormatting sqref="D11:D12">
    <cfRule type="cellIs" dxfId="2814" priority="680" operator="equal">
      <formula>0</formula>
    </cfRule>
    <cfRule type="cellIs" dxfId="2813" priority="681" operator="notEqual">
      <formula>0</formula>
    </cfRule>
  </conditionalFormatting>
  <conditionalFormatting sqref="D10">
    <cfRule type="cellIs" dxfId="2812" priority="679" operator="equal">
      <formula>1</formula>
    </cfRule>
  </conditionalFormatting>
  <conditionalFormatting sqref="E11:E12">
    <cfRule type="cellIs" dxfId="2811" priority="677" operator="equal">
      <formula>0</formula>
    </cfRule>
    <cfRule type="cellIs" dxfId="2810" priority="678" operator="notEqual">
      <formula>0</formula>
    </cfRule>
  </conditionalFormatting>
  <conditionalFormatting sqref="E10">
    <cfRule type="cellIs" dxfId="2809" priority="676" operator="equal">
      <formula>1</formula>
    </cfRule>
  </conditionalFormatting>
  <conditionalFormatting sqref="F11:F12">
    <cfRule type="cellIs" dxfId="2808" priority="674" operator="equal">
      <formula>0</formula>
    </cfRule>
    <cfRule type="cellIs" dxfId="2807" priority="675" operator="notEqual">
      <formula>0</formula>
    </cfRule>
  </conditionalFormatting>
  <conditionalFormatting sqref="F10">
    <cfRule type="cellIs" dxfId="2806" priority="673" operator="equal">
      <formula>1</formula>
    </cfRule>
  </conditionalFormatting>
  <conditionalFormatting sqref="G11:G12">
    <cfRule type="cellIs" dxfId="2805" priority="671" operator="equal">
      <formula>0</formula>
    </cfRule>
    <cfRule type="cellIs" dxfId="2804" priority="672" operator="notEqual">
      <formula>0</formula>
    </cfRule>
  </conditionalFormatting>
  <conditionalFormatting sqref="H11:H12">
    <cfRule type="cellIs" dxfId="2803" priority="669" operator="equal">
      <formula>0</formula>
    </cfRule>
    <cfRule type="cellIs" dxfId="2802" priority="670" operator="notEqual">
      <formula>0</formula>
    </cfRule>
  </conditionalFormatting>
  <conditionalFormatting sqref="I11:I12">
    <cfRule type="cellIs" dxfId="2801" priority="667" operator="equal">
      <formula>0</formula>
    </cfRule>
    <cfRule type="cellIs" dxfId="2800" priority="668" operator="notEqual">
      <formula>0</formula>
    </cfRule>
  </conditionalFormatting>
  <conditionalFormatting sqref="J11:J12">
    <cfRule type="cellIs" dxfId="2799" priority="665" operator="equal">
      <formula>0</formula>
    </cfRule>
    <cfRule type="cellIs" dxfId="2798" priority="666" operator="notEqual">
      <formula>0</formula>
    </cfRule>
  </conditionalFormatting>
  <conditionalFormatting sqref="O10">
    <cfRule type="cellIs" dxfId="2797" priority="663" operator="equal">
      <formula>0</formula>
    </cfRule>
    <cfRule type="cellIs" dxfId="2796" priority="664" operator="notEqual">
      <formula>0</formula>
    </cfRule>
  </conditionalFormatting>
  <conditionalFormatting sqref="O13">
    <cfRule type="cellIs" dxfId="2795" priority="661" operator="equal">
      <formula>0</formula>
    </cfRule>
    <cfRule type="cellIs" dxfId="2794" priority="662" operator="notEqual">
      <formula>0</formula>
    </cfRule>
  </conditionalFormatting>
  <conditionalFormatting sqref="P10">
    <cfRule type="cellIs" dxfId="2793" priority="659" operator="equal">
      <formula>0</formula>
    </cfRule>
    <cfRule type="cellIs" dxfId="2792" priority="660" operator="notEqual">
      <formula>0</formula>
    </cfRule>
  </conditionalFormatting>
  <conditionalFormatting sqref="P13">
    <cfRule type="cellIs" dxfId="2791" priority="657" operator="equal">
      <formula>0</formula>
    </cfRule>
    <cfRule type="cellIs" dxfId="2790" priority="658" operator="notEqual">
      <formula>0</formula>
    </cfRule>
  </conditionalFormatting>
  <conditionalFormatting sqref="Q10">
    <cfRule type="cellIs" dxfId="2789" priority="655" operator="equal">
      <formula>0</formula>
    </cfRule>
    <cfRule type="cellIs" dxfId="2788" priority="656" operator="notEqual">
      <formula>0</formula>
    </cfRule>
  </conditionalFormatting>
  <conditionalFormatting sqref="Q13">
    <cfRule type="cellIs" dxfId="2787" priority="653" operator="equal">
      <formula>0</formula>
    </cfRule>
    <cfRule type="cellIs" dxfId="2786" priority="654" operator="notEqual">
      <formula>0</formula>
    </cfRule>
  </conditionalFormatting>
  <conditionalFormatting sqref="R10">
    <cfRule type="cellIs" dxfId="2785" priority="651" operator="equal">
      <formula>0</formula>
    </cfRule>
    <cfRule type="cellIs" dxfId="2784" priority="652" operator="notEqual">
      <formula>0</formula>
    </cfRule>
  </conditionalFormatting>
  <conditionalFormatting sqref="R13">
    <cfRule type="cellIs" dxfId="2783" priority="649" operator="equal">
      <formula>0</formula>
    </cfRule>
    <cfRule type="cellIs" dxfId="2782" priority="650" operator="notEqual">
      <formula>0</formula>
    </cfRule>
  </conditionalFormatting>
  <conditionalFormatting sqref="C18:C19">
    <cfRule type="cellIs" dxfId="2781" priority="647" operator="equal">
      <formula>0</formula>
    </cfRule>
    <cfRule type="cellIs" dxfId="2780" priority="648" operator="notEqual">
      <formula>0</formula>
    </cfRule>
  </conditionalFormatting>
  <conditionalFormatting sqref="C17">
    <cfRule type="cellIs" dxfId="2779" priority="646" operator="equal">
      <formula>1</formula>
    </cfRule>
  </conditionalFormatting>
  <conditionalFormatting sqref="D18:D19">
    <cfRule type="cellIs" dxfId="2778" priority="644" operator="equal">
      <formula>0</formula>
    </cfRule>
    <cfRule type="cellIs" dxfId="2777" priority="645" operator="notEqual">
      <formula>0</formula>
    </cfRule>
  </conditionalFormatting>
  <conditionalFormatting sqref="D17">
    <cfRule type="cellIs" dxfId="2776" priority="643" operator="equal">
      <formula>1</formula>
    </cfRule>
  </conditionalFormatting>
  <conditionalFormatting sqref="E18:E19">
    <cfRule type="cellIs" dxfId="2775" priority="641" operator="equal">
      <formula>0</formula>
    </cfRule>
    <cfRule type="cellIs" dxfId="2774" priority="642" operator="notEqual">
      <formula>0</formula>
    </cfRule>
  </conditionalFormatting>
  <conditionalFormatting sqref="E17">
    <cfRule type="cellIs" dxfId="2773" priority="640" operator="equal">
      <formula>1</formula>
    </cfRule>
  </conditionalFormatting>
  <conditionalFormatting sqref="F18:F19">
    <cfRule type="cellIs" dxfId="2772" priority="638" operator="equal">
      <formula>0</formula>
    </cfRule>
    <cfRule type="cellIs" dxfId="2771" priority="639" operator="notEqual">
      <formula>0</formula>
    </cfRule>
  </conditionalFormatting>
  <conditionalFormatting sqref="F17">
    <cfRule type="cellIs" dxfId="2770" priority="637" operator="equal">
      <formula>1</formula>
    </cfRule>
  </conditionalFormatting>
  <conditionalFormatting sqref="G18:G19">
    <cfRule type="cellIs" dxfId="2769" priority="635" operator="equal">
      <formula>0</formula>
    </cfRule>
    <cfRule type="cellIs" dxfId="2768" priority="636" operator="notEqual">
      <formula>0</formula>
    </cfRule>
  </conditionalFormatting>
  <conditionalFormatting sqref="H18:H19">
    <cfRule type="cellIs" dxfId="2767" priority="633" operator="equal">
      <formula>0</formula>
    </cfRule>
    <cfRule type="cellIs" dxfId="2766" priority="634" operator="notEqual">
      <formula>0</formula>
    </cfRule>
  </conditionalFormatting>
  <conditionalFormatting sqref="I18:I19">
    <cfRule type="cellIs" dxfId="2765" priority="631" operator="equal">
      <formula>0</formula>
    </cfRule>
    <cfRule type="cellIs" dxfId="2764" priority="632" operator="notEqual">
      <formula>0</formula>
    </cfRule>
  </conditionalFormatting>
  <conditionalFormatting sqref="J18:J19">
    <cfRule type="cellIs" dxfId="2763" priority="629" operator="equal">
      <formula>0</formula>
    </cfRule>
    <cfRule type="cellIs" dxfId="2762" priority="630" operator="notEqual">
      <formula>0</formula>
    </cfRule>
  </conditionalFormatting>
  <conditionalFormatting sqref="O17">
    <cfRule type="cellIs" dxfId="2761" priority="627" operator="equal">
      <formula>0</formula>
    </cfRule>
    <cfRule type="cellIs" dxfId="2760" priority="628" operator="notEqual">
      <formula>0</formula>
    </cfRule>
  </conditionalFormatting>
  <conditionalFormatting sqref="O20">
    <cfRule type="cellIs" dxfId="2759" priority="625" operator="equal">
      <formula>0</formula>
    </cfRule>
    <cfRule type="cellIs" dxfId="2758" priority="626" operator="notEqual">
      <formula>0</formula>
    </cfRule>
  </conditionalFormatting>
  <conditionalFormatting sqref="P17">
    <cfRule type="cellIs" dxfId="2757" priority="623" operator="equal">
      <formula>0</formula>
    </cfRule>
    <cfRule type="cellIs" dxfId="2756" priority="624" operator="notEqual">
      <formula>0</formula>
    </cfRule>
  </conditionalFormatting>
  <conditionalFormatting sqref="P20">
    <cfRule type="cellIs" dxfId="2755" priority="621" operator="equal">
      <formula>0</formula>
    </cfRule>
    <cfRule type="cellIs" dxfId="2754" priority="622" operator="notEqual">
      <formula>0</formula>
    </cfRule>
  </conditionalFormatting>
  <conditionalFormatting sqref="Q17">
    <cfRule type="cellIs" dxfId="2753" priority="619" operator="equal">
      <formula>0</formula>
    </cfRule>
    <cfRule type="cellIs" dxfId="2752" priority="620" operator="notEqual">
      <formula>0</formula>
    </cfRule>
  </conditionalFormatting>
  <conditionalFormatting sqref="Q20">
    <cfRule type="cellIs" dxfId="2751" priority="617" operator="equal">
      <formula>0</formula>
    </cfRule>
    <cfRule type="cellIs" dxfId="2750" priority="618" operator="notEqual">
      <formula>0</formula>
    </cfRule>
  </conditionalFormatting>
  <conditionalFormatting sqref="R17">
    <cfRule type="cellIs" dxfId="2749" priority="615" operator="equal">
      <formula>0</formula>
    </cfRule>
    <cfRule type="cellIs" dxfId="2748" priority="616" operator="notEqual">
      <formula>0</formula>
    </cfRule>
  </conditionalFormatting>
  <conditionalFormatting sqref="R20">
    <cfRule type="cellIs" dxfId="2747" priority="613" operator="equal">
      <formula>0</formula>
    </cfRule>
    <cfRule type="cellIs" dxfId="2746" priority="614" operator="notEqual">
      <formula>0</formula>
    </cfRule>
  </conditionalFormatting>
  <conditionalFormatting sqref="C25:C26">
    <cfRule type="cellIs" dxfId="2745" priority="611" operator="equal">
      <formula>0</formula>
    </cfRule>
    <cfRule type="cellIs" dxfId="2744" priority="612" operator="notEqual">
      <formula>0</formula>
    </cfRule>
  </conditionalFormatting>
  <conditionalFormatting sqref="C24">
    <cfRule type="cellIs" dxfId="2743" priority="610" operator="equal">
      <formula>1</formula>
    </cfRule>
  </conditionalFormatting>
  <conditionalFormatting sqref="D25:D26">
    <cfRule type="cellIs" dxfId="2742" priority="608" operator="equal">
      <formula>0</formula>
    </cfRule>
    <cfRule type="cellIs" dxfId="2741" priority="609" operator="notEqual">
      <formula>0</formula>
    </cfRule>
  </conditionalFormatting>
  <conditionalFormatting sqref="D24">
    <cfRule type="cellIs" dxfId="2740" priority="607" operator="equal">
      <formula>1</formula>
    </cfRule>
  </conditionalFormatting>
  <conditionalFormatting sqref="E25:E26">
    <cfRule type="cellIs" dxfId="2739" priority="605" operator="equal">
      <formula>0</formula>
    </cfRule>
    <cfRule type="cellIs" dxfId="2738" priority="606" operator="notEqual">
      <formula>0</formula>
    </cfRule>
  </conditionalFormatting>
  <conditionalFormatting sqref="E24">
    <cfRule type="cellIs" dxfId="2737" priority="604" operator="equal">
      <formula>1</formula>
    </cfRule>
  </conditionalFormatting>
  <conditionalFormatting sqref="F25:F26">
    <cfRule type="cellIs" dxfId="2736" priority="602" operator="equal">
      <formula>0</formula>
    </cfRule>
    <cfRule type="cellIs" dxfId="2735" priority="603" operator="notEqual">
      <formula>0</formula>
    </cfRule>
  </conditionalFormatting>
  <conditionalFormatting sqref="F24">
    <cfRule type="cellIs" dxfId="2734" priority="601" operator="equal">
      <formula>1</formula>
    </cfRule>
  </conditionalFormatting>
  <conditionalFormatting sqref="G25:G26">
    <cfRule type="cellIs" dxfId="2733" priority="599" operator="equal">
      <formula>0</formula>
    </cfRule>
    <cfRule type="cellIs" dxfId="2732" priority="600" operator="notEqual">
      <formula>0</formula>
    </cfRule>
  </conditionalFormatting>
  <conditionalFormatting sqref="H25:H26">
    <cfRule type="cellIs" dxfId="2731" priority="597" operator="equal">
      <formula>0</formula>
    </cfRule>
    <cfRule type="cellIs" dxfId="2730" priority="598" operator="notEqual">
      <formula>0</formula>
    </cfRule>
  </conditionalFormatting>
  <conditionalFormatting sqref="I25:I26">
    <cfRule type="cellIs" dxfId="2729" priority="595" operator="equal">
      <formula>0</formula>
    </cfRule>
    <cfRule type="cellIs" dxfId="2728" priority="596" operator="notEqual">
      <formula>0</formula>
    </cfRule>
  </conditionalFormatting>
  <conditionalFormatting sqref="J25:J26">
    <cfRule type="cellIs" dxfId="2727" priority="593" operator="equal">
      <formula>0</formula>
    </cfRule>
    <cfRule type="cellIs" dxfId="2726" priority="594" operator="notEqual">
      <formula>0</formula>
    </cfRule>
  </conditionalFormatting>
  <conditionalFormatting sqref="O24">
    <cfRule type="cellIs" dxfId="2725" priority="591" operator="equal">
      <formula>0</formula>
    </cfRule>
    <cfRule type="cellIs" dxfId="2724" priority="592" operator="notEqual">
      <formula>0</formula>
    </cfRule>
  </conditionalFormatting>
  <conditionalFormatting sqref="O27">
    <cfRule type="cellIs" dxfId="2723" priority="589" operator="equal">
      <formula>0</formula>
    </cfRule>
    <cfRule type="cellIs" dxfId="2722" priority="590" operator="notEqual">
      <formula>0</formula>
    </cfRule>
  </conditionalFormatting>
  <conditionalFormatting sqref="P24">
    <cfRule type="cellIs" dxfId="2721" priority="587" operator="equal">
      <formula>0</formula>
    </cfRule>
    <cfRule type="cellIs" dxfId="2720" priority="588" operator="notEqual">
      <formula>0</formula>
    </cfRule>
  </conditionalFormatting>
  <conditionalFormatting sqref="P27">
    <cfRule type="cellIs" dxfId="2719" priority="585" operator="equal">
      <formula>0</formula>
    </cfRule>
    <cfRule type="cellIs" dxfId="2718" priority="586" operator="notEqual">
      <formula>0</formula>
    </cfRule>
  </conditionalFormatting>
  <conditionalFormatting sqref="Q24">
    <cfRule type="cellIs" dxfId="2717" priority="583" operator="equal">
      <formula>0</formula>
    </cfRule>
    <cfRule type="cellIs" dxfId="2716" priority="584" operator="notEqual">
      <formula>0</formula>
    </cfRule>
  </conditionalFormatting>
  <conditionalFormatting sqref="Q27">
    <cfRule type="cellIs" dxfId="2715" priority="581" operator="equal">
      <formula>0</formula>
    </cfRule>
    <cfRule type="cellIs" dxfId="2714" priority="582" operator="notEqual">
      <formula>0</formula>
    </cfRule>
  </conditionalFormatting>
  <conditionalFormatting sqref="R24">
    <cfRule type="cellIs" dxfId="2713" priority="579" operator="equal">
      <formula>0</formula>
    </cfRule>
    <cfRule type="cellIs" dxfId="2712" priority="580" operator="notEqual">
      <formula>0</formula>
    </cfRule>
  </conditionalFormatting>
  <conditionalFormatting sqref="R27">
    <cfRule type="cellIs" dxfId="2711" priority="577" operator="equal">
      <formula>0</formula>
    </cfRule>
    <cfRule type="cellIs" dxfId="2710" priority="578" operator="notEqual">
      <formula>0</formula>
    </cfRule>
  </conditionalFormatting>
  <conditionalFormatting sqref="C32:C33">
    <cfRule type="cellIs" dxfId="2709" priority="575" operator="equal">
      <formula>0</formula>
    </cfRule>
    <cfRule type="cellIs" dxfId="2708" priority="576" operator="notEqual">
      <formula>0</formula>
    </cfRule>
  </conditionalFormatting>
  <conditionalFormatting sqref="C31">
    <cfRule type="cellIs" dxfId="2707" priority="574" operator="equal">
      <formula>1</formula>
    </cfRule>
  </conditionalFormatting>
  <conditionalFormatting sqref="D32:D33">
    <cfRule type="cellIs" dxfId="2706" priority="572" operator="equal">
      <formula>0</formula>
    </cfRule>
    <cfRule type="cellIs" dxfId="2705" priority="573" operator="notEqual">
      <formula>0</formula>
    </cfRule>
  </conditionalFormatting>
  <conditionalFormatting sqref="D31">
    <cfRule type="cellIs" dxfId="2704" priority="571" operator="equal">
      <formula>1</formula>
    </cfRule>
  </conditionalFormatting>
  <conditionalFormatting sqref="E32:E33">
    <cfRule type="cellIs" dxfId="2703" priority="569" operator="equal">
      <formula>0</formula>
    </cfRule>
    <cfRule type="cellIs" dxfId="2702" priority="570" operator="notEqual">
      <formula>0</formula>
    </cfRule>
  </conditionalFormatting>
  <conditionalFormatting sqref="E31">
    <cfRule type="cellIs" dxfId="2701" priority="568" operator="equal">
      <formula>1</formula>
    </cfRule>
  </conditionalFormatting>
  <conditionalFormatting sqref="F32:F33">
    <cfRule type="cellIs" dxfId="2700" priority="566" operator="equal">
      <formula>0</formula>
    </cfRule>
    <cfRule type="cellIs" dxfId="2699" priority="567" operator="notEqual">
      <formula>0</formula>
    </cfRule>
  </conditionalFormatting>
  <conditionalFormatting sqref="F31">
    <cfRule type="cellIs" dxfId="2698" priority="565" operator="equal">
      <formula>1</formula>
    </cfRule>
  </conditionalFormatting>
  <conditionalFormatting sqref="G32:G33">
    <cfRule type="cellIs" dxfId="2697" priority="563" operator="equal">
      <formula>0</formula>
    </cfRule>
    <cfRule type="cellIs" dxfId="2696" priority="564" operator="notEqual">
      <formula>0</formula>
    </cfRule>
  </conditionalFormatting>
  <conditionalFormatting sqref="H32:H33">
    <cfRule type="cellIs" dxfId="2695" priority="561" operator="equal">
      <formula>0</formula>
    </cfRule>
    <cfRule type="cellIs" dxfId="2694" priority="562" operator="notEqual">
      <formula>0</formula>
    </cfRule>
  </conditionalFormatting>
  <conditionalFormatting sqref="I32:I33">
    <cfRule type="cellIs" dxfId="2693" priority="559" operator="equal">
      <formula>0</formula>
    </cfRule>
    <cfRule type="cellIs" dxfId="2692" priority="560" operator="notEqual">
      <formula>0</formula>
    </cfRule>
  </conditionalFormatting>
  <conditionalFormatting sqref="J32:J33">
    <cfRule type="cellIs" dxfId="2691" priority="557" operator="equal">
      <formula>0</formula>
    </cfRule>
    <cfRule type="cellIs" dxfId="2690" priority="558" operator="notEqual">
      <formula>0</formula>
    </cfRule>
  </conditionalFormatting>
  <conditionalFormatting sqref="O31">
    <cfRule type="cellIs" dxfId="2689" priority="555" operator="equal">
      <formula>0</formula>
    </cfRule>
    <cfRule type="cellIs" dxfId="2688" priority="556" operator="notEqual">
      <formula>0</formula>
    </cfRule>
  </conditionalFormatting>
  <conditionalFormatting sqref="O34">
    <cfRule type="cellIs" dxfId="2687" priority="553" operator="equal">
      <formula>0</formula>
    </cfRule>
    <cfRule type="cellIs" dxfId="2686" priority="554" operator="notEqual">
      <formula>0</formula>
    </cfRule>
  </conditionalFormatting>
  <conditionalFormatting sqref="P31">
    <cfRule type="cellIs" dxfId="2685" priority="551" operator="equal">
      <formula>0</formula>
    </cfRule>
    <cfRule type="cellIs" dxfId="2684" priority="552" operator="notEqual">
      <formula>0</formula>
    </cfRule>
  </conditionalFormatting>
  <conditionalFormatting sqref="P34">
    <cfRule type="cellIs" dxfId="2683" priority="549" operator="equal">
      <formula>0</formula>
    </cfRule>
    <cfRule type="cellIs" dxfId="2682" priority="550" operator="notEqual">
      <formula>0</formula>
    </cfRule>
  </conditionalFormatting>
  <conditionalFormatting sqref="Q31">
    <cfRule type="cellIs" dxfId="2681" priority="547" operator="equal">
      <formula>0</formula>
    </cfRule>
    <cfRule type="cellIs" dxfId="2680" priority="548" operator="notEqual">
      <formula>0</formula>
    </cfRule>
  </conditionalFormatting>
  <conditionalFormatting sqref="Q34">
    <cfRule type="cellIs" dxfId="2679" priority="545" operator="equal">
      <formula>0</formula>
    </cfRule>
    <cfRule type="cellIs" dxfId="2678" priority="546" operator="notEqual">
      <formula>0</formula>
    </cfRule>
  </conditionalFormatting>
  <conditionalFormatting sqref="R31">
    <cfRule type="cellIs" dxfId="2677" priority="543" operator="equal">
      <formula>0</formula>
    </cfRule>
    <cfRule type="cellIs" dxfId="2676" priority="544" operator="notEqual">
      <formula>0</formula>
    </cfRule>
  </conditionalFormatting>
  <conditionalFormatting sqref="R34">
    <cfRule type="cellIs" dxfId="2675" priority="541" operator="equal">
      <formula>0</formula>
    </cfRule>
    <cfRule type="cellIs" dxfId="2674" priority="542" operator="notEqual">
      <formula>0</formula>
    </cfRule>
  </conditionalFormatting>
  <conditionalFormatting sqref="C39:C40">
    <cfRule type="cellIs" dxfId="2673" priority="539" operator="equal">
      <formula>0</formula>
    </cfRule>
    <cfRule type="cellIs" dxfId="2672" priority="540" operator="notEqual">
      <formula>0</formula>
    </cfRule>
  </conditionalFormatting>
  <conditionalFormatting sqref="C38">
    <cfRule type="cellIs" dxfId="2671" priority="538" operator="equal">
      <formula>1</formula>
    </cfRule>
  </conditionalFormatting>
  <conditionalFormatting sqref="D39:D40">
    <cfRule type="cellIs" dxfId="2670" priority="536" operator="equal">
      <formula>0</formula>
    </cfRule>
    <cfRule type="cellIs" dxfId="2669" priority="537" operator="notEqual">
      <formula>0</formula>
    </cfRule>
  </conditionalFormatting>
  <conditionalFormatting sqref="D38">
    <cfRule type="cellIs" dxfId="2668" priority="535" operator="equal">
      <formula>1</formula>
    </cfRule>
  </conditionalFormatting>
  <conditionalFormatting sqref="E39:E40">
    <cfRule type="cellIs" dxfId="2667" priority="533" operator="equal">
      <formula>0</formula>
    </cfRule>
    <cfRule type="cellIs" dxfId="2666" priority="534" operator="notEqual">
      <formula>0</formula>
    </cfRule>
  </conditionalFormatting>
  <conditionalFormatting sqref="E38">
    <cfRule type="cellIs" dxfId="2665" priority="532" operator="equal">
      <formula>1</formula>
    </cfRule>
  </conditionalFormatting>
  <conditionalFormatting sqref="F39:F40">
    <cfRule type="cellIs" dxfId="2664" priority="530" operator="equal">
      <formula>0</formula>
    </cfRule>
    <cfRule type="cellIs" dxfId="2663" priority="531" operator="notEqual">
      <formula>0</formula>
    </cfRule>
  </conditionalFormatting>
  <conditionalFormatting sqref="F38">
    <cfRule type="cellIs" dxfId="2662" priority="529" operator="equal">
      <formula>1</formula>
    </cfRule>
  </conditionalFormatting>
  <conditionalFormatting sqref="G39:G40">
    <cfRule type="cellIs" dxfId="2661" priority="527" operator="equal">
      <formula>0</formula>
    </cfRule>
    <cfRule type="cellIs" dxfId="2660" priority="528" operator="notEqual">
      <formula>0</formula>
    </cfRule>
  </conditionalFormatting>
  <conditionalFormatting sqref="H39:H40">
    <cfRule type="cellIs" dxfId="2659" priority="525" operator="equal">
      <formula>0</formula>
    </cfRule>
    <cfRule type="cellIs" dxfId="2658" priority="526" operator="notEqual">
      <formula>0</formula>
    </cfRule>
  </conditionalFormatting>
  <conditionalFormatting sqref="I39:I40">
    <cfRule type="cellIs" dxfId="2657" priority="523" operator="equal">
      <formula>0</formula>
    </cfRule>
    <cfRule type="cellIs" dxfId="2656" priority="524" operator="notEqual">
      <formula>0</formula>
    </cfRule>
  </conditionalFormatting>
  <conditionalFormatting sqref="J39:J40">
    <cfRule type="cellIs" dxfId="2655" priority="521" operator="equal">
      <formula>0</formula>
    </cfRule>
    <cfRule type="cellIs" dxfId="2654" priority="522" operator="notEqual">
      <formula>0</formula>
    </cfRule>
  </conditionalFormatting>
  <conditionalFormatting sqref="O38">
    <cfRule type="cellIs" dxfId="2653" priority="519" operator="equal">
      <formula>0</formula>
    </cfRule>
    <cfRule type="cellIs" dxfId="2652" priority="520" operator="notEqual">
      <formula>0</formula>
    </cfRule>
  </conditionalFormatting>
  <conditionalFormatting sqref="O41">
    <cfRule type="cellIs" dxfId="2651" priority="517" operator="equal">
      <formula>0</formula>
    </cfRule>
    <cfRule type="cellIs" dxfId="2650" priority="518" operator="notEqual">
      <formula>0</formula>
    </cfRule>
  </conditionalFormatting>
  <conditionalFormatting sqref="P38">
    <cfRule type="cellIs" dxfId="2649" priority="515" operator="equal">
      <formula>0</formula>
    </cfRule>
    <cfRule type="cellIs" dxfId="2648" priority="516" operator="notEqual">
      <formula>0</formula>
    </cfRule>
  </conditionalFormatting>
  <conditionalFormatting sqref="P41">
    <cfRule type="cellIs" dxfId="2647" priority="513" operator="equal">
      <formula>0</formula>
    </cfRule>
    <cfRule type="cellIs" dxfId="2646" priority="514" operator="notEqual">
      <formula>0</formula>
    </cfRule>
  </conditionalFormatting>
  <conditionalFormatting sqref="Q38">
    <cfRule type="cellIs" dxfId="2645" priority="511" operator="equal">
      <formula>0</formula>
    </cfRule>
    <cfRule type="cellIs" dxfId="2644" priority="512" operator="notEqual">
      <formula>0</formula>
    </cfRule>
  </conditionalFormatting>
  <conditionalFormatting sqref="Q41">
    <cfRule type="cellIs" dxfId="2643" priority="509" operator="equal">
      <formula>0</formula>
    </cfRule>
    <cfRule type="cellIs" dxfId="2642" priority="510" operator="notEqual">
      <formula>0</formula>
    </cfRule>
  </conditionalFormatting>
  <conditionalFormatting sqref="R38">
    <cfRule type="cellIs" dxfId="2641" priority="507" operator="equal">
      <formula>0</formula>
    </cfRule>
    <cfRule type="cellIs" dxfId="2640" priority="508" operator="notEqual">
      <formula>0</formula>
    </cfRule>
  </conditionalFormatting>
  <conditionalFormatting sqref="R41">
    <cfRule type="cellIs" dxfId="2639" priority="505" operator="equal">
      <formula>0</formula>
    </cfRule>
    <cfRule type="cellIs" dxfId="2638" priority="506" operator="notEqual">
      <formula>0</formula>
    </cfRule>
  </conditionalFormatting>
  <conditionalFormatting sqref="C46:C47">
    <cfRule type="cellIs" dxfId="2637" priority="503" operator="equal">
      <formula>0</formula>
    </cfRule>
    <cfRule type="cellIs" dxfId="2636" priority="504" operator="notEqual">
      <formula>0</formula>
    </cfRule>
  </conditionalFormatting>
  <conditionalFormatting sqref="C45">
    <cfRule type="cellIs" dxfId="2635" priority="502" operator="equal">
      <formula>1</formula>
    </cfRule>
  </conditionalFormatting>
  <conditionalFormatting sqref="D46:D47">
    <cfRule type="cellIs" dxfId="2634" priority="500" operator="equal">
      <formula>0</formula>
    </cfRule>
    <cfRule type="cellIs" dxfId="2633" priority="501" operator="notEqual">
      <formula>0</formula>
    </cfRule>
  </conditionalFormatting>
  <conditionalFormatting sqref="D45">
    <cfRule type="cellIs" dxfId="2632" priority="499" operator="equal">
      <formula>1</formula>
    </cfRule>
  </conditionalFormatting>
  <conditionalFormatting sqref="E46:E47">
    <cfRule type="cellIs" dxfId="2631" priority="497" operator="equal">
      <formula>0</formula>
    </cfRule>
    <cfRule type="cellIs" dxfId="2630" priority="498" operator="notEqual">
      <formula>0</formula>
    </cfRule>
  </conditionalFormatting>
  <conditionalFormatting sqref="E45">
    <cfRule type="cellIs" dxfId="2629" priority="496" operator="equal">
      <formula>1</formula>
    </cfRule>
  </conditionalFormatting>
  <conditionalFormatting sqref="F46:F47">
    <cfRule type="cellIs" dxfId="2628" priority="494" operator="equal">
      <formula>0</formula>
    </cfRule>
    <cfRule type="cellIs" dxfId="2627" priority="495" operator="notEqual">
      <formula>0</formula>
    </cfRule>
  </conditionalFormatting>
  <conditionalFormatting sqref="F45">
    <cfRule type="cellIs" dxfId="2626" priority="493" operator="equal">
      <formula>1</formula>
    </cfRule>
  </conditionalFormatting>
  <conditionalFormatting sqref="G46:G47">
    <cfRule type="cellIs" dxfId="2625" priority="491" operator="equal">
      <formula>0</formula>
    </cfRule>
    <cfRule type="cellIs" dxfId="2624" priority="492" operator="notEqual">
      <formula>0</formula>
    </cfRule>
  </conditionalFormatting>
  <conditionalFormatting sqref="H46:H47">
    <cfRule type="cellIs" dxfId="2623" priority="489" operator="equal">
      <formula>0</formula>
    </cfRule>
    <cfRule type="cellIs" dxfId="2622" priority="490" operator="notEqual">
      <formula>0</formula>
    </cfRule>
  </conditionalFormatting>
  <conditionalFormatting sqref="I46:I47">
    <cfRule type="cellIs" dxfId="2621" priority="487" operator="equal">
      <formula>0</formula>
    </cfRule>
    <cfRule type="cellIs" dxfId="2620" priority="488" operator="notEqual">
      <formula>0</formula>
    </cfRule>
  </conditionalFormatting>
  <conditionalFormatting sqref="J46:J47">
    <cfRule type="cellIs" dxfId="2619" priority="485" operator="equal">
      <formula>0</formula>
    </cfRule>
    <cfRule type="cellIs" dxfId="2618" priority="486" operator="notEqual">
      <formula>0</formula>
    </cfRule>
  </conditionalFormatting>
  <conditionalFormatting sqref="O45">
    <cfRule type="cellIs" dxfId="2617" priority="483" operator="equal">
      <formula>0</formula>
    </cfRule>
    <cfRule type="cellIs" dxfId="2616" priority="484" operator="notEqual">
      <formula>0</formula>
    </cfRule>
  </conditionalFormatting>
  <conditionalFormatting sqref="O48">
    <cfRule type="cellIs" dxfId="2615" priority="481" operator="equal">
      <formula>0</formula>
    </cfRule>
    <cfRule type="cellIs" dxfId="2614" priority="482" operator="notEqual">
      <formula>0</formula>
    </cfRule>
  </conditionalFormatting>
  <conditionalFormatting sqref="P45">
    <cfRule type="cellIs" dxfId="2613" priority="479" operator="equal">
      <formula>0</formula>
    </cfRule>
    <cfRule type="cellIs" dxfId="2612" priority="480" operator="notEqual">
      <formula>0</formula>
    </cfRule>
  </conditionalFormatting>
  <conditionalFormatting sqref="P48">
    <cfRule type="cellIs" dxfId="2611" priority="477" operator="equal">
      <formula>0</formula>
    </cfRule>
    <cfRule type="cellIs" dxfId="2610" priority="478" operator="notEqual">
      <formula>0</formula>
    </cfRule>
  </conditionalFormatting>
  <conditionalFormatting sqref="Q45">
    <cfRule type="cellIs" dxfId="2609" priority="475" operator="equal">
      <formula>0</formula>
    </cfRule>
    <cfRule type="cellIs" dxfId="2608" priority="476" operator="notEqual">
      <formula>0</formula>
    </cfRule>
  </conditionalFormatting>
  <conditionalFormatting sqref="Q48">
    <cfRule type="cellIs" dxfId="2607" priority="473" operator="equal">
      <formula>0</formula>
    </cfRule>
    <cfRule type="cellIs" dxfId="2606" priority="474" operator="notEqual">
      <formula>0</formula>
    </cfRule>
  </conditionalFormatting>
  <conditionalFormatting sqref="R45">
    <cfRule type="cellIs" dxfId="2605" priority="471" operator="equal">
      <formula>0</formula>
    </cfRule>
    <cfRule type="cellIs" dxfId="2604" priority="472" operator="notEqual">
      <formula>0</formula>
    </cfRule>
  </conditionalFormatting>
  <conditionalFormatting sqref="R48">
    <cfRule type="cellIs" dxfId="2603" priority="469" operator="equal">
      <formula>0</formula>
    </cfRule>
    <cfRule type="cellIs" dxfId="2602" priority="470" operator="notEqual">
      <formula>0</formula>
    </cfRule>
  </conditionalFormatting>
  <conditionalFormatting sqref="C53:C54">
    <cfRule type="cellIs" dxfId="2601" priority="467" operator="equal">
      <formula>0</formula>
    </cfRule>
    <cfRule type="cellIs" dxfId="2600" priority="468" operator="notEqual">
      <formula>0</formula>
    </cfRule>
  </conditionalFormatting>
  <conditionalFormatting sqref="C52">
    <cfRule type="cellIs" dxfId="2599" priority="466" operator="equal">
      <formula>1</formula>
    </cfRule>
  </conditionalFormatting>
  <conditionalFormatting sqref="D53:D54">
    <cfRule type="cellIs" dxfId="2598" priority="464" operator="equal">
      <formula>0</formula>
    </cfRule>
    <cfRule type="cellIs" dxfId="2597" priority="465" operator="notEqual">
      <formula>0</formula>
    </cfRule>
  </conditionalFormatting>
  <conditionalFormatting sqref="D52">
    <cfRule type="cellIs" dxfId="2596" priority="463" operator="equal">
      <formula>1</formula>
    </cfRule>
  </conditionalFormatting>
  <conditionalFormatting sqref="E53:E54">
    <cfRule type="cellIs" dxfId="2595" priority="461" operator="equal">
      <formula>0</formula>
    </cfRule>
    <cfRule type="cellIs" dxfId="2594" priority="462" operator="notEqual">
      <formula>0</formula>
    </cfRule>
  </conditionalFormatting>
  <conditionalFormatting sqref="E52">
    <cfRule type="cellIs" dxfId="2593" priority="460" operator="equal">
      <formula>1</formula>
    </cfRule>
  </conditionalFormatting>
  <conditionalFormatting sqref="F53:F54">
    <cfRule type="cellIs" dxfId="2592" priority="458" operator="equal">
      <formula>0</formula>
    </cfRule>
    <cfRule type="cellIs" dxfId="2591" priority="459" operator="notEqual">
      <formula>0</formula>
    </cfRule>
  </conditionalFormatting>
  <conditionalFormatting sqref="F52">
    <cfRule type="cellIs" dxfId="2590" priority="457" operator="equal">
      <formula>1</formula>
    </cfRule>
  </conditionalFormatting>
  <conditionalFormatting sqref="G53:G54">
    <cfRule type="cellIs" dxfId="2589" priority="455" operator="equal">
      <formula>0</formula>
    </cfRule>
    <cfRule type="cellIs" dxfId="2588" priority="456" operator="notEqual">
      <formula>0</formula>
    </cfRule>
  </conditionalFormatting>
  <conditionalFormatting sqref="H53:H54">
    <cfRule type="cellIs" dxfId="2587" priority="453" operator="equal">
      <formula>0</formula>
    </cfRule>
    <cfRule type="cellIs" dxfId="2586" priority="454" operator="notEqual">
      <formula>0</formula>
    </cfRule>
  </conditionalFormatting>
  <conditionalFormatting sqref="I53:I54">
    <cfRule type="cellIs" dxfId="2585" priority="451" operator="equal">
      <formula>0</formula>
    </cfRule>
    <cfRule type="cellIs" dxfId="2584" priority="452" operator="notEqual">
      <formula>0</formula>
    </cfRule>
  </conditionalFormatting>
  <conditionalFormatting sqref="J53:J54">
    <cfRule type="cellIs" dxfId="2583" priority="449" operator="equal">
      <formula>0</formula>
    </cfRule>
    <cfRule type="cellIs" dxfId="2582" priority="450" operator="notEqual">
      <formula>0</formula>
    </cfRule>
  </conditionalFormatting>
  <conditionalFormatting sqref="O52">
    <cfRule type="cellIs" dxfId="2581" priority="447" operator="equal">
      <formula>0</formula>
    </cfRule>
    <cfRule type="cellIs" dxfId="2580" priority="448" operator="notEqual">
      <formula>0</formula>
    </cfRule>
  </conditionalFormatting>
  <conditionalFormatting sqref="O55">
    <cfRule type="cellIs" dxfId="2579" priority="445" operator="equal">
      <formula>0</formula>
    </cfRule>
    <cfRule type="cellIs" dxfId="2578" priority="446" operator="notEqual">
      <formula>0</formula>
    </cfRule>
  </conditionalFormatting>
  <conditionalFormatting sqref="P52">
    <cfRule type="cellIs" dxfId="2577" priority="443" operator="equal">
      <formula>0</formula>
    </cfRule>
    <cfRule type="cellIs" dxfId="2576" priority="444" operator="notEqual">
      <formula>0</formula>
    </cfRule>
  </conditionalFormatting>
  <conditionalFormatting sqref="P55">
    <cfRule type="cellIs" dxfId="2575" priority="441" operator="equal">
      <formula>0</formula>
    </cfRule>
    <cfRule type="cellIs" dxfId="2574" priority="442" operator="notEqual">
      <formula>0</formula>
    </cfRule>
  </conditionalFormatting>
  <conditionalFormatting sqref="Q52">
    <cfRule type="cellIs" dxfId="2573" priority="439" operator="equal">
      <formula>0</formula>
    </cfRule>
    <cfRule type="cellIs" dxfId="2572" priority="440" operator="notEqual">
      <formula>0</formula>
    </cfRule>
  </conditionalFormatting>
  <conditionalFormatting sqref="Q55">
    <cfRule type="cellIs" dxfId="2571" priority="437" operator="equal">
      <formula>0</formula>
    </cfRule>
    <cfRule type="cellIs" dxfId="2570" priority="438" operator="notEqual">
      <formula>0</formula>
    </cfRule>
  </conditionalFormatting>
  <conditionalFormatting sqref="R52">
    <cfRule type="cellIs" dxfId="2569" priority="435" operator="equal">
      <formula>0</formula>
    </cfRule>
    <cfRule type="cellIs" dxfId="2568" priority="436" operator="notEqual">
      <formula>0</formula>
    </cfRule>
  </conditionalFormatting>
  <conditionalFormatting sqref="R55">
    <cfRule type="cellIs" dxfId="2567" priority="433" operator="equal">
      <formula>0</formula>
    </cfRule>
    <cfRule type="cellIs" dxfId="2566" priority="434" operator="notEqual">
      <formula>0</formula>
    </cfRule>
  </conditionalFormatting>
  <conditionalFormatting sqref="C60:C61">
    <cfRule type="cellIs" dxfId="2565" priority="431" operator="equal">
      <formula>0</formula>
    </cfRule>
    <cfRule type="cellIs" dxfId="2564" priority="432" operator="notEqual">
      <formula>0</formula>
    </cfRule>
  </conditionalFormatting>
  <conditionalFormatting sqref="C59">
    <cfRule type="cellIs" dxfId="2563" priority="430" operator="equal">
      <formula>1</formula>
    </cfRule>
  </conditionalFormatting>
  <conditionalFormatting sqref="D60:D61">
    <cfRule type="cellIs" dxfId="2562" priority="428" operator="equal">
      <formula>0</formula>
    </cfRule>
    <cfRule type="cellIs" dxfId="2561" priority="429" operator="notEqual">
      <formula>0</formula>
    </cfRule>
  </conditionalFormatting>
  <conditionalFormatting sqref="D59">
    <cfRule type="cellIs" dxfId="2560" priority="427" operator="equal">
      <formula>1</formula>
    </cfRule>
  </conditionalFormatting>
  <conditionalFormatting sqref="E60:E61">
    <cfRule type="cellIs" dxfId="2559" priority="425" operator="equal">
      <formula>0</formula>
    </cfRule>
    <cfRule type="cellIs" dxfId="2558" priority="426" operator="notEqual">
      <formula>0</formula>
    </cfRule>
  </conditionalFormatting>
  <conditionalFormatting sqref="E59">
    <cfRule type="cellIs" dxfId="2557" priority="424" operator="equal">
      <formula>1</formula>
    </cfRule>
  </conditionalFormatting>
  <conditionalFormatting sqref="F60:F61">
    <cfRule type="cellIs" dxfId="2556" priority="422" operator="equal">
      <formula>0</formula>
    </cfRule>
    <cfRule type="cellIs" dxfId="2555" priority="423" operator="notEqual">
      <formula>0</formula>
    </cfRule>
  </conditionalFormatting>
  <conditionalFormatting sqref="F59">
    <cfRule type="cellIs" dxfId="2554" priority="421" operator="equal">
      <formula>1</formula>
    </cfRule>
  </conditionalFormatting>
  <conditionalFormatting sqref="G60:G61">
    <cfRule type="cellIs" dxfId="2553" priority="419" operator="equal">
      <formula>0</formula>
    </cfRule>
    <cfRule type="cellIs" dxfId="2552" priority="420" operator="notEqual">
      <formula>0</formula>
    </cfRule>
  </conditionalFormatting>
  <conditionalFormatting sqref="H60:H61">
    <cfRule type="cellIs" dxfId="2551" priority="417" operator="equal">
      <formula>0</formula>
    </cfRule>
    <cfRule type="cellIs" dxfId="2550" priority="418" operator="notEqual">
      <formula>0</formula>
    </cfRule>
  </conditionalFormatting>
  <conditionalFormatting sqref="I60:I61">
    <cfRule type="cellIs" dxfId="2549" priority="415" operator="equal">
      <formula>0</formula>
    </cfRule>
    <cfRule type="cellIs" dxfId="2548" priority="416" operator="notEqual">
      <formula>0</formula>
    </cfRule>
  </conditionalFormatting>
  <conditionalFormatting sqref="J60:J61">
    <cfRule type="cellIs" dxfId="2547" priority="413" operator="equal">
      <formula>0</formula>
    </cfRule>
    <cfRule type="cellIs" dxfId="2546" priority="414" operator="notEqual">
      <formula>0</formula>
    </cfRule>
  </conditionalFormatting>
  <conditionalFormatting sqref="O59">
    <cfRule type="cellIs" dxfId="2545" priority="411" operator="equal">
      <formula>0</formula>
    </cfRule>
    <cfRule type="cellIs" dxfId="2544" priority="412" operator="notEqual">
      <formula>0</formula>
    </cfRule>
  </conditionalFormatting>
  <conditionalFormatting sqref="O62">
    <cfRule type="cellIs" dxfId="2543" priority="409" operator="equal">
      <formula>0</formula>
    </cfRule>
    <cfRule type="cellIs" dxfId="2542" priority="410" operator="notEqual">
      <formula>0</formula>
    </cfRule>
  </conditionalFormatting>
  <conditionalFormatting sqref="P59">
    <cfRule type="cellIs" dxfId="2541" priority="407" operator="equal">
      <formula>0</formula>
    </cfRule>
    <cfRule type="cellIs" dxfId="2540" priority="408" operator="notEqual">
      <formula>0</formula>
    </cfRule>
  </conditionalFormatting>
  <conditionalFormatting sqref="P62">
    <cfRule type="cellIs" dxfId="2539" priority="405" operator="equal">
      <formula>0</formula>
    </cfRule>
    <cfRule type="cellIs" dxfId="2538" priority="406" operator="notEqual">
      <formula>0</formula>
    </cfRule>
  </conditionalFormatting>
  <conditionalFormatting sqref="Q59">
    <cfRule type="cellIs" dxfId="2537" priority="403" operator="equal">
      <formula>0</formula>
    </cfRule>
    <cfRule type="cellIs" dxfId="2536" priority="404" operator="notEqual">
      <formula>0</formula>
    </cfRule>
  </conditionalFormatting>
  <conditionalFormatting sqref="Q62">
    <cfRule type="cellIs" dxfId="2535" priority="401" operator="equal">
      <formula>0</formula>
    </cfRule>
    <cfRule type="cellIs" dxfId="2534" priority="402" operator="notEqual">
      <formula>0</formula>
    </cfRule>
  </conditionalFormatting>
  <conditionalFormatting sqref="R59">
    <cfRule type="cellIs" dxfId="2533" priority="399" operator="equal">
      <formula>0</formula>
    </cfRule>
    <cfRule type="cellIs" dxfId="2532" priority="400" operator="notEqual">
      <formula>0</formula>
    </cfRule>
  </conditionalFormatting>
  <conditionalFormatting sqref="R62">
    <cfRule type="cellIs" dxfId="2531" priority="397" operator="equal">
      <formula>0</formula>
    </cfRule>
    <cfRule type="cellIs" dxfId="2530" priority="398" operator="notEqual">
      <formula>0</formula>
    </cfRule>
  </conditionalFormatting>
  <conditionalFormatting sqref="C67:C68">
    <cfRule type="cellIs" dxfId="2529" priority="395" operator="equal">
      <formula>0</formula>
    </cfRule>
    <cfRule type="cellIs" dxfId="2528" priority="396" operator="notEqual">
      <formula>0</formula>
    </cfRule>
  </conditionalFormatting>
  <conditionalFormatting sqref="C66">
    <cfRule type="cellIs" dxfId="2527" priority="394" operator="equal">
      <formula>1</formula>
    </cfRule>
  </conditionalFormatting>
  <conditionalFormatting sqref="D67:D68">
    <cfRule type="cellIs" dxfId="2526" priority="392" operator="equal">
      <formula>0</formula>
    </cfRule>
    <cfRule type="cellIs" dxfId="2525" priority="393" operator="notEqual">
      <formula>0</formula>
    </cfRule>
  </conditionalFormatting>
  <conditionalFormatting sqref="D66">
    <cfRule type="cellIs" dxfId="2524" priority="391" operator="equal">
      <formula>1</formula>
    </cfRule>
  </conditionalFormatting>
  <conditionalFormatting sqref="E67:E68">
    <cfRule type="cellIs" dxfId="2523" priority="389" operator="equal">
      <formula>0</formula>
    </cfRule>
    <cfRule type="cellIs" dxfId="2522" priority="390" operator="notEqual">
      <formula>0</formula>
    </cfRule>
  </conditionalFormatting>
  <conditionalFormatting sqref="E66">
    <cfRule type="cellIs" dxfId="2521" priority="388" operator="equal">
      <formula>1</formula>
    </cfRule>
  </conditionalFormatting>
  <conditionalFormatting sqref="F67:F68">
    <cfRule type="cellIs" dxfId="2520" priority="386" operator="equal">
      <formula>0</formula>
    </cfRule>
    <cfRule type="cellIs" dxfId="2519" priority="387" operator="notEqual">
      <formula>0</formula>
    </cfRule>
  </conditionalFormatting>
  <conditionalFormatting sqref="F66">
    <cfRule type="cellIs" dxfId="2518" priority="385" operator="equal">
      <formula>1</formula>
    </cfRule>
  </conditionalFormatting>
  <conditionalFormatting sqref="G67:G68">
    <cfRule type="cellIs" dxfId="2517" priority="383" operator="equal">
      <formula>0</formula>
    </cfRule>
    <cfRule type="cellIs" dxfId="2516" priority="384" operator="notEqual">
      <formula>0</formula>
    </cfRule>
  </conditionalFormatting>
  <conditionalFormatting sqref="H67:H68">
    <cfRule type="cellIs" dxfId="2515" priority="381" operator="equal">
      <formula>0</formula>
    </cfRule>
    <cfRule type="cellIs" dxfId="2514" priority="382" operator="notEqual">
      <formula>0</formula>
    </cfRule>
  </conditionalFormatting>
  <conditionalFormatting sqref="I67:I68">
    <cfRule type="cellIs" dxfId="2513" priority="379" operator="equal">
      <formula>0</formula>
    </cfRule>
    <cfRule type="cellIs" dxfId="2512" priority="380" operator="notEqual">
      <formula>0</formula>
    </cfRule>
  </conditionalFormatting>
  <conditionalFormatting sqref="J67:J68">
    <cfRule type="cellIs" dxfId="2511" priority="377" operator="equal">
      <formula>0</formula>
    </cfRule>
    <cfRule type="cellIs" dxfId="2510" priority="378" operator="notEqual">
      <formula>0</formula>
    </cfRule>
  </conditionalFormatting>
  <conditionalFormatting sqref="O66">
    <cfRule type="cellIs" dxfId="2509" priority="375" operator="equal">
      <formula>0</formula>
    </cfRule>
    <cfRule type="cellIs" dxfId="2508" priority="376" operator="notEqual">
      <formula>0</formula>
    </cfRule>
  </conditionalFormatting>
  <conditionalFormatting sqref="O69">
    <cfRule type="cellIs" dxfId="2507" priority="373" operator="equal">
      <formula>0</formula>
    </cfRule>
    <cfRule type="cellIs" dxfId="2506" priority="374" operator="notEqual">
      <formula>0</formula>
    </cfRule>
  </conditionalFormatting>
  <conditionalFormatting sqref="P66">
    <cfRule type="cellIs" dxfId="2505" priority="371" operator="equal">
      <formula>0</formula>
    </cfRule>
    <cfRule type="cellIs" dxfId="2504" priority="372" operator="notEqual">
      <formula>0</formula>
    </cfRule>
  </conditionalFormatting>
  <conditionalFormatting sqref="P69">
    <cfRule type="cellIs" dxfId="2503" priority="369" operator="equal">
      <formula>0</formula>
    </cfRule>
    <cfRule type="cellIs" dxfId="2502" priority="370" operator="notEqual">
      <formula>0</formula>
    </cfRule>
  </conditionalFormatting>
  <conditionalFormatting sqref="Q66">
    <cfRule type="cellIs" dxfId="2501" priority="367" operator="equal">
      <formula>0</formula>
    </cfRule>
    <cfRule type="cellIs" dxfId="2500" priority="368" operator="notEqual">
      <formula>0</formula>
    </cfRule>
  </conditionalFormatting>
  <conditionalFormatting sqref="Q69">
    <cfRule type="cellIs" dxfId="2499" priority="365" operator="equal">
      <formula>0</formula>
    </cfRule>
    <cfRule type="cellIs" dxfId="2498" priority="366" operator="notEqual">
      <formula>0</formula>
    </cfRule>
  </conditionalFormatting>
  <conditionalFormatting sqref="R66">
    <cfRule type="cellIs" dxfId="2497" priority="363" operator="equal">
      <formula>0</formula>
    </cfRule>
    <cfRule type="cellIs" dxfId="2496" priority="364" operator="notEqual">
      <formula>0</formula>
    </cfRule>
  </conditionalFormatting>
  <conditionalFormatting sqref="R69">
    <cfRule type="cellIs" dxfId="2495" priority="361" operator="equal">
      <formula>0</formula>
    </cfRule>
    <cfRule type="cellIs" dxfId="2494" priority="362" operator="notEqual">
      <formula>0</formula>
    </cfRule>
  </conditionalFormatting>
  <conditionalFormatting sqref="C74:C75">
    <cfRule type="cellIs" dxfId="2493" priority="359" operator="equal">
      <formula>0</formula>
    </cfRule>
    <cfRule type="cellIs" dxfId="2492" priority="360" operator="notEqual">
      <formula>0</formula>
    </cfRule>
  </conditionalFormatting>
  <conditionalFormatting sqref="C73">
    <cfRule type="cellIs" dxfId="2491" priority="358" operator="equal">
      <formula>1</formula>
    </cfRule>
  </conditionalFormatting>
  <conditionalFormatting sqref="D74:D75">
    <cfRule type="cellIs" dxfId="2490" priority="356" operator="equal">
      <formula>0</formula>
    </cfRule>
    <cfRule type="cellIs" dxfId="2489" priority="357" operator="notEqual">
      <formula>0</formula>
    </cfRule>
  </conditionalFormatting>
  <conditionalFormatting sqref="D73">
    <cfRule type="cellIs" dxfId="2488" priority="355" operator="equal">
      <formula>1</formula>
    </cfRule>
  </conditionalFormatting>
  <conditionalFormatting sqref="E74:E75">
    <cfRule type="cellIs" dxfId="2487" priority="353" operator="equal">
      <formula>0</formula>
    </cfRule>
    <cfRule type="cellIs" dxfId="2486" priority="354" operator="notEqual">
      <formula>0</formula>
    </cfRule>
  </conditionalFormatting>
  <conditionalFormatting sqref="E73">
    <cfRule type="cellIs" dxfId="2485" priority="352" operator="equal">
      <formula>1</formula>
    </cfRule>
  </conditionalFormatting>
  <conditionalFormatting sqref="F74:F75">
    <cfRule type="cellIs" dxfId="2484" priority="350" operator="equal">
      <formula>0</formula>
    </cfRule>
    <cfRule type="cellIs" dxfId="2483" priority="351" operator="notEqual">
      <formula>0</formula>
    </cfRule>
  </conditionalFormatting>
  <conditionalFormatting sqref="F73">
    <cfRule type="cellIs" dxfId="2482" priority="349" operator="equal">
      <formula>1</formula>
    </cfRule>
  </conditionalFormatting>
  <conditionalFormatting sqref="G74:G75">
    <cfRule type="cellIs" dxfId="2481" priority="347" operator="equal">
      <formula>0</formula>
    </cfRule>
    <cfRule type="cellIs" dxfId="2480" priority="348" operator="notEqual">
      <formula>0</formula>
    </cfRule>
  </conditionalFormatting>
  <conditionalFormatting sqref="H74:H75">
    <cfRule type="cellIs" dxfId="2479" priority="345" operator="equal">
      <formula>0</formula>
    </cfRule>
    <cfRule type="cellIs" dxfId="2478" priority="346" operator="notEqual">
      <formula>0</formula>
    </cfRule>
  </conditionalFormatting>
  <conditionalFormatting sqref="I74:I75">
    <cfRule type="cellIs" dxfId="2477" priority="343" operator="equal">
      <formula>0</formula>
    </cfRule>
    <cfRule type="cellIs" dxfId="2476" priority="344" operator="notEqual">
      <formula>0</formula>
    </cfRule>
  </conditionalFormatting>
  <conditionalFormatting sqref="J74:J75">
    <cfRule type="cellIs" dxfId="2475" priority="341" operator="equal">
      <formula>0</formula>
    </cfRule>
    <cfRule type="cellIs" dxfId="2474" priority="342" operator="notEqual">
      <formula>0</formula>
    </cfRule>
  </conditionalFormatting>
  <conditionalFormatting sqref="O73">
    <cfRule type="cellIs" dxfId="2473" priority="339" operator="equal">
      <formula>0</formula>
    </cfRule>
    <cfRule type="cellIs" dxfId="2472" priority="340" operator="notEqual">
      <formula>0</formula>
    </cfRule>
  </conditionalFormatting>
  <conditionalFormatting sqref="O76">
    <cfRule type="cellIs" dxfId="2471" priority="337" operator="equal">
      <formula>0</formula>
    </cfRule>
    <cfRule type="cellIs" dxfId="2470" priority="338" operator="notEqual">
      <formula>0</formula>
    </cfRule>
  </conditionalFormatting>
  <conditionalFormatting sqref="P73">
    <cfRule type="cellIs" dxfId="2469" priority="335" operator="equal">
      <formula>0</formula>
    </cfRule>
    <cfRule type="cellIs" dxfId="2468" priority="336" operator="notEqual">
      <formula>0</formula>
    </cfRule>
  </conditionalFormatting>
  <conditionalFormatting sqref="P76">
    <cfRule type="cellIs" dxfId="2467" priority="333" operator="equal">
      <formula>0</formula>
    </cfRule>
    <cfRule type="cellIs" dxfId="2466" priority="334" operator="notEqual">
      <formula>0</formula>
    </cfRule>
  </conditionalFormatting>
  <conditionalFormatting sqref="Q73">
    <cfRule type="cellIs" dxfId="2465" priority="331" operator="equal">
      <formula>0</formula>
    </cfRule>
    <cfRule type="cellIs" dxfId="2464" priority="332" operator="notEqual">
      <formula>0</formula>
    </cfRule>
  </conditionalFormatting>
  <conditionalFormatting sqref="Q76">
    <cfRule type="cellIs" dxfId="2463" priority="329" operator="equal">
      <formula>0</formula>
    </cfRule>
    <cfRule type="cellIs" dxfId="2462" priority="330" operator="notEqual">
      <formula>0</formula>
    </cfRule>
  </conditionalFormatting>
  <conditionalFormatting sqref="R73">
    <cfRule type="cellIs" dxfId="2461" priority="327" operator="equal">
      <formula>0</formula>
    </cfRule>
    <cfRule type="cellIs" dxfId="2460" priority="328" operator="notEqual">
      <formula>0</formula>
    </cfRule>
  </conditionalFormatting>
  <conditionalFormatting sqref="R76">
    <cfRule type="cellIs" dxfId="2459" priority="325" operator="equal">
      <formula>0</formula>
    </cfRule>
    <cfRule type="cellIs" dxfId="2458" priority="326" operator="notEqual">
      <formula>0</formula>
    </cfRule>
  </conditionalFormatting>
  <conditionalFormatting sqref="U67:U68">
    <cfRule type="cellIs" dxfId="2457" priority="323" operator="equal">
      <formula>0</formula>
    </cfRule>
    <cfRule type="cellIs" dxfId="2456" priority="324" operator="notEqual">
      <formula>0</formula>
    </cfRule>
  </conditionalFormatting>
  <conditionalFormatting sqref="U66">
    <cfRule type="cellIs" dxfId="2455" priority="322" operator="equal">
      <formula>1</formula>
    </cfRule>
  </conditionalFormatting>
  <conditionalFormatting sqref="V67:V68">
    <cfRule type="cellIs" dxfId="2454" priority="320" operator="equal">
      <formula>0</formula>
    </cfRule>
    <cfRule type="cellIs" dxfId="2453" priority="321" operator="notEqual">
      <formula>0</formula>
    </cfRule>
  </conditionalFormatting>
  <conditionalFormatting sqref="V66">
    <cfRule type="cellIs" dxfId="2452" priority="319" operator="equal">
      <formula>1</formula>
    </cfRule>
  </conditionalFormatting>
  <conditionalFormatting sqref="W67:W68">
    <cfRule type="cellIs" dxfId="2451" priority="317" operator="equal">
      <formula>0</formula>
    </cfRule>
    <cfRule type="cellIs" dxfId="2450" priority="318" operator="notEqual">
      <formula>0</formula>
    </cfRule>
  </conditionalFormatting>
  <conditionalFormatting sqref="W66">
    <cfRule type="cellIs" dxfId="2449" priority="316" operator="equal">
      <formula>1</formula>
    </cfRule>
  </conditionalFormatting>
  <conditionalFormatting sqref="X67:X68">
    <cfRule type="cellIs" dxfId="2448" priority="314" operator="equal">
      <formula>0</formula>
    </cfRule>
    <cfRule type="cellIs" dxfId="2447" priority="315" operator="notEqual">
      <formula>0</formula>
    </cfRule>
  </conditionalFormatting>
  <conditionalFormatting sqref="X66">
    <cfRule type="cellIs" dxfId="2446" priority="313" operator="equal">
      <formula>1</formula>
    </cfRule>
  </conditionalFormatting>
  <conditionalFormatting sqref="Y67:Y68">
    <cfRule type="cellIs" dxfId="2445" priority="311" operator="equal">
      <formula>0</formula>
    </cfRule>
    <cfRule type="cellIs" dxfId="2444" priority="312" operator="notEqual">
      <formula>0</formula>
    </cfRule>
  </conditionalFormatting>
  <conditionalFormatting sqref="Z67:Z68">
    <cfRule type="cellIs" dxfId="2443" priority="309" operator="equal">
      <formula>0</formula>
    </cfRule>
    <cfRule type="cellIs" dxfId="2442" priority="310" operator="notEqual">
      <formula>0</formula>
    </cfRule>
  </conditionalFormatting>
  <conditionalFormatting sqref="AA67:AA68">
    <cfRule type="cellIs" dxfId="2441" priority="307" operator="equal">
      <formula>0</formula>
    </cfRule>
    <cfRule type="cellIs" dxfId="2440" priority="308" operator="notEqual">
      <formula>0</formula>
    </cfRule>
  </conditionalFormatting>
  <conditionalFormatting sqref="AB67:AB68">
    <cfRule type="cellIs" dxfId="2439" priority="305" operator="equal">
      <formula>0</formula>
    </cfRule>
    <cfRule type="cellIs" dxfId="2438" priority="306" operator="notEqual">
      <formula>0</formula>
    </cfRule>
  </conditionalFormatting>
  <conditionalFormatting sqref="AG66">
    <cfRule type="cellIs" dxfId="2437" priority="303" operator="equal">
      <formula>0</formula>
    </cfRule>
    <cfRule type="cellIs" dxfId="2436" priority="304" operator="notEqual">
      <formula>0</formula>
    </cfRule>
  </conditionalFormatting>
  <conditionalFormatting sqref="AG69">
    <cfRule type="cellIs" dxfId="2435" priority="301" operator="equal">
      <formula>0</formula>
    </cfRule>
    <cfRule type="cellIs" dxfId="2434" priority="302" operator="notEqual">
      <formula>0</formula>
    </cfRule>
  </conditionalFormatting>
  <conditionalFormatting sqref="AH66">
    <cfRule type="cellIs" dxfId="2433" priority="299" operator="equal">
      <formula>0</formula>
    </cfRule>
    <cfRule type="cellIs" dxfId="2432" priority="300" operator="notEqual">
      <formula>0</formula>
    </cfRule>
  </conditionalFormatting>
  <conditionalFormatting sqref="AH69">
    <cfRule type="cellIs" dxfId="2431" priority="297" operator="equal">
      <formula>0</formula>
    </cfRule>
    <cfRule type="cellIs" dxfId="2430" priority="298" operator="notEqual">
      <formula>0</formula>
    </cfRule>
  </conditionalFormatting>
  <conditionalFormatting sqref="AI66">
    <cfRule type="cellIs" dxfId="2429" priority="295" operator="equal">
      <formula>0</formula>
    </cfRule>
    <cfRule type="cellIs" dxfId="2428" priority="296" operator="notEqual">
      <formula>0</formula>
    </cfRule>
  </conditionalFormatting>
  <conditionalFormatting sqref="AI69">
    <cfRule type="cellIs" dxfId="2427" priority="293" operator="equal">
      <formula>0</formula>
    </cfRule>
    <cfRule type="cellIs" dxfId="2426" priority="294" operator="notEqual">
      <formula>0</formula>
    </cfRule>
  </conditionalFormatting>
  <conditionalFormatting sqref="AJ66">
    <cfRule type="cellIs" dxfId="2425" priority="291" operator="equal">
      <formula>0</formula>
    </cfRule>
    <cfRule type="cellIs" dxfId="2424" priority="292" operator="notEqual">
      <formula>0</formula>
    </cfRule>
  </conditionalFormatting>
  <conditionalFormatting sqref="AJ69">
    <cfRule type="cellIs" dxfId="2423" priority="289" operator="equal">
      <formula>0</formula>
    </cfRule>
    <cfRule type="cellIs" dxfId="2422" priority="290" operator="notEqual">
      <formula>0</formula>
    </cfRule>
  </conditionalFormatting>
  <conditionalFormatting sqref="U60:U61">
    <cfRule type="cellIs" dxfId="2421" priority="287" operator="equal">
      <formula>0</formula>
    </cfRule>
    <cfRule type="cellIs" dxfId="2420" priority="288" operator="notEqual">
      <formula>0</formula>
    </cfRule>
  </conditionalFormatting>
  <conditionalFormatting sqref="U59">
    <cfRule type="cellIs" dxfId="2419" priority="286" operator="equal">
      <formula>1</formula>
    </cfRule>
  </conditionalFormatting>
  <conditionalFormatting sqref="V60:V61">
    <cfRule type="cellIs" dxfId="2418" priority="284" operator="equal">
      <formula>0</formula>
    </cfRule>
    <cfRule type="cellIs" dxfId="2417" priority="285" operator="notEqual">
      <formula>0</formula>
    </cfRule>
  </conditionalFormatting>
  <conditionalFormatting sqref="V59">
    <cfRule type="cellIs" dxfId="2416" priority="283" operator="equal">
      <formula>1</formula>
    </cfRule>
  </conditionalFormatting>
  <conditionalFormatting sqref="W60:W61">
    <cfRule type="cellIs" dxfId="2415" priority="281" operator="equal">
      <formula>0</formula>
    </cfRule>
    <cfRule type="cellIs" dxfId="2414" priority="282" operator="notEqual">
      <formula>0</formula>
    </cfRule>
  </conditionalFormatting>
  <conditionalFormatting sqref="W59">
    <cfRule type="cellIs" dxfId="2413" priority="280" operator="equal">
      <formula>1</formula>
    </cfRule>
  </conditionalFormatting>
  <conditionalFormatting sqref="X60:X61">
    <cfRule type="cellIs" dxfId="2412" priority="278" operator="equal">
      <formula>0</formula>
    </cfRule>
    <cfRule type="cellIs" dxfId="2411" priority="279" operator="notEqual">
      <formula>0</formula>
    </cfRule>
  </conditionalFormatting>
  <conditionalFormatting sqref="X59">
    <cfRule type="cellIs" dxfId="2410" priority="277" operator="equal">
      <formula>1</formula>
    </cfRule>
  </conditionalFormatting>
  <conditionalFormatting sqref="Y60:Y61">
    <cfRule type="cellIs" dxfId="2409" priority="275" operator="equal">
      <formula>0</formula>
    </cfRule>
    <cfRule type="cellIs" dxfId="2408" priority="276" operator="notEqual">
      <formula>0</formula>
    </cfRule>
  </conditionalFormatting>
  <conditionalFormatting sqref="Z60:Z61">
    <cfRule type="cellIs" dxfId="2407" priority="273" operator="equal">
      <formula>0</formula>
    </cfRule>
    <cfRule type="cellIs" dxfId="2406" priority="274" operator="notEqual">
      <formula>0</formula>
    </cfRule>
  </conditionalFormatting>
  <conditionalFormatting sqref="AA60:AA61">
    <cfRule type="cellIs" dxfId="2405" priority="271" operator="equal">
      <formula>0</formula>
    </cfRule>
    <cfRule type="cellIs" dxfId="2404" priority="272" operator="notEqual">
      <formula>0</formula>
    </cfRule>
  </conditionalFormatting>
  <conditionalFormatting sqref="AB60:AB61">
    <cfRule type="cellIs" dxfId="2403" priority="269" operator="equal">
      <formula>0</formula>
    </cfRule>
    <cfRule type="cellIs" dxfId="2402" priority="270" operator="notEqual">
      <formula>0</formula>
    </cfRule>
  </conditionalFormatting>
  <conditionalFormatting sqref="AG59">
    <cfRule type="cellIs" dxfId="2401" priority="267" operator="equal">
      <formula>0</formula>
    </cfRule>
    <cfRule type="cellIs" dxfId="2400" priority="268" operator="notEqual">
      <formula>0</formula>
    </cfRule>
  </conditionalFormatting>
  <conditionalFormatting sqref="AG62">
    <cfRule type="cellIs" dxfId="2399" priority="265" operator="equal">
      <formula>0</formula>
    </cfRule>
    <cfRule type="cellIs" dxfId="2398" priority="266" operator="notEqual">
      <formula>0</formula>
    </cfRule>
  </conditionalFormatting>
  <conditionalFormatting sqref="AH59">
    <cfRule type="cellIs" dxfId="2397" priority="263" operator="equal">
      <formula>0</formula>
    </cfRule>
    <cfRule type="cellIs" dxfId="2396" priority="264" operator="notEqual">
      <formula>0</formula>
    </cfRule>
  </conditionalFormatting>
  <conditionalFormatting sqref="AH62">
    <cfRule type="cellIs" dxfId="2395" priority="261" operator="equal">
      <formula>0</formula>
    </cfRule>
    <cfRule type="cellIs" dxfId="2394" priority="262" operator="notEqual">
      <formula>0</formula>
    </cfRule>
  </conditionalFormatting>
  <conditionalFormatting sqref="AI59">
    <cfRule type="cellIs" dxfId="2393" priority="259" operator="equal">
      <formula>0</formula>
    </cfRule>
    <cfRule type="cellIs" dxfId="2392" priority="260" operator="notEqual">
      <formula>0</formula>
    </cfRule>
  </conditionalFormatting>
  <conditionalFormatting sqref="AI62">
    <cfRule type="cellIs" dxfId="2391" priority="257" operator="equal">
      <formula>0</formula>
    </cfRule>
    <cfRule type="cellIs" dxfId="2390" priority="258" operator="notEqual">
      <formula>0</formula>
    </cfRule>
  </conditionalFormatting>
  <conditionalFormatting sqref="AJ59">
    <cfRule type="cellIs" dxfId="2389" priority="255" operator="equal">
      <formula>0</formula>
    </cfRule>
    <cfRule type="cellIs" dxfId="2388" priority="256" operator="notEqual">
      <formula>0</formula>
    </cfRule>
  </conditionalFormatting>
  <conditionalFormatting sqref="AJ62">
    <cfRule type="cellIs" dxfId="2387" priority="253" operator="equal">
      <formula>0</formula>
    </cfRule>
    <cfRule type="cellIs" dxfId="2386" priority="254" operator="notEqual">
      <formula>0</formula>
    </cfRule>
  </conditionalFormatting>
  <conditionalFormatting sqref="U53:U54">
    <cfRule type="cellIs" dxfId="2385" priority="251" operator="equal">
      <formula>0</formula>
    </cfRule>
    <cfRule type="cellIs" dxfId="2384" priority="252" operator="notEqual">
      <formula>0</formula>
    </cfRule>
  </conditionalFormatting>
  <conditionalFormatting sqref="U52">
    <cfRule type="cellIs" dxfId="2383" priority="250" operator="equal">
      <formula>1</formula>
    </cfRule>
  </conditionalFormatting>
  <conditionalFormatting sqref="V53:V54">
    <cfRule type="cellIs" dxfId="2382" priority="248" operator="equal">
      <formula>0</formula>
    </cfRule>
    <cfRule type="cellIs" dxfId="2381" priority="249" operator="notEqual">
      <formula>0</formula>
    </cfRule>
  </conditionalFormatting>
  <conditionalFormatting sqref="V52">
    <cfRule type="cellIs" dxfId="2380" priority="247" operator="equal">
      <formula>1</formula>
    </cfRule>
  </conditionalFormatting>
  <conditionalFormatting sqref="W53:W54">
    <cfRule type="cellIs" dxfId="2379" priority="245" operator="equal">
      <formula>0</formula>
    </cfRule>
    <cfRule type="cellIs" dxfId="2378" priority="246" operator="notEqual">
      <formula>0</formula>
    </cfRule>
  </conditionalFormatting>
  <conditionalFormatting sqref="W52">
    <cfRule type="cellIs" dxfId="2377" priority="244" operator="equal">
      <formula>1</formula>
    </cfRule>
  </conditionalFormatting>
  <conditionalFormatting sqref="X53:X54">
    <cfRule type="cellIs" dxfId="2376" priority="242" operator="equal">
      <formula>0</formula>
    </cfRule>
    <cfRule type="cellIs" dxfId="2375" priority="243" operator="notEqual">
      <formula>0</formula>
    </cfRule>
  </conditionalFormatting>
  <conditionalFormatting sqref="X52">
    <cfRule type="cellIs" dxfId="2374" priority="241" operator="equal">
      <formula>1</formula>
    </cfRule>
  </conditionalFormatting>
  <conditionalFormatting sqref="Y53:Y54">
    <cfRule type="cellIs" dxfId="2373" priority="239" operator="equal">
      <formula>0</formula>
    </cfRule>
    <cfRule type="cellIs" dxfId="2372" priority="240" operator="notEqual">
      <formula>0</formula>
    </cfRule>
  </conditionalFormatting>
  <conditionalFormatting sqref="Z53:Z54">
    <cfRule type="cellIs" dxfId="2371" priority="237" operator="equal">
      <formula>0</formula>
    </cfRule>
    <cfRule type="cellIs" dxfId="2370" priority="238" operator="notEqual">
      <formula>0</formula>
    </cfRule>
  </conditionalFormatting>
  <conditionalFormatting sqref="AA53:AA54">
    <cfRule type="cellIs" dxfId="2369" priority="235" operator="equal">
      <formula>0</formula>
    </cfRule>
    <cfRule type="cellIs" dxfId="2368" priority="236" operator="notEqual">
      <formula>0</formula>
    </cfRule>
  </conditionalFormatting>
  <conditionalFormatting sqref="AB53:AB54">
    <cfRule type="cellIs" dxfId="2367" priority="233" operator="equal">
      <formula>0</formula>
    </cfRule>
    <cfRule type="cellIs" dxfId="2366" priority="234" operator="notEqual">
      <formula>0</formula>
    </cfRule>
  </conditionalFormatting>
  <conditionalFormatting sqref="AG52">
    <cfRule type="cellIs" dxfId="2365" priority="231" operator="equal">
      <formula>0</formula>
    </cfRule>
    <cfRule type="cellIs" dxfId="2364" priority="232" operator="notEqual">
      <formula>0</formula>
    </cfRule>
  </conditionalFormatting>
  <conditionalFormatting sqref="AG55">
    <cfRule type="cellIs" dxfId="2363" priority="229" operator="equal">
      <formula>0</formula>
    </cfRule>
    <cfRule type="cellIs" dxfId="2362" priority="230" operator="notEqual">
      <formula>0</formula>
    </cfRule>
  </conditionalFormatting>
  <conditionalFormatting sqref="AH52">
    <cfRule type="cellIs" dxfId="2361" priority="227" operator="equal">
      <formula>0</formula>
    </cfRule>
    <cfRule type="cellIs" dxfId="2360" priority="228" operator="notEqual">
      <formula>0</formula>
    </cfRule>
  </conditionalFormatting>
  <conditionalFormatting sqref="AH55">
    <cfRule type="cellIs" dxfId="2359" priority="225" operator="equal">
      <formula>0</formula>
    </cfRule>
    <cfRule type="cellIs" dxfId="2358" priority="226" operator="notEqual">
      <formula>0</formula>
    </cfRule>
  </conditionalFormatting>
  <conditionalFormatting sqref="AI52">
    <cfRule type="cellIs" dxfId="2357" priority="223" operator="equal">
      <formula>0</formula>
    </cfRule>
    <cfRule type="cellIs" dxfId="2356" priority="224" operator="notEqual">
      <formula>0</formula>
    </cfRule>
  </conditionalFormatting>
  <conditionalFormatting sqref="AI55">
    <cfRule type="cellIs" dxfId="2355" priority="221" operator="equal">
      <formula>0</formula>
    </cfRule>
    <cfRule type="cellIs" dxfId="2354" priority="222" operator="notEqual">
      <formula>0</formula>
    </cfRule>
  </conditionalFormatting>
  <conditionalFormatting sqref="AJ52">
    <cfRule type="cellIs" dxfId="2353" priority="219" operator="equal">
      <formula>0</formula>
    </cfRule>
    <cfRule type="cellIs" dxfId="2352" priority="220" operator="notEqual">
      <formula>0</formula>
    </cfRule>
  </conditionalFormatting>
  <conditionalFormatting sqref="AJ55">
    <cfRule type="cellIs" dxfId="2351" priority="217" operator="equal">
      <formula>0</formula>
    </cfRule>
    <cfRule type="cellIs" dxfId="2350" priority="218" operator="notEqual">
      <formula>0</formula>
    </cfRule>
  </conditionalFormatting>
  <conditionalFormatting sqref="U46:U47">
    <cfRule type="cellIs" dxfId="2349" priority="215" operator="equal">
      <formula>0</formula>
    </cfRule>
    <cfRule type="cellIs" dxfId="2348" priority="216" operator="notEqual">
      <formula>0</formula>
    </cfRule>
  </conditionalFormatting>
  <conditionalFormatting sqref="U45">
    <cfRule type="cellIs" dxfId="2347" priority="214" operator="equal">
      <formula>1</formula>
    </cfRule>
  </conditionalFormatting>
  <conditionalFormatting sqref="V46:V47">
    <cfRule type="cellIs" dxfId="2346" priority="212" operator="equal">
      <formula>0</formula>
    </cfRule>
    <cfRule type="cellIs" dxfId="2345" priority="213" operator="notEqual">
      <formula>0</formula>
    </cfRule>
  </conditionalFormatting>
  <conditionalFormatting sqref="V45">
    <cfRule type="cellIs" dxfId="2344" priority="211" operator="equal">
      <formula>1</formula>
    </cfRule>
  </conditionalFormatting>
  <conditionalFormatting sqref="W46:W47">
    <cfRule type="cellIs" dxfId="2343" priority="209" operator="equal">
      <formula>0</formula>
    </cfRule>
    <cfRule type="cellIs" dxfId="2342" priority="210" operator="notEqual">
      <formula>0</formula>
    </cfRule>
  </conditionalFormatting>
  <conditionalFormatting sqref="W45">
    <cfRule type="cellIs" dxfId="2341" priority="208" operator="equal">
      <formula>1</formula>
    </cfRule>
  </conditionalFormatting>
  <conditionalFormatting sqref="X46:X47">
    <cfRule type="cellIs" dxfId="2340" priority="206" operator="equal">
      <formula>0</formula>
    </cfRule>
    <cfRule type="cellIs" dxfId="2339" priority="207" operator="notEqual">
      <formula>0</formula>
    </cfRule>
  </conditionalFormatting>
  <conditionalFormatting sqref="X45">
    <cfRule type="cellIs" dxfId="2338" priority="205" operator="equal">
      <formula>1</formula>
    </cfRule>
  </conditionalFormatting>
  <conditionalFormatting sqref="Y46:Y47">
    <cfRule type="cellIs" dxfId="2337" priority="203" operator="equal">
      <formula>0</formula>
    </cfRule>
    <cfRule type="cellIs" dxfId="2336" priority="204" operator="notEqual">
      <formula>0</formula>
    </cfRule>
  </conditionalFormatting>
  <conditionalFormatting sqref="Z46:Z47">
    <cfRule type="cellIs" dxfId="2335" priority="201" operator="equal">
      <formula>0</formula>
    </cfRule>
    <cfRule type="cellIs" dxfId="2334" priority="202" operator="notEqual">
      <formula>0</formula>
    </cfRule>
  </conditionalFormatting>
  <conditionalFormatting sqref="AA46:AA47">
    <cfRule type="cellIs" dxfId="2333" priority="199" operator="equal">
      <formula>0</formula>
    </cfRule>
    <cfRule type="cellIs" dxfId="2332" priority="200" operator="notEqual">
      <formula>0</formula>
    </cfRule>
  </conditionalFormatting>
  <conditionalFormatting sqref="AB46:AB47">
    <cfRule type="cellIs" dxfId="2331" priority="197" operator="equal">
      <formula>0</formula>
    </cfRule>
    <cfRule type="cellIs" dxfId="2330" priority="198" operator="notEqual">
      <formula>0</formula>
    </cfRule>
  </conditionalFormatting>
  <conditionalFormatting sqref="AG45">
    <cfRule type="cellIs" dxfId="2329" priority="195" operator="equal">
      <formula>0</formula>
    </cfRule>
    <cfRule type="cellIs" dxfId="2328" priority="196" operator="notEqual">
      <formula>0</formula>
    </cfRule>
  </conditionalFormatting>
  <conditionalFormatting sqref="AG48">
    <cfRule type="cellIs" dxfId="2327" priority="193" operator="equal">
      <formula>0</formula>
    </cfRule>
    <cfRule type="cellIs" dxfId="2326" priority="194" operator="notEqual">
      <formula>0</formula>
    </cfRule>
  </conditionalFormatting>
  <conditionalFormatting sqref="AH45">
    <cfRule type="cellIs" dxfId="2325" priority="191" operator="equal">
      <formula>0</formula>
    </cfRule>
    <cfRule type="cellIs" dxfId="2324" priority="192" operator="notEqual">
      <formula>0</formula>
    </cfRule>
  </conditionalFormatting>
  <conditionalFormatting sqref="AH48">
    <cfRule type="cellIs" dxfId="2323" priority="189" operator="equal">
      <formula>0</formula>
    </cfRule>
    <cfRule type="cellIs" dxfId="2322" priority="190" operator="notEqual">
      <formula>0</formula>
    </cfRule>
  </conditionalFormatting>
  <conditionalFormatting sqref="AI45">
    <cfRule type="cellIs" dxfId="2321" priority="187" operator="equal">
      <formula>0</formula>
    </cfRule>
    <cfRule type="cellIs" dxfId="2320" priority="188" operator="notEqual">
      <formula>0</formula>
    </cfRule>
  </conditionalFormatting>
  <conditionalFormatting sqref="AI48">
    <cfRule type="cellIs" dxfId="2319" priority="185" operator="equal">
      <formula>0</formula>
    </cfRule>
    <cfRule type="cellIs" dxfId="2318" priority="186" operator="notEqual">
      <formula>0</formula>
    </cfRule>
  </conditionalFormatting>
  <conditionalFormatting sqref="AJ45">
    <cfRule type="cellIs" dxfId="2317" priority="183" operator="equal">
      <formula>0</formula>
    </cfRule>
    <cfRule type="cellIs" dxfId="2316" priority="184" operator="notEqual">
      <formula>0</formula>
    </cfRule>
  </conditionalFormatting>
  <conditionalFormatting sqref="AJ48">
    <cfRule type="cellIs" dxfId="2315" priority="181" operator="equal">
      <formula>0</formula>
    </cfRule>
    <cfRule type="cellIs" dxfId="2314" priority="182" operator="notEqual">
      <formula>0</formula>
    </cfRule>
  </conditionalFormatting>
  <conditionalFormatting sqref="U39:U40">
    <cfRule type="cellIs" dxfId="2313" priority="179" operator="equal">
      <formula>0</formula>
    </cfRule>
    <cfRule type="cellIs" dxfId="2312" priority="180" operator="notEqual">
      <formula>0</formula>
    </cfRule>
  </conditionalFormatting>
  <conditionalFormatting sqref="U38">
    <cfRule type="cellIs" dxfId="2311" priority="178" operator="equal">
      <formula>1</formula>
    </cfRule>
  </conditionalFormatting>
  <conditionalFormatting sqref="V39:V40">
    <cfRule type="cellIs" dxfId="2310" priority="176" operator="equal">
      <formula>0</formula>
    </cfRule>
    <cfRule type="cellIs" dxfId="2309" priority="177" operator="notEqual">
      <formula>0</formula>
    </cfRule>
  </conditionalFormatting>
  <conditionalFormatting sqref="V38">
    <cfRule type="cellIs" dxfId="2308" priority="175" operator="equal">
      <formula>1</formula>
    </cfRule>
  </conditionalFormatting>
  <conditionalFormatting sqref="W39:W40">
    <cfRule type="cellIs" dxfId="2307" priority="173" operator="equal">
      <formula>0</formula>
    </cfRule>
    <cfRule type="cellIs" dxfId="2306" priority="174" operator="notEqual">
      <formula>0</formula>
    </cfRule>
  </conditionalFormatting>
  <conditionalFormatting sqref="W38">
    <cfRule type="cellIs" dxfId="2305" priority="172" operator="equal">
      <formula>1</formula>
    </cfRule>
  </conditionalFormatting>
  <conditionalFormatting sqref="X39:X40">
    <cfRule type="cellIs" dxfId="2304" priority="170" operator="equal">
      <formula>0</formula>
    </cfRule>
    <cfRule type="cellIs" dxfId="2303" priority="171" operator="notEqual">
      <formula>0</formula>
    </cfRule>
  </conditionalFormatting>
  <conditionalFormatting sqref="X38">
    <cfRule type="cellIs" dxfId="2302" priority="169" operator="equal">
      <formula>1</formula>
    </cfRule>
  </conditionalFormatting>
  <conditionalFormatting sqref="Y39:Y40">
    <cfRule type="cellIs" dxfId="2301" priority="167" operator="equal">
      <formula>0</formula>
    </cfRule>
    <cfRule type="cellIs" dxfId="2300" priority="168" operator="notEqual">
      <formula>0</formula>
    </cfRule>
  </conditionalFormatting>
  <conditionalFormatting sqref="Z39:Z40">
    <cfRule type="cellIs" dxfId="2299" priority="165" operator="equal">
      <formula>0</formula>
    </cfRule>
    <cfRule type="cellIs" dxfId="2298" priority="166" operator="notEqual">
      <formula>0</formula>
    </cfRule>
  </conditionalFormatting>
  <conditionalFormatting sqref="AA39:AA40">
    <cfRule type="cellIs" dxfId="2297" priority="163" operator="equal">
      <formula>0</formula>
    </cfRule>
    <cfRule type="cellIs" dxfId="2296" priority="164" operator="notEqual">
      <formula>0</formula>
    </cfRule>
  </conditionalFormatting>
  <conditionalFormatting sqref="AB39:AB40">
    <cfRule type="cellIs" dxfId="2295" priority="161" operator="equal">
      <formula>0</formula>
    </cfRule>
    <cfRule type="cellIs" dxfId="2294" priority="162" operator="notEqual">
      <formula>0</formula>
    </cfRule>
  </conditionalFormatting>
  <conditionalFormatting sqref="AG38">
    <cfRule type="cellIs" dxfId="2293" priority="159" operator="equal">
      <formula>0</formula>
    </cfRule>
    <cfRule type="cellIs" dxfId="2292" priority="160" operator="notEqual">
      <formula>0</formula>
    </cfRule>
  </conditionalFormatting>
  <conditionalFormatting sqref="AG41">
    <cfRule type="cellIs" dxfId="2291" priority="157" operator="equal">
      <formula>0</formula>
    </cfRule>
    <cfRule type="cellIs" dxfId="2290" priority="158" operator="notEqual">
      <formula>0</formula>
    </cfRule>
  </conditionalFormatting>
  <conditionalFormatting sqref="AH38">
    <cfRule type="cellIs" dxfId="2289" priority="155" operator="equal">
      <formula>0</formula>
    </cfRule>
    <cfRule type="cellIs" dxfId="2288" priority="156" operator="notEqual">
      <formula>0</formula>
    </cfRule>
  </conditionalFormatting>
  <conditionalFormatting sqref="AH41">
    <cfRule type="cellIs" dxfId="2287" priority="153" operator="equal">
      <formula>0</formula>
    </cfRule>
    <cfRule type="cellIs" dxfId="2286" priority="154" operator="notEqual">
      <formula>0</formula>
    </cfRule>
  </conditionalFormatting>
  <conditionalFormatting sqref="AI38">
    <cfRule type="cellIs" dxfId="2285" priority="151" operator="equal">
      <formula>0</formula>
    </cfRule>
    <cfRule type="cellIs" dxfId="2284" priority="152" operator="notEqual">
      <formula>0</formula>
    </cfRule>
  </conditionalFormatting>
  <conditionalFormatting sqref="AI41">
    <cfRule type="cellIs" dxfId="2283" priority="149" operator="equal">
      <formula>0</formula>
    </cfRule>
    <cfRule type="cellIs" dxfId="2282" priority="150" operator="notEqual">
      <formula>0</formula>
    </cfRule>
  </conditionalFormatting>
  <conditionalFormatting sqref="AJ38">
    <cfRule type="cellIs" dxfId="2281" priority="147" operator="equal">
      <formula>0</formula>
    </cfRule>
    <cfRule type="cellIs" dxfId="2280" priority="148" operator="notEqual">
      <formula>0</formula>
    </cfRule>
  </conditionalFormatting>
  <conditionalFormatting sqref="AJ41">
    <cfRule type="cellIs" dxfId="2279" priority="145" operator="equal">
      <formula>0</formula>
    </cfRule>
    <cfRule type="cellIs" dxfId="2278" priority="146" operator="notEqual">
      <formula>0</formula>
    </cfRule>
  </conditionalFormatting>
  <conditionalFormatting sqref="U32:U33">
    <cfRule type="cellIs" dxfId="2277" priority="143" operator="equal">
      <formula>0</formula>
    </cfRule>
    <cfRule type="cellIs" dxfId="2276" priority="144" operator="notEqual">
      <formula>0</formula>
    </cfRule>
  </conditionalFormatting>
  <conditionalFormatting sqref="U31">
    <cfRule type="cellIs" dxfId="2275" priority="142" operator="equal">
      <formula>1</formula>
    </cfRule>
  </conditionalFormatting>
  <conditionalFormatting sqref="V32:V33">
    <cfRule type="cellIs" dxfId="2274" priority="140" operator="equal">
      <formula>0</formula>
    </cfRule>
    <cfRule type="cellIs" dxfId="2273" priority="141" operator="notEqual">
      <formula>0</formula>
    </cfRule>
  </conditionalFormatting>
  <conditionalFormatting sqref="V31">
    <cfRule type="cellIs" dxfId="2272" priority="139" operator="equal">
      <formula>1</formula>
    </cfRule>
  </conditionalFormatting>
  <conditionalFormatting sqref="W32:W33">
    <cfRule type="cellIs" dxfId="2271" priority="137" operator="equal">
      <formula>0</formula>
    </cfRule>
    <cfRule type="cellIs" dxfId="2270" priority="138" operator="notEqual">
      <formula>0</formula>
    </cfRule>
  </conditionalFormatting>
  <conditionalFormatting sqref="W31">
    <cfRule type="cellIs" dxfId="2269" priority="136" operator="equal">
      <formula>1</formula>
    </cfRule>
  </conditionalFormatting>
  <conditionalFormatting sqref="X32:X33">
    <cfRule type="cellIs" dxfId="2268" priority="134" operator="equal">
      <formula>0</formula>
    </cfRule>
    <cfRule type="cellIs" dxfId="2267" priority="135" operator="notEqual">
      <formula>0</formula>
    </cfRule>
  </conditionalFormatting>
  <conditionalFormatting sqref="X31">
    <cfRule type="cellIs" dxfId="2266" priority="133" operator="equal">
      <formula>1</formula>
    </cfRule>
  </conditionalFormatting>
  <conditionalFormatting sqref="Y32:Y33">
    <cfRule type="cellIs" dxfId="2265" priority="131" operator="equal">
      <formula>0</formula>
    </cfRule>
    <cfRule type="cellIs" dxfId="2264" priority="132" operator="notEqual">
      <formula>0</formula>
    </cfRule>
  </conditionalFormatting>
  <conditionalFormatting sqref="Z32:Z33">
    <cfRule type="cellIs" dxfId="2263" priority="129" operator="equal">
      <formula>0</formula>
    </cfRule>
    <cfRule type="cellIs" dxfId="2262" priority="130" operator="notEqual">
      <formula>0</formula>
    </cfRule>
  </conditionalFormatting>
  <conditionalFormatting sqref="AA32:AA33">
    <cfRule type="cellIs" dxfId="2261" priority="127" operator="equal">
      <formula>0</formula>
    </cfRule>
    <cfRule type="cellIs" dxfId="2260" priority="128" operator="notEqual">
      <formula>0</formula>
    </cfRule>
  </conditionalFormatting>
  <conditionalFormatting sqref="AB32:AB33">
    <cfRule type="cellIs" dxfId="2259" priority="125" operator="equal">
      <formula>0</formula>
    </cfRule>
    <cfRule type="cellIs" dxfId="2258" priority="126" operator="notEqual">
      <formula>0</formula>
    </cfRule>
  </conditionalFormatting>
  <conditionalFormatting sqref="AG31">
    <cfRule type="cellIs" dxfId="2257" priority="123" operator="equal">
      <formula>0</formula>
    </cfRule>
    <cfRule type="cellIs" dxfId="2256" priority="124" operator="notEqual">
      <formula>0</formula>
    </cfRule>
  </conditionalFormatting>
  <conditionalFormatting sqref="AG34">
    <cfRule type="cellIs" dxfId="2255" priority="121" operator="equal">
      <formula>0</formula>
    </cfRule>
    <cfRule type="cellIs" dxfId="2254" priority="122" operator="notEqual">
      <formula>0</formula>
    </cfRule>
  </conditionalFormatting>
  <conditionalFormatting sqref="AH31">
    <cfRule type="cellIs" dxfId="2253" priority="119" operator="equal">
      <formula>0</formula>
    </cfRule>
    <cfRule type="cellIs" dxfId="2252" priority="120" operator="notEqual">
      <formula>0</formula>
    </cfRule>
  </conditionalFormatting>
  <conditionalFormatting sqref="AH34">
    <cfRule type="cellIs" dxfId="2251" priority="117" operator="equal">
      <formula>0</formula>
    </cfRule>
    <cfRule type="cellIs" dxfId="2250" priority="118" operator="notEqual">
      <formula>0</formula>
    </cfRule>
  </conditionalFormatting>
  <conditionalFormatting sqref="AI31">
    <cfRule type="cellIs" dxfId="2249" priority="115" operator="equal">
      <formula>0</formula>
    </cfRule>
    <cfRule type="cellIs" dxfId="2248" priority="116" operator="notEqual">
      <formula>0</formula>
    </cfRule>
  </conditionalFormatting>
  <conditionalFormatting sqref="AI34">
    <cfRule type="cellIs" dxfId="2247" priority="113" operator="equal">
      <formula>0</formula>
    </cfRule>
    <cfRule type="cellIs" dxfId="2246" priority="114" operator="notEqual">
      <formula>0</formula>
    </cfRule>
  </conditionalFormatting>
  <conditionalFormatting sqref="AJ31">
    <cfRule type="cellIs" dxfId="2245" priority="111" operator="equal">
      <formula>0</formula>
    </cfRule>
    <cfRule type="cellIs" dxfId="2244" priority="112" operator="notEqual">
      <formula>0</formula>
    </cfRule>
  </conditionalFormatting>
  <conditionalFormatting sqref="AJ34">
    <cfRule type="cellIs" dxfId="2243" priority="109" operator="equal">
      <formula>0</formula>
    </cfRule>
    <cfRule type="cellIs" dxfId="2242" priority="110" operator="notEqual">
      <formula>0</formula>
    </cfRule>
  </conditionalFormatting>
  <conditionalFormatting sqref="U25:U26">
    <cfRule type="cellIs" dxfId="2241" priority="107" operator="equal">
      <formula>0</formula>
    </cfRule>
    <cfRule type="cellIs" dxfId="2240" priority="108" operator="notEqual">
      <formula>0</formula>
    </cfRule>
  </conditionalFormatting>
  <conditionalFormatting sqref="U24">
    <cfRule type="cellIs" dxfId="2239" priority="106" operator="equal">
      <formula>1</formula>
    </cfRule>
  </conditionalFormatting>
  <conditionalFormatting sqref="V25:V26">
    <cfRule type="cellIs" dxfId="2238" priority="104" operator="equal">
      <formula>0</formula>
    </cfRule>
    <cfRule type="cellIs" dxfId="2237" priority="105" operator="notEqual">
      <formula>0</formula>
    </cfRule>
  </conditionalFormatting>
  <conditionalFormatting sqref="V24">
    <cfRule type="cellIs" dxfId="2236" priority="103" operator="equal">
      <formula>1</formula>
    </cfRule>
  </conditionalFormatting>
  <conditionalFormatting sqref="W25:W26">
    <cfRule type="cellIs" dxfId="2235" priority="101" operator="equal">
      <formula>0</formula>
    </cfRule>
    <cfRule type="cellIs" dxfId="2234" priority="102" operator="notEqual">
      <formula>0</formula>
    </cfRule>
  </conditionalFormatting>
  <conditionalFormatting sqref="W24">
    <cfRule type="cellIs" dxfId="2233" priority="100" operator="equal">
      <formula>1</formula>
    </cfRule>
  </conditionalFormatting>
  <conditionalFormatting sqref="X25:X26">
    <cfRule type="cellIs" dxfId="2232" priority="98" operator="equal">
      <formula>0</formula>
    </cfRule>
    <cfRule type="cellIs" dxfId="2231" priority="99" operator="notEqual">
      <formula>0</formula>
    </cfRule>
  </conditionalFormatting>
  <conditionalFormatting sqref="X24">
    <cfRule type="cellIs" dxfId="2230" priority="97" operator="equal">
      <formula>1</formula>
    </cfRule>
  </conditionalFormatting>
  <conditionalFormatting sqref="Y25:Y26">
    <cfRule type="cellIs" dxfId="2229" priority="95" operator="equal">
      <formula>0</formula>
    </cfRule>
    <cfRule type="cellIs" dxfId="2228" priority="96" operator="notEqual">
      <formula>0</formula>
    </cfRule>
  </conditionalFormatting>
  <conditionalFormatting sqref="Z25:Z26">
    <cfRule type="cellIs" dxfId="2227" priority="93" operator="equal">
      <formula>0</formula>
    </cfRule>
    <cfRule type="cellIs" dxfId="2226" priority="94" operator="notEqual">
      <formula>0</formula>
    </cfRule>
  </conditionalFormatting>
  <conditionalFormatting sqref="AA25:AA26">
    <cfRule type="cellIs" dxfId="2225" priority="91" operator="equal">
      <formula>0</formula>
    </cfRule>
    <cfRule type="cellIs" dxfId="2224" priority="92" operator="notEqual">
      <formula>0</formula>
    </cfRule>
  </conditionalFormatting>
  <conditionalFormatting sqref="AB25:AB26">
    <cfRule type="cellIs" dxfId="2223" priority="89" operator="equal">
      <formula>0</formula>
    </cfRule>
    <cfRule type="cellIs" dxfId="2222" priority="90" operator="notEqual">
      <formula>0</formula>
    </cfRule>
  </conditionalFormatting>
  <conditionalFormatting sqref="AG24">
    <cfRule type="cellIs" dxfId="2221" priority="87" operator="equal">
      <formula>0</formula>
    </cfRule>
    <cfRule type="cellIs" dxfId="2220" priority="88" operator="notEqual">
      <formula>0</formula>
    </cfRule>
  </conditionalFormatting>
  <conditionalFormatting sqref="AG27">
    <cfRule type="cellIs" dxfId="2219" priority="85" operator="equal">
      <formula>0</formula>
    </cfRule>
    <cfRule type="cellIs" dxfId="2218" priority="86" operator="notEqual">
      <formula>0</formula>
    </cfRule>
  </conditionalFormatting>
  <conditionalFormatting sqref="AH24">
    <cfRule type="cellIs" dxfId="2217" priority="83" operator="equal">
      <formula>0</formula>
    </cfRule>
    <cfRule type="cellIs" dxfId="2216" priority="84" operator="notEqual">
      <formula>0</formula>
    </cfRule>
  </conditionalFormatting>
  <conditionalFormatting sqref="AH27">
    <cfRule type="cellIs" dxfId="2215" priority="81" operator="equal">
      <formula>0</formula>
    </cfRule>
    <cfRule type="cellIs" dxfId="2214" priority="82" operator="notEqual">
      <formula>0</formula>
    </cfRule>
  </conditionalFormatting>
  <conditionalFormatting sqref="AI24">
    <cfRule type="cellIs" dxfId="2213" priority="79" operator="equal">
      <formula>0</formula>
    </cfRule>
    <cfRule type="cellIs" dxfId="2212" priority="80" operator="notEqual">
      <formula>0</formula>
    </cfRule>
  </conditionalFormatting>
  <conditionalFormatting sqref="AI27">
    <cfRule type="cellIs" dxfId="2211" priority="77" operator="equal">
      <formula>0</formula>
    </cfRule>
    <cfRule type="cellIs" dxfId="2210" priority="78" operator="notEqual">
      <formula>0</formula>
    </cfRule>
  </conditionalFormatting>
  <conditionalFormatting sqref="AJ24">
    <cfRule type="cellIs" dxfId="2209" priority="75" operator="equal">
      <formula>0</formula>
    </cfRule>
    <cfRule type="cellIs" dxfId="2208" priority="76" operator="notEqual">
      <formula>0</formula>
    </cfRule>
  </conditionalFormatting>
  <conditionalFormatting sqref="AJ27">
    <cfRule type="cellIs" dxfId="2207" priority="73" operator="equal">
      <formula>0</formula>
    </cfRule>
    <cfRule type="cellIs" dxfId="2206" priority="74" operator="notEqual">
      <formula>0</formula>
    </cfRule>
  </conditionalFormatting>
  <conditionalFormatting sqref="U18:U19">
    <cfRule type="cellIs" dxfId="2205" priority="71" operator="equal">
      <formula>0</formula>
    </cfRule>
    <cfRule type="cellIs" dxfId="2204" priority="72" operator="notEqual">
      <formula>0</formula>
    </cfRule>
  </conditionalFormatting>
  <conditionalFormatting sqref="U17">
    <cfRule type="cellIs" dxfId="2203" priority="70" operator="equal">
      <formula>1</formula>
    </cfRule>
  </conditionalFormatting>
  <conditionalFormatting sqref="V18:V19">
    <cfRule type="cellIs" dxfId="2202" priority="68" operator="equal">
      <formula>0</formula>
    </cfRule>
    <cfRule type="cellIs" dxfId="2201" priority="69" operator="notEqual">
      <formula>0</formula>
    </cfRule>
  </conditionalFormatting>
  <conditionalFormatting sqref="V17">
    <cfRule type="cellIs" dxfId="2200" priority="67" operator="equal">
      <formula>1</formula>
    </cfRule>
  </conditionalFormatting>
  <conditionalFormatting sqref="W18:W19">
    <cfRule type="cellIs" dxfId="2199" priority="65" operator="equal">
      <formula>0</formula>
    </cfRule>
    <cfRule type="cellIs" dxfId="2198" priority="66" operator="notEqual">
      <formula>0</formula>
    </cfRule>
  </conditionalFormatting>
  <conditionalFormatting sqref="W17">
    <cfRule type="cellIs" dxfId="2197" priority="64" operator="equal">
      <formula>1</formula>
    </cfRule>
  </conditionalFormatting>
  <conditionalFormatting sqref="X18:X19">
    <cfRule type="cellIs" dxfId="2196" priority="62" operator="equal">
      <formula>0</formula>
    </cfRule>
    <cfRule type="cellIs" dxfId="2195" priority="63" operator="notEqual">
      <formula>0</formula>
    </cfRule>
  </conditionalFormatting>
  <conditionalFormatting sqref="X17">
    <cfRule type="cellIs" dxfId="2194" priority="61" operator="equal">
      <formula>1</formula>
    </cfRule>
  </conditionalFormatting>
  <conditionalFormatting sqref="Y18:Y19">
    <cfRule type="cellIs" dxfId="2193" priority="59" operator="equal">
      <formula>0</formula>
    </cfRule>
    <cfRule type="cellIs" dxfId="2192" priority="60" operator="notEqual">
      <formula>0</formula>
    </cfRule>
  </conditionalFormatting>
  <conditionalFormatting sqref="Z18:Z19">
    <cfRule type="cellIs" dxfId="2191" priority="57" operator="equal">
      <formula>0</formula>
    </cfRule>
    <cfRule type="cellIs" dxfId="2190" priority="58" operator="notEqual">
      <formula>0</formula>
    </cfRule>
  </conditionalFormatting>
  <conditionalFormatting sqref="AA18:AA19">
    <cfRule type="cellIs" dxfId="2189" priority="55" operator="equal">
      <formula>0</formula>
    </cfRule>
    <cfRule type="cellIs" dxfId="2188" priority="56" operator="notEqual">
      <formula>0</formula>
    </cfRule>
  </conditionalFormatting>
  <conditionalFormatting sqref="AB18:AB19">
    <cfRule type="cellIs" dxfId="2187" priority="53" operator="equal">
      <formula>0</formula>
    </cfRule>
    <cfRule type="cellIs" dxfId="2186" priority="54" operator="notEqual">
      <formula>0</formula>
    </cfRule>
  </conditionalFormatting>
  <conditionalFormatting sqref="AG17">
    <cfRule type="cellIs" dxfId="2185" priority="51" operator="equal">
      <formula>0</formula>
    </cfRule>
    <cfRule type="cellIs" dxfId="2184" priority="52" operator="notEqual">
      <formula>0</formula>
    </cfRule>
  </conditionalFormatting>
  <conditionalFormatting sqref="AG20">
    <cfRule type="cellIs" dxfId="2183" priority="49" operator="equal">
      <formula>0</formula>
    </cfRule>
    <cfRule type="cellIs" dxfId="2182" priority="50" operator="notEqual">
      <formula>0</formula>
    </cfRule>
  </conditionalFormatting>
  <conditionalFormatting sqref="AH17">
    <cfRule type="cellIs" dxfId="2181" priority="47" operator="equal">
      <formula>0</formula>
    </cfRule>
    <cfRule type="cellIs" dxfId="2180" priority="48" operator="notEqual">
      <formula>0</formula>
    </cfRule>
  </conditionalFormatting>
  <conditionalFormatting sqref="AH20">
    <cfRule type="cellIs" dxfId="2179" priority="45" operator="equal">
      <formula>0</formula>
    </cfRule>
    <cfRule type="cellIs" dxfId="2178" priority="46" operator="notEqual">
      <formula>0</formula>
    </cfRule>
  </conditionalFormatting>
  <conditionalFormatting sqref="AI17">
    <cfRule type="cellIs" dxfId="2177" priority="43" operator="equal">
      <formula>0</formula>
    </cfRule>
    <cfRule type="cellIs" dxfId="2176" priority="44" operator="notEqual">
      <formula>0</formula>
    </cfRule>
  </conditionalFormatting>
  <conditionalFormatting sqref="AI20">
    <cfRule type="cellIs" dxfId="2175" priority="41" operator="equal">
      <formula>0</formula>
    </cfRule>
    <cfRule type="cellIs" dxfId="2174" priority="42" operator="notEqual">
      <formula>0</formula>
    </cfRule>
  </conditionalFormatting>
  <conditionalFormatting sqref="AJ17">
    <cfRule type="cellIs" dxfId="2173" priority="39" operator="equal">
      <formula>0</formula>
    </cfRule>
    <cfRule type="cellIs" dxfId="2172" priority="40" operator="notEqual">
      <formula>0</formula>
    </cfRule>
  </conditionalFormatting>
  <conditionalFormatting sqref="AJ20">
    <cfRule type="cellIs" dxfId="2171" priority="37" operator="equal">
      <formula>0</formula>
    </cfRule>
    <cfRule type="cellIs" dxfId="2170" priority="38" operator="notEqual">
      <formula>0</formula>
    </cfRule>
  </conditionalFormatting>
  <conditionalFormatting sqref="U11:U12">
    <cfRule type="cellIs" dxfId="2169" priority="35" operator="equal">
      <formula>0</formula>
    </cfRule>
    <cfRule type="cellIs" dxfId="2168" priority="36" operator="notEqual">
      <formula>0</formula>
    </cfRule>
  </conditionalFormatting>
  <conditionalFormatting sqref="U10">
    <cfRule type="cellIs" dxfId="2167" priority="34" operator="equal">
      <formula>1</formula>
    </cfRule>
  </conditionalFormatting>
  <conditionalFormatting sqref="V11:V12">
    <cfRule type="cellIs" dxfId="2166" priority="32" operator="equal">
      <formula>0</formula>
    </cfRule>
    <cfRule type="cellIs" dxfId="2165" priority="33" operator="notEqual">
      <formula>0</formula>
    </cfRule>
  </conditionalFormatting>
  <conditionalFormatting sqref="V10">
    <cfRule type="cellIs" dxfId="2164" priority="31" operator="equal">
      <formula>1</formula>
    </cfRule>
  </conditionalFormatting>
  <conditionalFormatting sqref="W11:W12">
    <cfRule type="cellIs" dxfId="2163" priority="29" operator="equal">
      <formula>0</formula>
    </cfRule>
    <cfRule type="cellIs" dxfId="2162" priority="30" operator="notEqual">
      <formula>0</formula>
    </cfRule>
  </conditionalFormatting>
  <conditionalFormatting sqref="W10">
    <cfRule type="cellIs" dxfId="2161" priority="28" operator="equal">
      <formula>1</formula>
    </cfRule>
  </conditionalFormatting>
  <conditionalFormatting sqref="X11:X12">
    <cfRule type="cellIs" dxfId="2160" priority="26" operator="equal">
      <formula>0</formula>
    </cfRule>
    <cfRule type="cellIs" dxfId="2159" priority="27" operator="notEqual">
      <formula>0</formula>
    </cfRule>
  </conditionalFormatting>
  <conditionalFormatting sqref="X10">
    <cfRule type="cellIs" dxfId="2158" priority="25" operator="equal">
      <formula>1</formula>
    </cfRule>
  </conditionalFormatting>
  <conditionalFormatting sqref="Y11:Y12">
    <cfRule type="cellIs" dxfId="2157" priority="23" operator="equal">
      <formula>0</formula>
    </cfRule>
    <cfRule type="cellIs" dxfId="2156" priority="24" operator="notEqual">
      <formula>0</formula>
    </cfRule>
  </conditionalFormatting>
  <conditionalFormatting sqref="Z11:Z12">
    <cfRule type="cellIs" dxfId="2155" priority="21" operator="equal">
      <formula>0</formula>
    </cfRule>
    <cfRule type="cellIs" dxfId="2154" priority="22" operator="notEqual">
      <formula>0</formula>
    </cfRule>
  </conditionalFormatting>
  <conditionalFormatting sqref="AA11:AA12">
    <cfRule type="cellIs" dxfId="2153" priority="19" operator="equal">
      <formula>0</formula>
    </cfRule>
    <cfRule type="cellIs" dxfId="2152" priority="20" operator="notEqual">
      <formula>0</formula>
    </cfRule>
  </conditionalFormatting>
  <conditionalFormatting sqref="AB11:AB12">
    <cfRule type="cellIs" dxfId="2151" priority="17" operator="equal">
      <formula>0</formula>
    </cfRule>
    <cfRule type="cellIs" dxfId="2150" priority="18" operator="notEqual">
      <formula>0</formula>
    </cfRule>
  </conditionalFormatting>
  <conditionalFormatting sqref="AG10">
    <cfRule type="cellIs" dxfId="2149" priority="15" operator="equal">
      <formula>0</formula>
    </cfRule>
    <cfRule type="cellIs" dxfId="2148" priority="16" operator="notEqual">
      <formula>0</formula>
    </cfRule>
  </conditionalFormatting>
  <conditionalFormatting sqref="AG13">
    <cfRule type="cellIs" dxfId="2147" priority="13" operator="equal">
      <formula>0</formula>
    </cfRule>
    <cfRule type="cellIs" dxfId="2146" priority="14" operator="notEqual">
      <formula>0</formula>
    </cfRule>
  </conditionalFormatting>
  <conditionalFormatting sqref="AH10">
    <cfRule type="cellIs" dxfId="2145" priority="11" operator="equal">
      <formula>0</formula>
    </cfRule>
    <cfRule type="cellIs" dxfId="2144" priority="12" operator="notEqual">
      <formula>0</formula>
    </cfRule>
  </conditionalFormatting>
  <conditionalFormatting sqref="AH13">
    <cfRule type="cellIs" dxfId="2143" priority="9" operator="equal">
      <formula>0</formula>
    </cfRule>
    <cfRule type="cellIs" dxfId="2142" priority="10" operator="notEqual">
      <formula>0</formula>
    </cfRule>
  </conditionalFormatting>
  <conditionalFormatting sqref="AI10">
    <cfRule type="cellIs" dxfId="2141" priority="7" operator="equal">
      <formula>0</formula>
    </cfRule>
    <cfRule type="cellIs" dxfId="2140" priority="8" operator="notEqual">
      <formula>0</formula>
    </cfRule>
  </conditionalFormatting>
  <conditionalFormatting sqref="AI13">
    <cfRule type="cellIs" dxfId="2139" priority="5" operator="equal">
      <formula>0</formula>
    </cfRule>
    <cfRule type="cellIs" dxfId="2138" priority="6" operator="notEqual">
      <formula>0</formula>
    </cfRule>
  </conditionalFormatting>
  <conditionalFormatting sqref="AJ10">
    <cfRule type="cellIs" dxfId="2137" priority="3" operator="equal">
      <formula>0</formula>
    </cfRule>
    <cfRule type="cellIs" dxfId="2136" priority="4" operator="notEqual">
      <formula>0</formula>
    </cfRule>
  </conditionalFormatting>
  <conditionalFormatting sqref="AJ13">
    <cfRule type="cellIs" dxfId="2135" priority="1" operator="equal">
      <formula>0</formula>
    </cfRule>
    <cfRule type="cellIs" dxfId="2134" priority="2" operator="notEqual">
      <formula>0</formula>
    </cfRule>
  </conditionalFormatting>
  <dataValidations count="1">
    <dataValidation type="list" allowBlank="1" showInputMessage="1" showErrorMessage="1" sqref="B5" xr:uid="{B74D4E8E-22CB-44F5-A85F-8D6EF869C152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5"/>
  <dimension ref="A1:AX76"/>
  <sheetViews>
    <sheetView showGridLines="0" zoomScale="50" zoomScaleNormal="50" workbookViewId="0">
      <selection activeCell="A22" sqref="A22"/>
    </sheetView>
  </sheetViews>
  <sheetFormatPr baseColWidth="10" defaultColWidth="9.1640625" defaultRowHeight="14" x14ac:dyDescent="0.15"/>
  <cols>
    <col min="1" max="1" width="1.5" customWidth="1"/>
    <col min="2" max="2" width="36.1640625" customWidth="1"/>
    <col min="20" max="20" width="33" customWidth="1"/>
  </cols>
  <sheetData>
    <row r="1" spans="1:50" ht="66" customHeight="1" x14ac:dyDescent="0.35">
      <c r="A1" s="349" t="s">
        <v>1261</v>
      </c>
      <c r="B1" s="349"/>
      <c r="C1" s="349"/>
      <c r="D1" s="349"/>
      <c r="E1" s="349"/>
      <c r="F1" s="349"/>
      <c r="G1" s="349"/>
      <c r="H1" s="349"/>
      <c r="I1" s="349"/>
      <c r="J1" s="349"/>
      <c r="K1" s="349"/>
      <c r="L1" s="349"/>
      <c r="M1" s="349"/>
      <c r="N1" s="349"/>
      <c r="O1" s="349"/>
      <c r="P1" s="349"/>
      <c r="Q1" s="349"/>
      <c r="R1" s="349"/>
      <c r="S1" s="349"/>
      <c r="T1" s="349"/>
      <c r="U1" s="349"/>
      <c r="V1" s="349"/>
      <c r="W1" s="349"/>
      <c r="X1" s="349"/>
      <c r="Y1" s="349"/>
      <c r="Z1" s="349"/>
      <c r="AA1" s="349"/>
      <c r="AB1" s="349"/>
      <c r="AC1" s="349"/>
      <c r="AD1" s="349"/>
      <c r="AE1" s="349"/>
      <c r="AF1" s="349"/>
      <c r="AG1" s="349"/>
      <c r="AH1" s="349"/>
      <c r="AI1" s="349"/>
      <c r="AJ1" s="349"/>
      <c r="AK1" s="349"/>
      <c r="AL1" s="349"/>
      <c r="AM1" s="349"/>
      <c r="AN1" s="349"/>
      <c r="AO1" s="349"/>
      <c r="AP1" s="349"/>
      <c r="AQ1" s="349"/>
      <c r="AR1" s="349"/>
      <c r="AS1" s="349"/>
      <c r="AT1" s="349"/>
      <c r="AU1" s="349"/>
      <c r="AV1" s="349"/>
      <c r="AW1" s="349"/>
      <c r="AX1" s="349"/>
    </row>
    <row r="2" spans="1:50" ht="53.25" customHeight="1" x14ac:dyDescent="0.15">
      <c r="A2" s="348"/>
      <c r="B2" s="348"/>
      <c r="C2" s="348"/>
      <c r="D2" s="348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348"/>
      <c r="P2" s="348"/>
      <c r="Q2" s="348"/>
      <c r="R2" s="348"/>
      <c r="S2" s="348"/>
      <c r="T2" s="348"/>
      <c r="U2" s="348"/>
      <c r="V2" s="348"/>
      <c r="W2" s="348"/>
      <c r="X2" s="348"/>
      <c r="Y2" s="348"/>
      <c r="Z2" s="348"/>
      <c r="AA2" s="348"/>
      <c r="AB2" s="348"/>
      <c r="AC2" s="348"/>
      <c r="AD2" s="348"/>
      <c r="AE2" s="348"/>
      <c r="AF2" s="348"/>
      <c r="AG2" s="348"/>
      <c r="AH2" s="348"/>
      <c r="AI2" s="348"/>
      <c r="AJ2" s="348"/>
      <c r="AK2" s="348"/>
      <c r="AL2" s="348"/>
      <c r="AM2" s="348"/>
      <c r="AN2" s="348"/>
      <c r="AO2" s="348"/>
      <c r="AP2" s="348"/>
      <c r="AQ2" s="348"/>
      <c r="AR2" s="348"/>
      <c r="AS2" s="348"/>
      <c r="AT2" s="348"/>
      <c r="AU2" s="348"/>
      <c r="AV2" s="348"/>
      <c r="AW2" s="348"/>
      <c r="AX2" s="348"/>
    </row>
    <row r="3" spans="1:50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</row>
    <row r="4" spans="1:50" ht="30" x14ac:dyDescent="0.15">
      <c r="B4" s="40" t="s">
        <v>1133</v>
      </c>
    </row>
    <row r="5" spans="1:50" ht="15" x14ac:dyDescent="0.15">
      <c r="B5" s="61" t="s">
        <v>22</v>
      </c>
      <c r="P5" s="44"/>
      <c r="Q5" s="44"/>
    </row>
    <row r="6" spans="1:50" x14ac:dyDescent="0.15">
      <c r="B6" s="53"/>
    </row>
    <row r="8" spans="1:50" ht="28.5" customHeight="1" x14ac:dyDescent="0.15">
      <c r="B8" s="162" t="str">
        <f>HLOOKUP($B$5,Region_Table,2,0)</f>
        <v>Accredited Programmes and Structured Interventions - N07</v>
      </c>
      <c r="C8" s="333" t="s">
        <v>1262</v>
      </c>
      <c r="D8" s="334"/>
      <c r="E8" s="334"/>
      <c r="F8" s="334"/>
      <c r="G8" s="334"/>
      <c r="H8" s="334"/>
      <c r="I8" s="334"/>
      <c r="J8" s="334"/>
      <c r="K8" s="334"/>
      <c r="L8" s="334"/>
      <c r="M8" s="343"/>
      <c r="N8" s="343"/>
      <c r="O8" s="344"/>
      <c r="P8" s="337">
        <f>SUMIFS('caseload data'!V:V,'caseload data'!B:B,"custody",'caseload data'!C:C,'custody caseload'!B8)</f>
        <v>0</v>
      </c>
      <c r="Q8" s="345"/>
      <c r="R8" s="346"/>
      <c r="S8" s="76"/>
      <c r="T8" s="162" t="str">
        <f>HLOOKUP($B$5,Region_Table,3,0)</f>
        <v>All London</v>
      </c>
      <c r="U8" s="333" t="s">
        <v>1262</v>
      </c>
      <c r="V8" s="334"/>
      <c r="W8" s="334"/>
      <c r="X8" s="334"/>
      <c r="Y8" s="334"/>
      <c r="Z8" s="334"/>
      <c r="AA8" s="334"/>
      <c r="AB8" s="334"/>
      <c r="AC8" s="334"/>
      <c r="AD8" s="334"/>
      <c r="AE8" s="343"/>
      <c r="AF8" s="343"/>
      <c r="AG8" s="344"/>
      <c r="AH8" s="337">
        <f>SUMIFS('caseload data'!V:V,'caseload data'!B:B,"custody",'caseload data'!C:C,'custody caseload'!T8)</f>
        <v>0</v>
      </c>
      <c r="AI8" s="345"/>
      <c r="AJ8" s="346"/>
    </row>
    <row r="9" spans="1:50" x14ac:dyDescent="0.15">
      <c r="B9" s="108" t="s">
        <v>1199</v>
      </c>
      <c r="C9" s="42" t="s">
        <v>1019</v>
      </c>
      <c r="D9" s="42" t="s">
        <v>1020</v>
      </c>
      <c r="E9" s="42" t="s">
        <v>1021</v>
      </c>
      <c r="F9" s="42" t="s">
        <v>1022</v>
      </c>
      <c r="G9" s="42" t="s">
        <v>1023</v>
      </c>
      <c r="H9" s="42" t="s">
        <v>1024</v>
      </c>
      <c r="I9" s="42" t="s">
        <v>1025</v>
      </c>
      <c r="J9" s="42" t="s">
        <v>1026</v>
      </c>
      <c r="K9" s="42" t="s">
        <v>1027</v>
      </c>
      <c r="L9" s="42" t="s">
        <v>1028</v>
      </c>
      <c r="M9" s="42" t="s">
        <v>1029</v>
      </c>
      <c r="N9" s="42" t="s">
        <v>1030</v>
      </c>
      <c r="O9" s="42" t="s">
        <v>1031</v>
      </c>
      <c r="P9" s="42" t="s">
        <v>1032</v>
      </c>
      <c r="Q9" s="42" t="s">
        <v>1033</v>
      </c>
      <c r="R9" s="42" t="s">
        <v>1034</v>
      </c>
      <c r="S9" s="76"/>
      <c r="T9" s="108" t="s">
        <v>1199</v>
      </c>
      <c r="U9" s="42" t="s">
        <v>1019</v>
      </c>
      <c r="V9" s="42" t="s">
        <v>1020</v>
      </c>
      <c r="W9" s="42" t="s">
        <v>1021</v>
      </c>
      <c r="X9" s="42" t="s">
        <v>1022</v>
      </c>
      <c r="Y9" s="42" t="s">
        <v>1023</v>
      </c>
      <c r="Z9" s="42" t="s">
        <v>1024</v>
      </c>
      <c r="AA9" s="42" t="s">
        <v>1025</v>
      </c>
      <c r="AB9" s="42" t="s">
        <v>1026</v>
      </c>
      <c r="AC9" s="42" t="s">
        <v>1027</v>
      </c>
      <c r="AD9" s="42" t="s">
        <v>1028</v>
      </c>
      <c r="AE9" s="42" t="s">
        <v>1029</v>
      </c>
      <c r="AF9" s="42" t="s">
        <v>1030</v>
      </c>
      <c r="AG9" s="42" t="s">
        <v>1031</v>
      </c>
      <c r="AH9" s="42" t="s">
        <v>1032</v>
      </c>
      <c r="AI9" s="42" t="s">
        <v>1033</v>
      </c>
      <c r="AJ9" s="42" t="s">
        <v>1034</v>
      </c>
    </row>
    <row r="10" spans="1:50" x14ac:dyDescent="0.15">
      <c r="B10" s="109" t="s">
        <v>1037</v>
      </c>
      <c r="C10" s="107">
        <f>SUMIFS('caseload data'!E:E,'caseload data'!$D:$D,"PO",'caseload data'!$C:$C,'custody caseload'!$B$8,'caseload data'!$B:$B,"custody")</f>
        <v>0</v>
      </c>
      <c r="D10" s="107">
        <f>SUMIFS('caseload data'!F:F,'caseload data'!$D:$D,"PO",'caseload data'!$C:$C,'custody caseload'!$B$8,'caseload data'!$B:$B,"custody")</f>
        <v>0</v>
      </c>
      <c r="E10" s="107">
        <f>SUMIFS('caseload data'!G:G,'caseload data'!$D:$D,"PO",'caseload data'!$C:$C,'custody caseload'!$B$8,'caseload data'!$B:$B,"custody")</f>
        <v>0</v>
      </c>
      <c r="F10" s="107">
        <f>SUMIFS('caseload data'!H:H,'caseload data'!$D:$D,"PO",'caseload data'!$C:$C,'custody caseload'!$B$8,'caseload data'!$B:$B,"custody")</f>
        <v>0</v>
      </c>
      <c r="G10" s="107">
        <f>SUMIFS('caseload data'!I:I,'caseload data'!$D:$D,"PO",'caseload data'!$C:$C,'custody caseload'!$B$8,'caseload data'!$B:$B,"custody")</f>
        <v>0</v>
      </c>
      <c r="H10" s="107">
        <f>SUMIFS('caseload data'!J:J,'caseload data'!$D:$D,"PO",'caseload data'!$C:$C,'custody caseload'!$B$8,'caseload data'!$B:$B,"custody")</f>
        <v>0</v>
      </c>
      <c r="I10" s="107">
        <f>SUMIFS('caseload data'!K:K,'caseload data'!$D:$D,"PO",'caseload data'!$C:$C,'custody caseload'!$B$8,'caseload data'!$B:$B,"custody")</f>
        <v>0</v>
      </c>
      <c r="J10" s="107">
        <f>SUMIFS('caseload data'!L:L,'caseload data'!$D:$D,"PO",'caseload data'!$C:$C,'custody caseload'!$B$8,'caseload data'!$B:$B,"custody")</f>
        <v>0</v>
      </c>
      <c r="K10" s="107">
        <f>SUMIFS('caseload data'!M:M,'caseload data'!$D:$D,"PO",'caseload data'!$C:$C,'custody caseload'!$B$8,'caseload data'!$B:$B,"custody")</f>
        <v>0</v>
      </c>
      <c r="L10" s="107">
        <f>SUMIFS('caseload data'!N:N,'caseload data'!$D:$D,"PO",'caseload data'!$C:$C,'custody caseload'!$B$8,'caseload data'!$B:$B,"custody")</f>
        <v>0</v>
      </c>
      <c r="M10" s="107">
        <f>SUMIFS('caseload data'!O:O,'caseload data'!$D:$D,"PO",'caseload data'!$C:$C,'custody caseload'!$B$8,'caseload data'!$B:$B,"custody")</f>
        <v>0</v>
      </c>
      <c r="N10" s="107">
        <f>SUMIFS('caseload data'!P:P,'caseload data'!$D:$D,"PO",'caseload data'!$C:$C,'custody caseload'!$B$8,'caseload data'!$B:$B,"custody")</f>
        <v>0</v>
      </c>
      <c r="O10" s="107">
        <f>SUMIFS('caseload data'!Q:Q,'caseload data'!$D:$D,"PO",'caseload data'!$C:$C,'custody caseload'!$B$8,'caseload data'!$B:$B,"custody")</f>
        <v>0</v>
      </c>
      <c r="P10" s="107">
        <f>SUMIFS('caseload data'!R:R,'caseload data'!$D:$D,"PO",'caseload data'!$C:$C,'custody caseload'!$B$8,'caseload data'!$B:$B,"custody")</f>
        <v>0</v>
      </c>
      <c r="Q10" s="107">
        <f>SUMIFS('caseload data'!S:S,'caseload data'!$D:$D,"PO",'caseload data'!$C:$C,'custody caseload'!$B$8,'caseload data'!$B:$B,"custody")</f>
        <v>0</v>
      </c>
      <c r="R10" s="107">
        <f>SUMIFS('caseload data'!T:T,'caseload data'!$D:$D,"PO",'caseload data'!$C:$C,'custody caseload'!$B$8,'caseload data'!$B:$B,"custody")</f>
        <v>0</v>
      </c>
      <c r="S10" s="76"/>
      <c r="T10" s="109" t="s">
        <v>1037</v>
      </c>
      <c r="U10" s="107">
        <f>SUMIFS('caseload data'!E:E,'caseload data'!$D:$D,"PO",'caseload data'!$C:$C,'custody caseload'!$T$8,'caseload data'!$B:$B,"custody")</f>
        <v>0</v>
      </c>
      <c r="V10" s="107">
        <f>SUMIFS('caseload data'!F:F,'caseload data'!$D:$D,"PO",'caseload data'!$C:$C,'custody caseload'!$T$8,'caseload data'!$B:$B,"custody")</f>
        <v>0</v>
      </c>
      <c r="W10" s="107">
        <f>SUMIFS('caseload data'!G:G,'caseload data'!$D:$D,"PO",'caseload data'!$C:$C,'custody caseload'!$T$8,'caseload data'!$B:$B,"custody")</f>
        <v>0</v>
      </c>
      <c r="X10" s="107">
        <f>SUMIFS('caseload data'!H:H,'caseload data'!$D:$D,"PO",'caseload data'!$C:$C,'custody caseload'!$T$8,'caseload data'!$B:$B,"custody")</f>
        <v>0</v>
      </c>
      <c r="Y10" s="107">
        <f>SUMIFS('caseload data'!I:I,'caseload data'!$D:$D,"PO",'caseload data'!$C:$C,'custody caseload'!$T$8,'caseload data'!$B:$B,"custody")</f>
        <v>0</v>
      </c>
      <c r="Z10" s="107">
        <f>SUMIFS('caseload data'!J:J,'caseload data'!$D:$D,"PO",'caseload data'!$C:$C,'custody caseload'!$T$8,'caseload data'!$B:$B,"custody")</f>
        <v>0</v>
      </c>
      <c r="AA10" s="107">
        <f>SUMIFS('caseload data'!K:K,'caseload data'!$D:$D,"PO",'caseload data'!$C:$C,'custody caseload'!$T$8,'caseload data'!$B:$B,"custody")</f>
        <v>0</v>
      </c>
      <c r="AB10" s="107">
        <f>SUMIFS('caseload data'!L:L,'caseload data'!$D:$D,"PO",'caseload data'!$C:$C,'custody caseload'!$T$8,'caseload data'!$B:$B,"custody")</f>
        <v>0</v>
      </c>
      <c r="AC10" s="107">
        <f>SUMIFS('caseload data'!M:M,'caseload data'!$D:$D,"PO",'caseload data'!$C:$C,'custody caseload'!$T$8,'caseload data'!$B:$B,"custody")</f>
        <v>0</v>
      </c>
      <c r="AD10" s="107">
        <f>SUMIFS('caseload data'!N:N,'caseload data'!$D:$D,"PO",'caseload data'!$C:$C,'custody caseload'!$T$8,'caseload data'!$B:$B,"custody")</f>
        <v>0</v>
      </c>
      <c r="AE10" s="107">
        <f>SUMIFS('caseload data'!O:O,'caseload data'!$D:$D,"PO",'caseload data'!$C:$C,'custody caseload'!$T$8,'caseload data'!$B:$B,"custody")</f>
        <v>0</v>
      </c>
      <c r="AF10" s="107">
        <f>SUMIFS('caseload data'!P:P,'caseload data'!$D:$D,"PO",'caseload data'!$C:$C,'custody caseload'!$T$8,'caseload data'!$B:$B,"custody")</f>
        <v>0</v>
      </c>
      <c r="AG10" s="107">
        <f>SUMIFS('caseload data'!Q:Q,'caseload data'!$D:$D,"PO",'caseload data'!$C:$C,'custody caseload'!$T$8,'caseload data'!$B:$B,"custody")</f>
        <v>0</v>
      </c>
      <c r="AH10" s="107">
        <f>SUMIFS('caseload data'!R:R,'caseload data'!$D:$D,"PO",'caseload data'!$C:$C,'custody caseload'!$T$8,'caseload data'!$B:$B,"custody")</f>
        <v>0</v>
      </c>
      <c r="AI10" s="107">
        <f>SUMIFS('caseload data'!S:S,'caseload data'!$D:$D,"PO",'caseload data'!$C:$C,'custody caseload'!$T$8,'caseload data'!$B:$B,"custody")</f>
        <v>0</v>
      </c>
      <c r="AJ10" s="107">
        <f>SUMIFS('caseload data'!T:T,'caseload data'!$D:$D,"PO",'caseload data'!$C:$C,'custody caseload'!$T$8,'caseload data'!$B:$B,"custody")</f>
        <v>0</v>
      </c>
    </row>
    <row r="11" spans="1:50" ht="15" x14ac:dyDescent="0.2">
      <c r="B11" s="110" t="s">
        <v>1038</v>
      </c>
      <c r="C11" s="165">
        <f>SUMIFS('caseload data'!E:E,'caseload data'!$D:$D,"PSO",'caseload data'!$C:$C,'custody caseload'!$B$8,'caseload data'!$B:$B,"custody")</f>
        <v>0</v>
      </c>
      <c r="D11" s="165">
        <f>SUMIFS('caseload data'!F:F,'caseload data'!$D:$D,"PSO",'caseload data'!$C:$C,'custody caseload'!$B$8,'caseload data'!$B:$B,"custody")</f>
        <v>0</v>
      </c>
      <c r="E11" s="165">
        <f>SUMIFS('caseload data'!G:G,'caseload data'!$D:$D,"PSO",'caseload data'!$C:$C,'custody caseload'!$B$8,'caseload data'!$B:$B,"custody")</f>
        <v>0</v>
      </c>
      <c r="F11" s="165">
        <f>SUMIFS('caseload data'!H:H,'caseload data'!$D:$D,"PSO",'caseload data'!$C:$C,'custody caseload'!$B$8,'caseload data'!$B:$B,"custody")</f>
        <v>0</v>
      </c>
      <c r="G11" s="165">
        <f>SUMIFS('caseload data'!I:I,'caseload data'!$D:$D,"PSO",'caseload data'!$C:$C,'custody caseload'!$B$8,'caseload data'!$B:$B,"custody")</f>
        <v>0</v>
      </c>
      <c r="H11" s="165">
        <f>SUMIFS('caseload data'!J:J,'caseload data'!$D:$D,"PSO",'caseload data'!$C:$C,'custody caseload'!$B$8,'caseload data'!$B:$B,"custody")</f>
        <v>0</v>
      </c>
      <c r="I11" s="165">
        <f>SUMIFS('caseload data'!K:K,'caseload data'!$D:$D,"PSO",'caseload data'!$C:$C,'custody caseload'!$B$8,'caseload data'!$B:$B,"custody")</f>
        <v>0</v>
      </c>
      <c r="J11" s="165">
        <f>SUMIFS('caseload data'!L:L,'caseload data'!$D:$D,"PSO",'caseload data'!$C:$C,'custody caseload'!$B$8,'caseload data'!$B:$B,"custody")</f>
        <v>0</v>
      </c>
      <c r="K11" s="107">
        <f>SUMIFS('caseload data'!M:M,'caseload data'!$D:$D,"PSO",'caseload data'!$C:$C,'custody caseload'!$B$8,'caseload data'!$B:$B,"custody")</f>
        <v>0</v>
      </c>
      <c r="L11" s="107">
        <f>SUMIFS('caseload data'!N:N,'caseload data'!$D:$D,"PSO",'caseload data'!$C:$C,'custody caseload'!$B$8,'caseload data'!$B:$B,"custody")</f>
        <v>0</v>
      </c>
      <c r="M11" s="107">
        <f>SUMIFS('caseload data'!O:O,'caseload data'!$D:$D,"PSO",'caseload data'!$C:$C,'custody caseload'!$B$8,'caseload data'!$B:$B,"custody")</f>
        <v>0</v>
      </c>
      <c r="N11" s="107">
        <f>SUMIFS('caseload data'!P:P,'caseload data'!$D:$D,"PSO",'caseload data'!$C:$C,'custody caseload'!$B$8,'caseload data'!$B:$B,"custody")</f>
        <v>0</v>
      </c>
      <c r="O11" s="107">
        <f>SUMIFS('caseload data'!Q:Q,'caseload data'!$D:$D,"PSO",'caseload data'!$C:$C,'custody caseload'!$B$8,'caseload data'!$B:$B,"custody")</f>
        <v>0</v>
      </c>
      <c r="P11" s="107">
        <f>SUMIFS('caseload data'!R:R,'caseload data'!$D:$D,"PSO",'caseload data'!$C:$C,'custody caseload'!$B$8,'caseload data'!$B:$B,"custody")</f>
        <v>0</v>
      </c>
      <c r="Q11" s="107">
        <f>SUMIFS('caseload data'!S:S,'caseload data'!$D:$D,"PSO",'caseload data'!$C:$C,'custody caseload'!$B$8,'caseload data'!$B:$B,"custody")</f>
        <v>0</v>
      </c>
      <c r="R11" s="107">
        <f>SUMIFS('caseload data'!T:T,'caseload data'!$D:$D,"PSO",'caseload data'!$C:$C,'custody caseload'!$B$8,'caseload data'!$B:$B,"custody")</f>
        <v>0</v>
      </c>
      <c r="S11" s="76"/>
      <c r="T11" s="110" t="s">
        <v>1038</v>
      </c>
      <c r="U11" s="165">
        <f>SUMIFS('caseload data'!E:E,'caseload data'!$D:$D,"PSO",'caseload data'!$C:$C,'custody caseload'!$T$8,'caseload data'!$B:$B,"custody")</f>
        <v>0</v>
      </c>
      <c r="V11" s="165">
        <f>SUMIFS('caseload data'!F:F,'caseload data'!$D:$D,"PSO",'caseload data'!$C:$C,'custody caseload'!$T$8,'caseload data'!$B:$B,"custody")</f>
        <v>0</v>
      </c>
      <c r="W11" s="165">
        <f>SUMIFS('caseload data'!G:G,'caseload data'!$D:$D,"PSO",'caseload data'!$C:$C,'custody caseload'!$T$8,'caseload data'!$B:$B,"custody")</f>
        <v>0</v>
      </c>
      <c r="X11" s="165">
        <f>SUMIFS('caseload data'!H:H,'caseload data'!$D:$D,"PSO",'caseload data'!$C:$C,'custody caseload'!$T$8,'caseload data'!$B:$B,"custody")</f>
        <v>0</v>
      </c>
      <c r="Y11" s="165">
        <f>SUMIFS('caseload data'!I:I,'caseload data'!$D:$D,"PSO",'caseload data'!$C:$C,'custody caseload'!$T$8,'caseload data'!$B:$B,"custody")</f>
        <v>0</v>
      </c>
      <c r="Z11" s="165">
        <f>SUMIFS('caseload data'!J:J,'caseload data'!$D:$D,"PSO",'caseload data'!$C:$C,'custody caseload'!$T$8,'caseload data'!$B:$B,"custody")</f>
        <v>0</v>
      </c>
      <c r="AA11" s="165">
        <f>SUMIFS('caseload data'!K:K,'caseload data'!$D:$D,"PSO",'caseload data'!$C:$C,'custody caseload'!$T$8,'caseload data'!$B:$B,"custody")</f>
        <v>0</v>
      </c>
      <c r="AB11" s="165">
        <f>SUMIFS('caseload data'!L:L,'caseload data'!$D:$D,"PSO",'caseload data'!$C:$C,'custody caseload'!$T$8,'caseload data'!$B:$B,"custody")</f>
        <v>0</v>
      </c>
      <c r="AC11" s="107">
        <f>SUMIFS('caseload data'!M:M,'caseload data'!$D:$D,"PSO",'caseload data'!$C:$C,'custody caseload'!$T$8,'caseload data'!$B:$B,"custody")</f>
        <v>0</v>
      </c>
      <c r="AD11" s="107">
        <f>SUMIFS('caseload data'!N:N,'caseload data'!$D:$D,"PSO",'caseload data'!$C:$C,'custody caseload'!$T$8,'caseload data'!$B:$B,"custody")</f>
        <v>0</v>
      </c>
      <c r="AE11" s="107">
        <f>SUMIFS('caseload data'!O:O,'caseload data'!$D:$D,"PSO",'caseload data'!$C:$C,'custody caseload'!$T$8,'caseload data'!$B:$B,"custody")</f>
        <v>0</v>
      </c>
      <c r="AF11" s="107">
        <f>SUMIFS('caseload data'!P:P,'caseload data'!$D:$D,"PSO",'caseload data'!$C:$C,'custody caseload'!$T$8,'caseload data'!$B:$B,"custody")</f>
        <v>0</v>
      </c>
      <c r="AG11" s="107">
        <f>SUMIFS('caseload data'!Q:Q,'caseload data'!$D:$D,"PSO",'caseload data'!$C:$C,'custody caseload'!$T$8,'caseload data'!$B:$B,"custody")</f>
        <v>0</v>
      </c>
      <c r="AH11" s="107">
        <f>SUMIFS('caseload data'!R:R,'caseload data'!$D:$D,"PSO",'caseload data'!$C:$C,'custody caseload'!$T$8,'caseload data'!$B:$B,"custody")</f>
        <v>0</v>
      </c>
      <c r="AI11" s="107">
        <f>SUMIFS('caseload data'!S:S,'caseload data'!$D:$D,"PSO",'caseload data'!$C:$C,'custody caseload'!$T$8,'caseload data'!$B:$B,"custody")</f>
        <v>0</v>
      </c>
      <c r="AJ11" s="107">
        <f>SUMIFS('caseload data'!T:T,'caseload data'!$D:$D,"PSO",'caseload data'!$C:$C,'custody caseload'!$T$8,'caseload data'!$B:$B,"custody")</f>
        <v>0</v>
      </c>
    </row>
    <row r="12" spans="1:50" ht="15" x14ac:dyDescent="0.2">
      <c r="B12" s="110" t="s">
        <v>1039</v>
      </c>
      <c r="C12" s="165">
        <f>SUMIFS('caseload data'!E:E,'caseload data'!$D:$D,"TPO",'caseload data'!$C:$C,'custody caseload'!$B$8,'caseload data'!$B:$B,"custody")</f>
        <v>0</v>
      </c>
      <c r="D12" s="165">
        <f>SUMIFS('caseload data'!F:F,'caseload data'!$D:$D,"TPO",'caseload data'!$C:$C,'custody caseload'!$B$8,'caseload data'!$B:$B,"custody")</f>
        <v>0</v>
      </c>
      <c r="E12" s="165">
        <f>SUMIFS('caseload data'!G:G,'caseload data'!$D:$D,"TPO",'caseload data'!$C:$C,'custody caseload'!$B$8,'caseload data'!$B:$B,"custody")</f>
        <v>0</v>
      </c>
      <c r="F12" s="165">
        <f>SUMIFS('caseload data'!H:H,'caseload data'!$D:$D,"TPO",'caseload data'!$C:$C,'custody caseload'!$B$8,'caseload data'!$B:$B,"custody")</f>
        <v>0</v>
      </c>
      <c r="G12" s="165">
        <f>SUMIFS('caseload data'!I:I,'caseload data'!$D:$D,"TPO",'caseload data'!$C:$C,'custody caseload'!$B$8,'caseload data'!$B:$B,"custody")</f>
        <v>0</v>
      </c>
      <c r="H12" s="165">
        <f>SUMIFS('caseload data'!J:J,'caseload data'!$D:$D,"TPO",'caseload data'!$C:$C,'custody caseload'!$B$8,'caseload data'!$B:$B,"custody")</f>
        <v>0</v>
      </c>
      <c r="I12" s="165">
        <f>SUMIFS('caseload data'!K:K,'caseload data'!$D:$D,"TPO",'caseload data'!$C:$C,'custody caseload'!$B$8,'caseload data'!$B:$B,"custody")</f>
        <v>0</v>
      </c>
      <c r="J12" s="165">
        <f>SUMIFS('caseload data'!L:L,'caseload data'!$D:$D,"TPO",'caseload data'!$C:$C,'custody caseload'!$B$8,'caseload data'!$B:$B,"custody")</f>
        <v>0</v>
      </c>
      <c r="K12" s="107">
        <f>SUMIFS('caseload data'!M:M,'caseload data'!$D:$D,"TPO",'caseload data'!$C:$C,'custody caseload'!$B$8,'caseload data'!$B:$B,"custody")</f>
        <v>0</v>
      </c>
      <c r="L12" s="107">
        <f>SUMIFS('caseload data'!N:N,'caseload data'!$D:$D,"TPO",'caseload data'!$C:$C,'custody caseload'!$B$8,'caseload data'!$B:$B,"custody")</f>
        <v>0</v>
      </c>
      <c r="M12" s="107">
        <f>SUMIFS('caseload data'!O:O,'caseload data'!$D:$D,"TPO",'caseload data'!$C:$C,'custody caseload'!$B$8,'caseload data'!$B:$B,"custody")</f>
        <v>0</v>
      </c>
      <c r="N12" s="107">
        <f>SUMIFS('caseload data'!P:P,'caseload data'!$D:$D,"TPO",'caseload data'!$C:$C,'custody caseload'!$B$8,'caseload data'!$B:$B,"custody")</f>
        <v>0</v>
      </c>
      <c r="O12" s="107">
        <f>SUMIFS('caseload data'!Q:Q,'caseload data'!$D:$D,"TPO",'caseload data'!$C:$C,'custody caseload'!$B$8,'caseload data'!$B:$B,"custody")</f>
        <v>0</v>
      </c>
      <c r="P12" s="107">
        <f>SUMIFS('caseload data'!R:R,'caseload data'!$D:$D,"TPO",'caseload data'!$C:$C,'custody caseload'!$B$8,'caseload data'!$B:$B,"custody")</f>
        <v>0</v>
      </c>
      <c r="Q12" s="107">
        <f>SUMIFS('caseload data'!S:S,'caseload data'!$D:$D,"TPO",'caseload data'!$C:$C,'custody caseload'!$B$8,'caseload data'!$B:$B,"custody")</f>
        <v>0</v>
      </c>
      <c r="R12" s="107">
        <f>SUMIFS('caseload data'!T:T,'caseload data'!$D:$D,"TPO",'caseload data'!$C:$C,'custody caseload'!$B$8,'caseload data'!$B:$B,"custody")</f>
        <v>0</v>
      </c>
      <c r="S12" s="76"/>
      <c r="T12" s="110" t="s">
        <v>1039</v>
      </c>
      <c r="U12" s="165">
        <f>SUMIFS('caseload data'!E:E,'caseload data'!$D:$D,"TPO",'caseload data'!$C:$C,'custody caseload'!$T$8,'caseload data'!$B:$B,"custody")</f>
        <v>0</v>
      </c>
      <c r="V12" s="165">
        <f>SUMIFS('caseload data'!F:F,'caseload data'!$D:$D,"TPO",'caseload data'!$C:$C,'custody caseload'!$T$8,'caseload data'!$B:$B,"custody")</f>
        <v>0</v>
      </c>
      <c r="W12" s="165">
        <f>SUMIFS('caseload data'!G:G,'caseload data'!$D:$D,"TPO",'caseload data'!$C:$C,'custody caseload'!$T$8,'caseload data'!$B:$B,"custody")</f>
        <v>0</v>
      </c>
      <c r="X12" s="165">
        <f>SUMIFS('caseload data'!H:H,'caseload data'!$D:$D,"TPO",'caseload data'!$C:$C,'custody caseload'!$T$8,'caseload data'!$B:$B,"custody")</f>
        <v>0</v>
      </c>
      <c r="Y12" s="165">
        <f>SUMIFS('caseload data'!I:I,'caseload data'!$D:$D,"TPO",'caseload data'!$C:$C,'custody caseload'!$T$8,'caseload data'!$B:$B,"custody")</f>
        <v>0</v>
      </c>
      <c r="Z12" s="165">
        <f>SUMIFS('caseload data'!J:J,'caseload data'!$D:$D,"TPO",'caseload data'!$C:$C,'custody caseload'!$T$8,'caseload data'!$B:$B,"custody")</f>
        <v>0</v>
      </c>
      <c r="AA12" s="165">
        <f>SUMIFS('caseload data'!K:K,'caseload data'!$D:$D,"TPO",'caseload data'!$C:$C,'custody caseload'!$T$8,'caseload data'!$B:$B,"custody")</f>
        <v>0</v>
      </c>
      <c r="AB12" s="165">
        <f>SUMIFS('caseload data'!L:L,'caseload data'!$D:$D,"TPO",'caseload data'!$C:$C,'custody caseload'!$T$8,'caseload data'!$B:$B,"custody")</f>
        <v>0</v>
      </c>
      <c r="AC12" s="107">
        <f>SUMIFS('caseload data'!M:M,'caseload data'!$D:$D,"TPO",'caseload data'!$C:$C,'custody caseload'!$T$8,'caseload data'!$B:$B,"custody")</f>
        <v>0</v>
      </c>
      <c r="AD12" s="107">
        <f>SUMIFS('caseload data'!N:N,'caseload data'!$D:$D,"TPO",'caseload data'!$C:$C,'custody caseload'!$T$8,'caseload data'!$B:$B,"custody")</f>
        <v>0</v>
      </c>
      <c r="AE12" s="107">
        <f>SUMIFS('caseload data'!O:O,'caseload data'!$D:$D,"TPO",'caseload data'!$C:$C,'custody caseload'!$T$8,'caseload data'!$B:$B,"custody")</f>
        <v>0</v>
      </c>
      <c r="AF12" s="107">
        <f>SUMIFS('caseload data'!P:P,'caseload data'!$D:$D,"TPO",'caseload data'!$C:$C,'custody caseload'!$T$8,'caseload data'!$B:$B,"custody")</f>
        <v>0</v>
      </c>
      <c r="AG12" s="107">
        <f>SUMIFS('caseload data'!Q:Q,'caseload data'!$D:$D,"TPO",'caseload data'!$C:$C,'custody caseload'!$T$8,'caseload data'!$B:$B,"custody")</f>
        <v>0</v>
      </c>
      <c r="AH12" s="107">
        <f>SUMIFS('caseload data'!R:R,'caseload data'!$D:$D,"TPO",'caseload data'!$C:$C,'custody caseload'!$T$8,'caseload data'!$B:$B,"custody")</f>
        <v>0</v>
      </c>
      <c r="AI12" s="107">
        <f>SUMIFS('caseload data'!S:S,'caseload data'!$D:$D,"TPO",'caseload data'!$C:$C,'custody caseload'!$T$8,'caseload data'!$B:$B,"custody")</f>
        <v>0</v>
      </c>
      <c r="AJ12" s="107">
        <f>SUMIFS('caseload data'!T:T,'caseload data'!$D:$D,"TPO",'caseload data'!$C:$C,'custody caseload'!$T$8,'caseload data'!$B:$B,"custody")</f>
        <v>0</v>
      </c>
    </row>
    <row r="13" spans="1:50" x14ac:dyDescent="0.15">
      <c r="B13" s="111" t="s">
        <v>1040</v>
      </c>
      <c r="C13" s="107">
        <f>SUMIFS('caseload data'!E:E,'caseload data'!$D:$D,"SPO",'caseload data'!$C:$C,'custody caseload'!$B$8,'caseload data'!$B:$B,"custody")</f>
        <v>0</v>
      </c>
      <c r="D13" s="107">
        <f>SUMIFS('caseload data'!F:F,'caseload data'!$D:$D,"SPO",'caseload data'!$C:$C,'custody caseload'!$B$8,'caseload data'!$B:$B,"custody")</f>
        <v>0</v>
      </c>
      <c r="E13" s="107">
        <f>SUMIFS('caseload data'!G:G,'caseload data'!$D:$D,"SPO",'caseload data'!$C:$C,'custody caseload'!$B$8,'caseload data'!$B:$B,"custody")</f>
        <v>0</v>
      </c>
      <c r="F13" s="107">
        <f>SUMIFS('caseload data'!H:H,'caseload data'!$D:$D,"SPO",'caseload data'!$C:$C,'custody caseload'!$B$8,'caseload data'!$B:$B,"custody")</f>
        <v>0</v>
      </c>
      <c r="G13" s="107">
        <f>SUMIFS('caseload data'!I:I,'caseload data'!$D:$D,"SPO",'caseload data'!$C:$C,'custody caseload'!$B$8,'caseload data'!$B:$B,"custody")</f>
        <v>0</v>
      </c>
      <c r="H13" s="107">
        <f>SUMIFS('caseload data'!J:J,'caseload data'!$D:$D,"SPO",'caseload data'!$C:$C,'custody caseload'!$B$8,'caseload data'!$B:$B,"custody")</f>
        <v>0</v>
      </c>
      <c r="I13" s="107">
        <f>SUMIFS('caseload data'!K:K,'caseload data'!$D:$D,"SPO",'caseload data'!$C:$C,'custody caseload'!$B$8,'caseload data'!$B:$B,"custody")</f>
        <v>0</v>
      </c>
      <c r="J13" s="107">
        <f>SUMIFS('caseload data'!L:L,'caseload data'!$D:$D,"SPO",'caseload data'!$C:$C,'custody caseload'!$B$8,'caseload data'!$B:$B,"custody")</f>
        <v>0</v>
      </c>
      <c r="K13" s="107">
        <f>SUMIFS('caseload data'!M:M,'caseload data'!$D:$D,"SPO",'caseload data'!$C:$C,'custody caseload'!$B$8,'caseload data'!$B:$B,"custody")</f>
        <v>0</v>
      </c>
      <c r="L13" s="107">
        <f>SUMIFS('caseload data'!N:N,'caseload data'!$D:$D,"SPO",'caseload data'!$C:$C,'custody caseload'!$B$8,'caseload data'!$B:$B,"custody")</f>
        <v>0</v>
      </c>
      <c r="M13" s="107">
        <f>SUMIFS('caseload data'!O:O,'caseload data'!$D:$D,"SPO",'caseload data'!$C:$C,'custody caseload'!$B$8,'caseload data'!$B:$B,"custody")</f>
        <v>0</v>
      </c>
      <c r="N13" s="107">
        <f>SUMIFS('caseload data'!P:P,'caseload data'!$D:$D,"SPO",'caseload data'!$C:$C,'custody caseload'!$B$8,'caseload data'!$B:$B,"custody")</f>
        <v>0</v>
      </c>
      <c r="O13" s="107">
        <f>SUMIFS('caseload data'!Q:Q,'caseload data'!$D:$D,"SPO",'caseload data'!$C:$C,'custody caseload'!$B$8,'caseload data'!$B:$B,"custody")</f>
        <v>0</v>
      </c>
      <c r="P13" s="107">
        <f>SUMIFS('caseload data'!R:R,'caseload data'!$D:$D,"SPO",'caseload data'!$C:$C,'custody caseload'!$B$8,'caseload data'!$B:$B,"custody")</f>
        <v>0</v>
      </c>
      <c r="Q13" s="107">
        <f>SUMIFS('caseload data'!S:S,'caseload data'!$D:$D,"SPO",'caseload data'!$C:$C,'custody caseload'!$B$8,'caseload data'!$B:$B,"custody")</f>
        <v>0</v>
      </c>
      <c r="R13" s="107">
        <f>SUMIFS('caseload data'!T:T,'caseload data'!$D:$D,"SPO",'caseload data'!$C:$C,'custody caseload'!$B$8,'caseload data'!$B:$B,"custody")</f>
        <v>0</v>
      </c>
      <c r="S13" s="76"/>
      <c r="T13" s="111" t="s">
        <v>1040</v>
      </c>
      <c r="U13" s="107">
        <f>SUMIFS('caseload data'!E:E,'caseload data'!$D:$D,"SPO",'caseload data'!$C:$C,'custody caseload'!$T$8,'caseload data'!$B:$B,"custody")</f>
        <v>0</v>
      </c>
      <c r="V13" s="107">
        <f>SUMIFS('caseload data'!F:F,'caseload data'!$D:$D,"SPO",'caseload data'!$C:$C,'custody caseload'!$T$8,'caseload data'!$B:$B,"custody")</f>
        <v>0</v>
      </c>
      <c r="W13" s="107">
        <f>SUMIFS('caseload data'!G:G,'caseload data'!$D:$D,"SPO",'caseload data'!$C:$C,'custody caseload'!$T$8,'caseload data'!$B:$B,"custody")</f>
        <v>0</v>
      </c>
      <c r="X13" s="107">
        <f>SUMIFS('caseload data'!H:H,'caseload data'!$D:$D,"SPO",'caseload data'!$C:$C,'custody caseload'!$T$8,'caseload data'!$B:$B,"custody")</f>
        <v>0</v>
      </c>
      <c r="Y13" s="107">
        <f>SUMIFS('caseload data'!I:I,'caseload data'!$D:$D,"SPO",'caseload data'!$C:$C,'custody caseload'!$T$8,'caseload data'!$B:$B,"custody")</f>
        <v>0</v>
      </c>
      <c r="Z13" s="107">
        <f>SUMIFS('caseload data'!J:J,'caseload data'!$D:$D,"SPO",'caseload data'!$C:$C,'custody caseload'!$T$8,'caseload data'!$B:$B,"custody")</f>
        <v>0</v>
      </c>
      <c r="AA13" s="107">
        <f>SUMIFS('caseload data'!K:K,'caseload data'!$D:$D,"SPO",'caseload data'!$C:$C,'custody caseload'!$T$8,'caseload data'!$B:$B,"custody")</f>
        <v>0</v>
      </c>
      <c r="AB13" s="107">
        <f>SUMIFS('caseload data'!L:L,'caseload data'!$D:$D,"SPO",'caseload data'!$C:$C,'custody caseload'!$T$8,'caseload data'!$B:$B,"custody")</f>
        <v>0</v>
      </c>
      <c r="AC13" s="107">
        <f>SUMIFS('caseload data'!M:M,'caseload data'!$D:$D,"SPO",'caseload data'!$C:$C,'custody caseload'!$T$8,'caseload data'!$B:$B,"custody")</f>
        <v>0</v>
      </c>
      <c r="AD13" s="107">
        <f>SUMIFS('caseload data'!N:N,'caseload data'!$D:$D,"SPO",'caseload data'!$C:$C,'custody caseload'!$T$8,'caseload data'!$B:$B,"custody")</f>
        <v>0</v>
      </c>
      <c r="AE13" s="107">
        <f>SUMIFS('caseload data'!O:O,'caseload data'!$D:$D,"SPO",'caseload data'!$C:$C,'custody caseload'!$T$8,'caseload data'!$B:$B,"custody")</f>
        <v>0</v>
      </c>
      <c r="AF13" s="107">
        <f>SUMIFS('caseload data'!P:P,'caseload data'!$D:$D,"SPO",'caseload data'!$C:$C,'custody caseload'!$T$8,'caseload data'!$B:$B,"custody")</f>
        <v>0</v>
      </c>
      <c r="AG13" s="107">
        <f>SUMIFS('caseload data'!Q:Q,'caseload data'!$D:$D,"SPO",'caseload data'!$C:$C,'custody caseload'!$T$8,'caseload data'!$B:$B,"custody")</f>
        <v>0</v>
      </c>
      <c r="AH13" s="107">
        <f>SUMIFS('caseload data'!R:R,'caseload data'!$D:$D,"SPO",'caseload data'!$C:$C,'custody caseload'!$T$8,'caseload data'!$B:$B,"custody")</f>
        <v>0</v>
      </c>
      <c r="AI13" s="107">
        <f>SUMIFS('caseload data'!S:S,'caseload data'!$D:$D,"SPO",'caseload data'!$C:$C,'custody caseload'!$T$8,'caseload data'!$B:$B,"custody")</f>
        <v>0</v>
      </c>
      <c r="AJ13" s="107">
        <f>SUMIFS('caseload data'!T:T,'caseload data'!$D:$D,"SPO",'caseload data'!$C:$C,'custody caseload'!$T$8,'caseload data'!$B:$B,"custody")</f>
        <v>0</v>
      </c>
    </row>
    <row r="14" spans="1:50" x14ac:dyDescent="0.15">
      <c r="B14" s="104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104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</row>
    <row r="15" spans="1:50" ht="30" customHeight="1" x14ac:dyDescent="0.15">
      <c r="B15" s="162" t="str">
        <f>HLOOKUP($B$5,Region_Table,4,0)</f>
        <v>Barking and Dagenham and Havering</v>
      </c>
      <c r="C15" s="333" t="s">
        <v>1262</v>
      </c>
      <c r="D15" s="334"/>
      <c r="E15" s="334"/>
      <c r="F15" s="334"/>
      <c r="G15" s="334"/>
      <c r="H15" s="334"/>
      <c r="I15" s="334"/>
      <c r="J15" s="334"/>
      <c r="K15" s="334"/>
      <c r="L15" s="334"/>
      <c r="M15" s="343"/>
      <c r="N15" s="343"/>
      <c r="O15" s="344"/>
      <c r="P15" s="337">
        <f>SUMIFS('caseload data'!V:V,'caseload data'!B:B,"custody",'caseload data'!$C:$C,'custody caseload'!B15)</f>
        <v>0</v>
      </c>
      <c r="Q15" s="345"/>
      <c r="R15" s="346"/>
      <c r="S15" s="76"/>
      <c r="T15" s="162" t="str">
        <f>HLOOKUP($B$5,Region_Table,5,0)</f>
        <v>Brent - N07</v>
      </c>
      <c r="U15" s="333" t="s">
        <v>1262</v>
      </c>
      <c r="V15" s="334"/>
      <c r="W15" s="334"/>
      <c r="X15" s="334"/>
      <c r="Y15" s="334"/>
      <c r="Z15" s="334"/>
      <c r="AA15" s="334"/>
      <c r="AB15" s="334"/>
      <c r="AC15" s="334"/>
      <c r="AD15" s="334"/>
      <c r="AE15" s="343"/>
      <c r="AF15" s="343"/>
      <c r="AG15" s="344"/>
      <c r="AH15" s="337">
        <f>SUMIFS('caseload data'!V:V,'caseload data'!B:B,"custody",'caseload data'!$C:$C,'custody caseload'!T15)</f>
        <v>0</v>
      </c>
      <c r="AI15" s="345"/>
      <c r="AJ15" s="346"/>
    </row>
    <row r="16" spans="1:50" x14ac:dyDescent="0.15">
      <c r="B16" s="108" t="s">
        <v>1199</v>
      </c>
      <c r="C16" s="42" t="s">
        <v>1019</v>
      </c>
      <c r="D16" s="42" t="s">
        <v>1020</v>
      </c>
      <c r="E16" s="42" t="s">
        <v>1021</v>
      </c>
      <c r="F16" s="42" t="s">
        <v>1022</v>
      </c>
      <c r="G16" s="42" t="s">
        <v>1023</v>
      </c>
      <c r="H16" s="42" t="s">
        <v>1024</v>
      </c>
      <c r="I16" s="42" t="s">
        <v>1025</v>
      </c>
      <c r="J16" s="42" t="s">
        <v>1026</v>
      </c>
      <c r="K16" s="42" t="s">
        <v>1027</v>
      </c>
      <c r="L16" s="42" t="s">
        <v>1028</v>
      </c>
      <c r="M16" s="42" t="s">
        <v>1029</v>
      </c>
      <c r="N16" s="42" t="s">
        <v>1030</v>
      </c>
      <c r="O16" s="42" t="s">
        <v>1031</v>
      </c>
      <c r="P16" s="42" t="s">
        <v>1032</v>
      </c>
      <c r="Q16" s="42" t="s">
        <v>1033</v>
      </c>
      <c r="R16" s="42" t="s">
        <v>1034</v>
      </c>
      <c r="S16" s="76"/>
      <c r="T16" s="108" t="s">
        <v>1199</v>
      </c>
      <c r="U16" s="42" t="s">
        <v>1019</v>
      </c>
      <c r="V16" s="42" t="s">
        <v>1020</v>
      </c>
      <c r="W16" s="42" t="s">
        <v>1021</v>
      </c>
      <c r="X16" s="42" t="s">
        <v>1022</v>
      </c>
      <c r="Y16" s="42" t="s">
        <v>1023</v>
      </c>
      <c r="Z16" s="42" t="s">
        <v>1024</v>
      </c>
      <c r="AA16" s="42" t="s">
        <v>1025</v>
      </c>
      <c r="AB16" s="42" t="s">
        <v>1026</v>
      </c>
      <c r="AC16" s="42" t="s">
        <v>1027</v>
      </c>
      <c r="AD16" s="42" t="s">
        <v>1028</v>
      </c>
      <c r="AE16" s="42" t="s">
        <v>1029</v>
      </c>
      <c r="AF16" s="42" t="s">
        <v>1030</v>
      </c>
      <c r="AG16" s="42" t="s">
        <v>1031</v>
      </c>
      <c r="AH16" s="42" t="s">
        <v>1032</v>
      </c>
      <c r="AI16" s="42" t="s">
        <v>1033</v>
      </c>
      <c r="AJ16" s="42" t="s">
        <v>1034</v>
      </c>
    </row>
    <row r="17" spans="2:36" x14ac:dyDescent="0.15">
      <c r="B17" s="109" t="s">
        <v>1037</v>
      </c>
      <c r="C17" s="107">
        <f>SUMIFS('caseload data'!E:E,'caseload data'!$D:$D,"PO",'caseload data'!$C:$C,'custody caseload'!$B$15,'caseload data'!$B:$B,"custody")</f>
        <v>0</v>
      </c>
      <c r="D17" s="107">
        <f>SUMIFS('caseload data'!F:F,'caseload data'!$D:$D,"PO",'caseload data'!$C:$C,'custody caseload'!$B$15,'caseload data'!$B:$B,"custody")</f>
        <v>0</v>
      </c>
      <c r="E17" s="107">
        <f>SUMIFS('caseload data'!G:G,'caseload data'!$D:$D,"PO",'caseload data'!$C:$C,'custody caseload'!$B$15,'caseload data'!$B:$B,"custody")</f>
        <v>0</v>
      </c>
      <c r="F17" s="107">
        <f>SUMIFS('caseload data'!H:H,'caseload data'!$D:$D,"PO",'caseload data'!$C:$C,'custody caseload'!$B$15,'caseload data'!$B:$B,"custody")</f>
        <v>0</v>
      </c>
      <c r="G17" s="107">
        <f>SUMIFS('caseload data'!I:I,'caseload data'!$D:$D,"PO",'caseload data'!$C:$C,'custody caseload'!$B$15,'caseload data'!$B:$B,"custody")</f>
        <v>0</v>
      </c>
      <c r="H17" s="107">
        <f>SUMIFS('caseload data'!J:J,'caseload data'!$D:$D,"PO",'caseload data'!$C:$C,'custody caseload'!$B$15,'caseload data'!$B:$B,"custody")</f>
        <v>0</v>
      </c>
      <c r="I17" s="107">
        <f>SUMIFS('caseload data'!K:K,'caseload data'!$D:$D,"PO",'caseload data'!$C:$C,'custody caseload'!$B$15,'caseload data'!$B:$B,"custody")</f>
        <v>0</v>
      </c>
      <c r="J17" s="107">
        <f>SUMIFS('caseload data'!L:L,'caseload data'!$D:$D,"PO",'caseload data'!$C:$C,'custody caseload'!$B$15,'caseload data'!$B:$B,"custody")</f>
        <v>0</v>
      </c>
      <c r="K17" s="107">
        <f>SUMIFS('caseload data'!M:M,'caseload data'!$D:$D,"PO",'caseload data'!$C:$C,'custody caseload'!$B$15,'caseload data'!$B:$B,"custody")</f>
        <v>0</v>
      </c>
      <c r="L17" s="107">
        <f>SUMIFS('caseload data'!N:N,'caseload data'!$D:$D,"PO",'caseload data'!$C:$C,'custody caseload'!$B$15,'caseload data'!$B:$B,"custody")</f>
        <v>0</v>
      </c>
      <c r="M17" s="107">
        <f>SUMIFS('caseload data'!O:O,'caseload data'!$D:$D,"PO",'caseload data'!$C:$C,'custody caseload'!$B$15,'caseload data'!$B:$B,"custody")</f>
        <v>0</v>
      </c>
      <c r="N17" s="107">
        <f>SUMIFS('caseload data'!P:P,'caseload data'!$D:$D,"PO",'caseload data'!$C:$C,'custody caseload'!$B$15,'caseload data'!$B:$B,"custody")</f>
        <v>0</v>
      </c>
      <c r="O17" s="107">
        <f>SUMIFS('caseload data'!Q:Q,'caseload data'!$D:$D,"PO",'caseload data'!$C:$C,'custody caseload'!$B$15,'caseload data'!$B:$B,"custody")</f>
        <v>0</v>
      </c>
      <c r="P17" s="107">
        <f>SUMIFS('caseload data'!R:R,'caseload data'!$D:$D,"PO",'caseload data'!$C:$C,'custody caseload'!$B$15,'caseload data'!$B:$B,"custody")</f>
        <v>0</v>
      </c>
      <c r="Q17" s="107">
        <f>SUMIFS('caseload data'!S:S,'caseload data'!$D:$D,"PO",'caseload data'!$C:$C,'custody caseload'!$B$15,'caseload data'!$B:$B,"custody")</f>
        <v>0</v>
      </c>
      <c r="R17" s="107">
        <f>SUMIFS('caseload data'!T:T,'caseload data'!$D:$D,"PO",'caseload data'!$C:$C,'custody caseload'!$B$15,'caseload data'!$B:$B,"custody")</f>
        <v>0</v>
      </c>
      <c r="S17" s="76"/>
      <c r="T17" s="109" t="s">
        <v>1037</v>
      </c>
      <c r="U17" s="107">
        <f>SUMIFS('caseload data'!E:E,'caseload data'!$D:$D,"PO",'caseload data'!$C:$C,'custody caseload'!$T$15,'caseload data'!$B:$B,"custody")</f>
        <v>0</v>
      </c>
      <c r="V17" s="107">
        <f>SUMIFS('caseload data'!F:F,'caseload data'!$D:$D,"PO",'caseload data'!$C:$C,'custody caseload'!$T$15,'caseload data'!$B:$B,"custody")</f>
        <v>0</v>
      </c>
      <c r="W17" s="107">
        <f>SUMIFS('caseload data'!G:G,'caseload data'!$D:$D,"PO",'caseload data'!$C:$C,'custody caseload'!$T$15,'caseload data'!$B:$B,"custody")</f>
        <v>0</v>
      </c>
      <c r="X17" s="107">
        <f>SUMIFS('caseload data'!H:H,'caseload data'!$D:$D,"PO",'caseload data'!$C:$C,'custody caseload'!$T$15,'caseload data'!$B:$B,"custody")</f>
        <v>0</v>
      </c>
      <c r="Y17" s="107">
        <f>SUMIFS('caseload data'!I:I,'caseload data'!$D:$D,"PO",'caseload data'!$C:$C,'custody caseload'!$T$15,'caseload data'!$B:$B,"custody")</f>
        <v>0</v>
      </c>
      <c r="Z17" s="107">
        <f>SUMIFS('caseload data'!J:J,'caseload data'!$D:$D,"PO",'caseload data'!$C:$C,'custody caseload'!$T$15,'caseload data'!$B:$B,"custody")</f>
        <v>0</v>
      </c>
      <c r="AA17" s="107">
        <f>SUMIFS('caseload data'!K:K,'caseload data'!$D:$D,"PO",'caseload data'!$C:$C,'custody caseload'!$T$15,'caseload data'!$B:$B,"custody")</f>
        <v>0</v>
      </c>
      <c r="AB17" s="107">
        <f>SUMIFS('caseload data'!L:L,'caseload data'!$D:$D,"PO",'caseload data'!$C:$C,'custody caseload'!$T$15,'caseload data'!$B:$B,"custody")</f>
        <v>0</v>
      </c>
      <c r="AC17" s="107">
        <f>SUMIFS('caseload data'!M:M,'caseload data'!$D:$D,"PO",'caseload data'!$C:$C,'custody caseload'!$T$15,'caseload data'!$B:$B,"custody")</f>
        <v>0</v>
      </c>
      <c r="AD17" s="107">
        <f>SUMIFS('caseload data'!N:N,'caseload data'!$D:$D,"PO",'caseload data'!$C:$C,'custody caseload'!$T$15,'caseload data'!$B:$B,"custody")</f>
        <v>0</v>
      </c>
      <c r="AE17" s="107">
        <f>SUMIFS('caseload data'!O:O,'caseload data'!$D:$D,"PO",'caseload data'!$C:$C,'custody caseload'!$T$15,'caseload data'!$B:$B,"custody")</f>
        <v>0</v>
      </c>
      <c r="AF17" s="107">
        <f>SUMIFS('caseload data'!P:P,'caseload data'!$D:$D,"PO",'caseload data'!$C:$C,'custody caseload'!$T$15,'caseload data'!$B:$B,"custody")</f>
        <v>0</v>
      </c>
      <c r="AG17" s="107">
        <f>SUMIFS('caseload data'!Q:Q,'caseload data'!$D:$D,"PO",'caseload data'!$C:$C,'custody caseload'!$T$15,'caseload data'!$B:$B,"custody")</f>
        <v>0</v>
      </c>
      <c r="AH17" s="107">
        <f>SUMIFS('caseload data'!R:R,'caseload data'!$D:$D,"PO",'caseload data'!$C:$C,'custody caseload'!$T$15,'caseload data'!$B:$B,"custody")</f>
        <v>0</v>
      </c>
      <c r="AI17" s="107">
        <f>SUMIFS('caseload data'!S:S,'caseload data'!$D:$D,"PO",'caseload data'!$C:$C,'custody caseload'!$T$15,'caseload data'!$B:$B,"custody")</f>
        <v>0</v>
      </c>
      <c r="AJ17" s="107">
        <f>SUMIFS('caseload data'!T:T,'caseload data'!$D:$D,"PO",'caseload data'!$C:$C,'custody caseload'!$T$15,'caseload data'!$B:$B,"custody")</f>
        <v>0</v>
      </c>
    </row>
    <row r="18" spans="2:36" ht="15" x14ac:dyDescent="0.2">
      <c r="B18" s="110" t="s">
        <v>1038</v>
      </c>
      <c r="C18" s="165">
        <f>SUMIFS('caseload data'!E:E,'caseload data'!$D:$D,"PSO",'caseload data'!$C:$C,'custody caseload'!$B$15,'caseload data'!$B:$B,"custody")</f>
        <v>0</v>
      </c>
      <c r="D18" s="165">
        <f>SUMIFS('caseload data'!F:F,'caseload data'!$D:$D,"PSO",'caseload data'!$C:$C,'custody caseload'!$B$15,'caseload data'!$B:$B,"custody")</f>
        <v>0</v>
      </c>
      <c r="E18" s="165">
        <f>SUMIFS('caseload data'!G:G,'caseload data'!$D:$D,"PSO",'caseload data'!$C:$C,'custody caseload'!$B$15,'caseload data'!$B:$B,"custody")</f>
        <v>0</v>
      </c>
      <c r="F18" s="165">
        <f>SUMIFS('caseload data'!H:H,'caseload data'!$D:$D,"PSO",'caseload data'!$C:$C,'custody caseload'!$B$15,'caseload data'!$B:$B,"custody")</f>
        <v>0</v>
      </c>
      <c r="G18" s="165">
        <f>SUMIFS('caseload data'!I:I,'caseload data'!$D:$D,"PSO",'caseload data'!$C:$C,'custody caseload'!$B$15,'caseload data'!$B:$B,"custody")</f>
        <v>0</v>
      </c>
      <c r="H18" s="165">
        <f>SUMIFS('caseload data'!J:J,'caseload data'!$D:$D,"PSO",'caseload data'!$C:$C,'custody caseload'!$B$15,'caseload data'!$B:$B,"custody")</f>
        <v>0</v>
      </c>
      <c r="I18" s="165">
        <f>SUMIFS('caseload data'!K:K,'caseload data'!$D:$D,"PSO",'caseload data'!$C:$C,'custody caseload'!$B$15,'caseload data'!$B:$B,"custody")</f>
        <v>0</v>
      </c>
      <c r="J18" s="165">
        <f>SUMIFS('caseload data'!L:L,'caseload data'!$D:$D,"PSO",'caseload data'!$C:$C,'custody caseload'!$B$15,'caseload data'!$B:$B,"custody")</f>
        <v>0</v>
      </c>
      <c r="K18" s="107">
        <f>SUMIFS('caseload data'!M:M,'caseload data'!$D:$D,"PSO",'caseload data'!$C:$C,'custody caseload'!$B$15,'caseload data'!$B:$B,"custody")</f>
        <v>0</v>
      </c>
      <c r="L18" s="107">
        <f>SUMIFS('caseload data'!N:N,'caseload data'!$D:$D,"PSO",'caseload data'!$C:$C,'custody caseload'!$B$15,'caseload data'!$B:$B,"custody")</f>
        <v>0</v>
      </c>
      <c r="M18" s="107">
        <f>SUMIFS('caseload data'!O:O,'caseload data'!$D:$D,"PSO",'caseload data'!$C:$C,'custody caseload'!$B$15,'caseload data'!$B:$B,"custody")</f>
        <v>0</v>
      </c>
      <c r="N18" s="107">
        <f>SUMIFS('caseload data'!P:P,'caseload data'!$D:$D,"PSO",'caseload data'!$C:$C,'custody caseload'!$B$15,'caseload data'!$B:$B,"custody")</f>
        <v>0</v>
      </c>
      <c r="O18" s="107">
        <f>SUMIFS('caseload data'!Q:Q,'caseload data'!$D:$D,"PSO",'caseload data'!$C:$C,'custody caseload'!$B$15,'caseload data'!$B:$B,"custody")</f>
        <v>0</v>
      </c>
      <c r="P18" s="107">
        <f>SUMIFS('caseload data'!R:R,'caseload data'!$D:$D,"PSO",'caseload data'!$C:$C,'custody caseload'!$B$15,'caseload data'!$B:$B,"custody")</f>
        <v>0</v>
      </c>
      <c r="Q18" s="107">
        <f>SUMIFS('caseload data'!S:S,'caseload data'!$D:$D,"PSO",'caseload data'!$C:$C,'custody caseload'!$B$15,'caseload data'!$B:$B,"custody")</f>
        <v>0</v>
      </c>
      <c r="R18" s="107">
        <f>SUMIFS('caseload data'!T:T,'caseload data'!$D:$D,"PSO",'caseload data'!$C:$C,'custody caseload'!$B$15,'caseload data'!$B:$B,"custody")</f>
        <v>0</v>
      </c>
      <c r="S18" s="76"/>
      <c r="T18" s="110" t="s">
        <v>1038</v>
      </c>
      <c r="U18" s="165">
        <f>SUMIFS('caseload data'!E:E,'caseload data'!$D:$D,"PSO",'caseload data'!$C:$C,'custody caseload'!$T$15,'caseload data'!$B:$B,"custody")</f>
        <v>0</v>
      </c>
      <c r="V18" s="165">
        <f>SUMIFS('caseload data'!F:F,'caseload data'!$D:$D,"PSO",'caseload data'!$C:$C,'custody caseload'!$T$15,'caseload data'!$B:$B,"custody")</f>
        <v>0</v>
      </c>
      <c r="W18" s="165">
        <f>SUMIFS('caseload data'!G:G,'caseload data'!$D:$D,"PSO",'caseload data'!$C:$C,'custody caseload'!$T$15,'caseload data'!$B:$B,"custody")</f>
        <v>0</v>
      </c>
      <c r="X18" s="165">
        <f>SUMIFS('caseload data'!H:H,'caseload data'!$D:$D,"PSO",'caseload data'!$C:$C,'custody caseload'!$T$15,'caseload data'!$B:$B,"custody")</f>
        <v>0</v>
      </c>
      <c r="Y18" s="165">
        <f>SUMIFS('caseload data'!I:I,'caseload data'!$D:$D,"PSO",'caseload data'!$C:$C,'custody caseload'!$T$15,'caseload data'!$B:$B,"custody")</f>
        <v>0</v>
      </c>
      <c r="Z18" s="165">
        <f>SUMIFS('caseload data'!J:J,'caseload data'!$D:$D,"PSO",'caseload data'!$C:$C,'custody caseload'!$T$15,'caseload data'!$B:$B,"custody")</f>
        <v>0</v>
      </c>
      <c r="AA18" s="165">
        <f>SUMIFS('caseload data'!K:K,'caseload data'!$D:$D,"PSO",'caseload data'!$C:$C,'custody caseload'!$T$15,'caseload data'!$B:$B,"custody")</f>
        <v>0</v>
      </c>
      <c r="AB18" s="165">
        <f>SUMIFS('caseload data'!L:L,'caseload data'!$D:$D,"PSO",'caseload data'!$C:$C,'custody caseload'!$T$15,'caseload data'!$B:$B,"custody")</f>
        <v>0</v>
      </c>
      <c r="AC18" s="107">
        <f>SUMIFS('caseload data'!M:M,'caseload data'!$D:$D,"PSO",'caseload data'!$C:$C,'custody caseload'!$T$15,'caseload data'!$B:$B,"custody")</f>
        <v>0</v>
      </c>
      <c r="AD18" s="107">
        <f>SUMIFS('caseload data'!N:N,'caseload data'!$D:$D,"PSO",'caseload data'!$C:$C,'custody caseload'!$T$15,'caseload data'!$B:$B,"custody")</f>
        <v>0</v>
      </c>
      <c r="AE18" s="107">
        <f>SUMIFS('caseload data'!O:O,'caseload data'!$D:$D,"PSO",'caseload data'!$C:$C,'custody caseload'!$T$15,'caseload data'!$B:$B,"custody")</f>
        <v>0</v>
      </c>
      <c r="AF18" s="107">
        <f>SUMIFS('caseload data'!P:P,'caseload data'!$D:$D,"PSO",'caseload data'!$C:$C,'custody caseload'!$T$15,'caseload data'!$B:$B,"custody")</f>
        <v>0</v>
      </c>
      <c r="AG18" s="107">
        <f>SUMIFS('caseload data'!Q:Q,'caseload data'!$D:$D,"PSO",'caseload data'!$C:$C,'custody caseload'!$T$15,'caseload data'!$B:$B,"custody")</f>
        <v>0</v>
      </c>
      <c r="AH18" s="107">
        <f>SUMIFS('caseload data'!R:R,'caseload data'!$D:$D,"PSO",'caseload data'!$C:$C,'custody caseload'!$T$15,'caseload data'!$B:$B,"custody")</f>
        <v>0</v>
      </c>
      <c r="AI18" s="107">
        <f>SUMIFS('caseload data'!S:S,'caseload data'!$D:$D,"PSO",'caseload data'!$C:$C,'custody caseload'!$T$15,'caseload data'!$B:$B,"custody")</f>
        <v>0</v>
      </c>
      <c r="AJ18" s="107">
        <f>SUMIFS('caseload data'!T:T,'caseload data'!$D:$D,"PSO",'caseload data'!$C:$C,'custody caseload'!$T$15,'caseload data'!$B:$B,"custody")</f>
        <v>0</v>
      </c>
    </row>
    <row r="19" spans="2:36" ht="15" x14ac:dyDescent="0.2">
      <c r="B19" s="110" t="s">
        <v>1039</v>
      </c>
      <c r="C19" s="165">
        <f>SUMIFS('caseload data'!E:E,'caseload data'!$D:$D,"TPO",'caseload data'!$C:$C,'custody caseload'!$B$15,'caseload data'!$B:$B,"custody")</f>
        <v>0</v>
      </c>
      <c r="D19" s="165">
        <f>SUMIFS('caseload data'!F:F,'caseload data'!$D:$D,"TPO",'caseload data'!$C:$C,'custody caseload'!$B$15,'caseload data'!$B:$B,"custody")</f>
        <v>0</v>
      </c>
      <c r="E19" s="165">
        <f>SUMIFS('caseload data'!G:G,'caseload data'!$D:$D,"TPO",'caseload data'!$C:$C,'custody caseload'!$B$15,'caseload data'!$B:$B,"custody")</f>
        <v>0</v>
      </c>
      <c r="F19" s="165">
        <f>SUMIFS('caseload data'!H:H,'caseload data'!$D:$D,"TPO",'caseload data'!$C:$C,'custody caseload'!$B$15,'caseload data'!$B:$B,"custody")</f>
        <v>0</v>
      </c>
      <c r="G19" s="165">
        <f>SUMIFS('caseload data'!I:I,'caseload data'!$D:$D,"TPO",'caseload data'!$C:$C,'custody caseload'!$B$15,'caseload data'!$B:$B,"custody")</f>
        <v>0</v>
      </c>
      <c r="H19" s="165">
        <f>SUMIFS('caseload data'!J:J,'caseload data'!$D:$D,"TPO",'caseload data'!$C:$C,'custody caseload'!$B$15,'caseload data'!$B:$B,"custody")</f>
        <v>0</v>
      </c>
      <c r="I19" s="165">
        <f>SUMIFS('caseload data'!K:K,'caseload data'!$D:$D,"TPO",'caseload data'!$C:$C,'custody caseload'!$B$15,'caseload data'!$B:$B,"custody")</f>
        <v>0</v>
      </c>
      <c r="J19" s="165">
        <f>SUMIFS('caseload data'!L:L,'caseload data'!$D:$D,"TPO",'caseload data'!$C:$C,'custody caseload'!$B$15,'caseload data'!$B:$B,"custody")</f>
        <v>0</v>
      </c>
      <c r="K19" s="107">
        <f>SUMIFS('caseload data'!M:M,'caseload data'!$D:$D,"TPO",'caseload data'!$C:$C,'custody caseload'!$B$15,'caseload data'!$B:$B,"custody")</f>
        <v>0</v>
      </c>
      <c r="L19" s="107">
        <f>SUMIFS('caseload data'!N:N,'caseload data'!$D:$D,"TPO",'caseload data'!$C:$C,'custody caseload'!$B$15,'caseload data'!$B:$B,"custody")</f>
        <v>0</v>
      </c>
      <c r="M19" s="107">
        <f>SUMIFS('caseload data'!O:O,'caseload data'!$D:$D,"TPO",'caseload data'!$C:$C,'custody caseload'!$B$15,'caseload data'!$B:$B,"custody")</f>
        <v>0</v>
      </c>
      <c r="N19" s="107">
        <f>SUMIFS('caseload data'!P:P,'caseload data'!$D:$D,"TPO",'caseload data'!$C:$C,'custody caseload'!$B$15,'caseload data'!$B:$B,"custody")</f>
        <v>0</v>
      </c>
      <c r="O19" s="107">
        <f>SUMIFS('caseload data'!Q:Q,'caseload data'!$D:$D,"TPO",'caseload data'!$C:$C,'custody caseload'!$B$15,'caseload data'!$B:$B,"custody")</f>
        <v>0</v>
      </c>
      <c r="P19" s="107">
        <f>SUMIFS('caseload data'!R:R,'caseload data'!$D:$D,"TPO",'caseload data'!$C:$C,'custody caseload'!$B$15,'caseload data'!$B:$B,"custody")</f>
        <v>0</v>
      </c>
      <c r="Q19" s="107">
        <f>SUMIFS('caseload data'!S:S,'caseload data'!$D:$D,"TPO",'caseload data'!$C:$C,'custody caseload'!$B$15,'caseload data'!$B:$B,"custody")</f>
        <v>0</v>
      </c>
      <c r="R19" s="107">
        <f>SUMIFS('caseload data'!T:T,'caseload data'!$D:$D,"TPO",'caseload data'!$C:$C,'custody caseload'!$B$15,'caseload data'!$B:$B,"custody")</f>
        <v>0</v>
      </c>
      <c r="S19" s="76"/>
      <c r="T19" s="110" t="s">
        <v>1039</v>
      </c>
      <c r="U19" s="165">
        <f>SUMIFS('caseload data'!E:E,'caseload data'!$D:$D,"TPO",'caseload data'!$C:$C,'custody caseload'!$T$15,'caseload data'!$B:$B,"custody")</f>
        <v>0</v>
      </c>
      <c r="V19" s="165">
        <f>SUMIFS('caseload data'!F:F,'caseload data'!$D:$D,"TPO",'caseload data'!$C:$C,'custody caseload'!$T$15,'caseload data'!$B:$B,"custody")</f>
        <v>0</v>
      </c>
      <c r="W19" s="165">
        <f>SUMIFS('caseload data'!G:G,'caseload data'!$D:$D,"TPO",'caseload data'!$C:$C,'custody caseload'!$T$15,'caseload data'!$B:$B,"custody")</f>
        <v>0</v>
      </c>
      <c r="X19" s="165">
        <f>SUMIFS('caseload data'!H:H,'caseload data'!$D:$D,"TPO",'caseload data'!$C:$C,'custody caseload'!$T$15,'caseload data'!$B:$B,"custody")</f>
        <v>0</v>
      </c>
      <c r="Y19" s="165">
        <f>SUMIFS('caseload data'!I:I,'caseload data'!$D:$D,"TPO",'caseload data'!$C:$C,'custody caseload'!$T$15,'caseload data'!$B:$B,"custody")</f>
        <v>0</v>
      </c>
      <c r="Z19" s="165">
        <f>SUMIFS('caseload data'!J:J,'caseload data'!$D:$D,"TPO",'caseload data'!$C:$C,'custody caseload'!$T$15,'caseload data'!$B:$B,"custody")</f>
        <v>0</v>
      </c>
      <c r="AA19" s="165">
        <f>SUMIFS('caseload data'!K:K,'caseload data'!$D:$D,"TPO",'caseload data'!$C:$C,'custody caseload'!$T$15,'caseload data'!$B:$B,"custody")</f>
        <v>0</v>
      </c>
      <c r="AB19" s="165">
        <f>SUMIFS('caseload data'!L:L,'caseload data'!$D:$D,"TPO",'caseload data'!$C:$C,'custody caseload'!$T$15,'caseload data'!$B:$B,"custody")</f>
        <v>0</v>
      </c>
      <c r="AC19" s="107">
        <f>SUMIFS('caseload data'!M:M,'caseload data'!$D:$D,"TPO",'caseload data'!$C:$C,'custody caseload'!$T$15,'caseload data'!$B:$B,"custody")</f>
        <v>0</v>
      </c>
      <c r="AD19" s="107">
        <f>SUMIFS('caseload data'!N:N,'caseload data'!$D:$D,"TPO",'caseload data'!$C:$C,'custody caseload'!$T$15,'caseload data'!$B:$B,"custody")</f>
        <v>0</v>
      </c>
      <c r="AE19" s="107">
        <f>SUMIFS('caseload data'!O:O,'caseload data'!$D:$D,"TPO",'caseload data'!$C:$C,'custody caseload'!$T$15,'caseload data'!$B:$B,"custody")</f>
        <v>0</v>
      </c>
      <c r="AF19" s="107">
        <f>SUMIFS('caseload data'!P:P,'caseload data'!$D:$D,"TPO",'caseload data'!$C:$C,'custody caseload'!$T$15,'caseload data'!$B:$B,"custody")</f>
        <v>0</v>
      </c>
      <c r="AG19" s="107">
        <f>SUMIFS('caseload data'!Q:Q,'caseload data'!$D:$D,"TPO",'caseload data'!$C:$C,'custody caseload'!$T$15,'caseload data'!$B:$B,"custody")</f>
        <v>0</v>
      </c>
      <c r="AH19" s="107">
        <f>SUMIFS('caseload data'!R:R,'caseload data'!$D:$D,"TPO",'caseload data'!$C:$C,'custody caseload'!$T$15,'caseload data'!$B:$B,"custody")</f>
        <v>0</v>
      </c>
      <c r="AI19" s="107">
        <f>SUMIFS('caseload data'!S:S,'caseload data'!$D:$D,"TPO",'caseload data'!$C:$C,'custody caseload'!$T$15,'caseload data'!$B:$B,"custody")</f>
        <v>0</v>
      </c>
      <c r="AJ19" s="107">
        <f>SUMIFS('caseload data'!T:T,'caseload data'!$D:$D,"TPO",'caseload data'!$C:$C,'custody caseload'!$T$15,'caseload data'!$B:$B,"custody")</f>
        <v>0</v>
      </c>
    </row>
    <row r="20" spans="2:36" x14ac:dyDescent="0.15">
      <c r="B20" s="111" t="s">
        <v>1040</v>
      </c>
      <c r="C20" s="107">
        <f>SUMIFS('caseload data'!E:E,'caseload data'!$D:$D,"SPO",'caseload data'!$C:$C,'custody caseload'!$B$15,'caseload data'!$B:$B,"custody")</f>
        <v>0</v>
      </c>
      <c r="D20" s="107">
        <f>SUMIFS('caseload data'!F:F,'caseload data'!$D:$D,"SPO",'caseload data'!$C:$C,'custody caseload'!$B$15,'caseload data'!$B:$B,"custody")</f>
        <v>0</v>
      </c>
      <c r="E20" s="107">
        <f>SUMIFS('caseload data'!G:G,'caseload data'!$D:$D,"SPO",'caseload data'!$C:$C,'custody caseload'!$B$15,'caseload data'!$B:$B,"custody")</f>
        <v>0</v>
      </c>
      <c r="F20" s="107">
        <f>SUMIFS('caseload data'!H:H,'caseload data'!$D:$D,"SPO",'caseload data'!$C:$C,'custody caseload'!$B$15,'caseload data'!$B:$B,"custody")</f>
        <v>0</v>
      </c>
      <c r="G20" s="107">
        <f>SUMIFS('caseload data'!I:I,'caseload data'!$D:$D,"SPO",'caseload data'!$C:$C,'custody caseload'!$B$15,'caseload data'!$B:$B,"custody")</f>
        <v>0</v>
      </c>
      <c r="H20" s="107">
        <f>SUMIFS('caseload data'!J:J,'caseload data'!$D:$D,"SPO",'caseload data'!$C:$C,'custody caseload'!$B$15,'caseload data'!$B:$B,"custody")</f>
        <v>0</v>
      </c>
      <c r="I20" s="107">
        <f>SUMIFS('caseload data'!K:K,'caseload data'!$D:$D,"SPO",'caseload data'!$C:$C,'custody caseload'!$B$15,'caseload data'!$B:$B,"custody")</f>
        <v>0</v>
      </c>
      <c r="J20" s="107">
        <f>SUMIFS('caseload data'!L:L,'caseload data'!$D:$D,"SPO",'caseload data'!$C:$C,'custody caseload'!$B$15,'caseload data'!$B:$B,"custody")</f>
        <v>0</v>
      </c>
      <c r="K20" s="107">
        <f>SUMIFS('caseload data'!M:M,'caseload data'!$D:$D,"SPO",'caseload data'!$C:$C,'custody caseload'!$B$15,'caseload data'!$B:$B,"custody")</f>
        <v>0</v>
      </c>
      <c r="L20" s="107">
        <f>SUMIFS('caseload data'!N:N,'caseload data'!$D:$D,"SPO",'caseload data'!$C:$C,'custody caseload'!$B$15,'caseload data'!$B:$B,"custody")</f>
        <v>0</v>
      </c>
      <c r="M20" s="107">
        <f>SUMIFS('caseload data'!O:O,'caseload data'!$D:$D,"SPO",'caseload data'!$C:$C,'custody caseload'!$B$15,'caseload data'!$B:$B,"custody")</f>
        <v>0</v>
      </c>
      <c r="N20" s="107">
        <f>SUMIFS('caseload data'!P:P,'caseload data'!$D:$D,"SPO",'caseload data'!$C:$C,'custody caseload'!$B$15,'caseload data'!$B:$B,"custody")</f>
        <v>0</v>
      </c>
      <c r="O20" s="107">
        <f>SUMIFS('caseload data'!Q:Q,'caseload data'!$D:$D,"SPO",'caseload data'!$C:$C,'custody caseload'!$B$15,'caseload data'!$B:$B,"custody")</f>
        <v>0</v>
      </c>
      <c r="P20" s="107">
        <f>SUMIFS('caseload data'!R:R,'caseload data'!$D:$D,"SPO",'caseload data'!$C:$C,'custody caseload'!$B$15,'caseload data'!$B:$B,"custody")</f>
        <v>0</v>
      </c>
      <c r="Q20" s="107">
        <f>SUMIFS('caseload data'!S:S,'caseload data'!$D:$D,"SPO",'caseload data'!$C:$C,'custody caseload'!$B$15,'caseload data'!$B:$B,"custody")</f>
        <v>0</v>
      </c>
      <c r="R20" s="107">
        <f>SUMIFS('caseload data'!T:T,'caseload data'!$D:$D,"SPO",'caseload data'!$C:$C,'custody caseload'!$B$15,'caseload data'!$B:$B,"custody")</f>
        <v>0</v>
      </c>
      <c r="S20" s="76"/>
      <c r="T20" s="111" t="s">
        <v>1040</v>
      </c>
      <c r="U20" s="107">
        <f>SUMIFS('caseload data'!E:E,'caseload data'!$D:$D,"SPO",'caseload data'!$C:$C,'custody caseload'!$T$15,'caseload data'!$B:$B,"custody")</f>
        <v>0</v>
      </c>
      <c r="V20" s="107">
        <f>SUMIFS('caseload data'!F:F,'caseload data'!$D:$D,"SPO",'caseload data'!$C:$C,'custody caseload'!$T$15,'caseload data'!$B:$B,"custody")</f>
        <v>0</v>
      </c>
      <c r="W20" s="107">
        <f>SUMIFS('caseload data'!G:G,'caseload data'!$D:$D,"SPO",'caseload data'!$C:$C,'custody caseload'!$T$15,'caseload data'!$B:$B,"custody")</f>
        <v>0</v>
      </c>
      <c r="X20" s="107">
        <f>SUMIFS('caseload data'!H:H,'caseload data'!$D:$D,"SPO",'caseload data'!$C:$C,'custody caseload'!$T$15,'caseload data'!$B:$B,"custody")</f>
        <v>0</v>
      </c>
      <c r="Y20" s="107">
        <f>SUMIFS('caseload data'!I:I,'caseload data'!$D:$D,"SPO",'caseload data'!$C:$C,'custody caseload'!$T$15,'caseload data'!$B:$B,"custody")</f>
        <v>0</v>
      </c>
      <c r="Z20" s="107">
        <f>SUMIFS('caseload data'!J:J,'caseload data'!$D:$D,"SPO",'caseload data'!$C:$C,'custody caseload'!$T$15,'caseload data'!$B:$B,"custody")</f>
        <v>0</v>
      </c>
      <c r="AA20" s="107">
        <f>SUMIFS('caseload data'!K:K,'caseload data'!$D:$D,"SPO",'caseload data'!$C:$C,'custody caseload'!$T$15,'caseload data'!$B:$B,"custody")</f>
        <v>0</v>
      </c>
      <c r="AB20" s="107">
        <f>SUMIFS('caseload data'!L:L,'caseload data'!$D:$D,"SPO",'caseload data'!$C:$C,'custody caseload'!$T$15,'caseload data'!$B:$B,"custody")</f>
        <v>0</v>
      </c>
      <c r="AC20" s="107">
        <f>SUMIFS('caseload data'!M:M,'caseload data'!$D:$D,"SPO",'caseload data'!$C:$C,'custody caseload'!$T$15,'caseload data'!$B:$B,"custody")</f>
        <v>0</v>
      </c>
      <c r="AD20" s="107">
        <f>SUMIFS('caseload data'!N:N,'caseload data'!$D:$D,"SPO",'caseload data'!$C:$C,'custody caseload'!$T$15,'caseload data'!$B:$B,"custody")</f>
        <v>0</v>
      </c>
      <c r="AE20" s="107">
        <f>SUMIFS('caseload data'!O:O,'caseload data'!$D:$D,"SPO",'caseload data'!$C:$C,'custody caseload'!$T$15,'caseload data'!$B:$B,"custody")</f>
        <v>0</v>
      </c>
      <c r="AF20" s="107">
        <f>SUMIFS('caseload data'!P:P,'caseload data'!$D:$D,"SPO",'caseload data'!$C:$C,'custody caseload'!$T$15,'caseload data'!$B:$B,"custody")</f>
        <v>0</v>
      </c>
      <c r="AG20" s="107">
        <f>SUMIFS('caseload data'!Q:Q,'caseload data'!$D:$D,"SPO",'caseload data'!$C:$C,'custody caseload'!$T$15,'caseload data'!$B:$B,"custody")</f>
        <v>0</v>
      </c>
      <c r="AH20" s="107">
        <f>SUMIFS('caseload data'!R:R,'caseload data'!$D:$D,"SPO",'caseload data'!$C:$C,'custody caseload'!$T$15,'caseload data'!$B:$B,"custody")</f>
        <v>0</v>
      </c>
      <c r="AI20" s="107">
        <f>SUMIFS('caseload data'!S:S,'caseload data'!$D:$D,"SPO",'caseload data'!$C:$C,'custody caseload'!$T$15,'caseload data'!$B:$B,"custody")</f>
        <v>0</v>
      </c>
      <c r="AJ20" s="107">
        <f>SUMIFS('caseload data'!T:T,'caseload data'!$D:$D,"SPO",'caseload data'!$C:$C,'custody caseload'!$T$15,'caseload data'!$B:$B,"custody")</f>
        <v>0</v>
      </c>
    </row>
    <row r="21" spans="2:36" x14ac:dyDescent="0.15">
      <c r="B21" s="10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04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</row>
    <row r="22" spans="2:36" ht="30.75" customHeight="1" x14ac:dyDescent="0.15">
      <c r="B22" s="162" t="str">
        <f>HLOOKUP($B$5,Region_Table,6,0)</f>
        <v>Camden, Islington</v>
      </c>
      <c r="C22" s="333" t="s">
        <v>1262</v>
      </c>
      <c r="D22" s="334"/>
      <c r="E22" s="334"/>
      <c r="F22" s="334"/>
      <c r="G22" s="334"/>
      <c r="H22" s="334"/>
      <c r="I22" s="334"/>
      <c r="J22" s="334"/>
      <c r="K22" s="334"/>
      <c r="L22" s="334"/>
      <c r="M22" s="343"/>
      <c r="N22" s="343"/>
      <c r="O22" s="344"/>
      <c r="P22" s="337">
        <f>SUMIFS('caseload data'!V:V,'caseload data'!B:B,"custody",'caseload data'!$C:$C,'custody caseload'!B22)</f>
        <v>0</v>
      </c>
      <c r="Q22" s="345"/>
      <c r="R22" s="346"/>
      <c r="S22" s="76"/>
      <c r="T22" s="162" t="str">
        <f>HLOOKUP($B$5,Region_Table,7,0)</f>
        <v>Community Integration</v>
      </c>
      <c r="U22" s="333" t="s">
        <v>1262</v>
      </c>
      <c r="V22" s="334"/>
      <c r="W22" s="334"/>
      <c r="X22" s="334"/>
      <c r="Y22" s="334"/>
      <c r="Z22" s="334"/>
      <c r="AA22" s="334"/>
      <c r="AB22" s="334"/>
      <c r="AC22" s="334"/>
      <c r="AD22" s="334"/>
      <c r="AE22" s="343"/>
      <c r="AF22" s="343"/>
      <c r="AG22" s="344"/>
      <c r="AH22" s="337">
        <f>SUMIFS('caseload data'!V:V,'caseload data'!B:B,"custody",'caseload data'!$C:$C,'custody caseload'!T22)</f>
        <v>0</v>
      </c>
      <c r="AI22" s="345"/>
      <c r="AJ22" s="346"/>
    </row>
    <row r="23" spans="2:36" x14ac:dyDescent="0.15">
      <c r="B23" s="108" t="s">
        <v>1199</v>
      </c>
      <c r="C23" s="42" t="s">
        <v>1019</v>
      </c>
      <c r="D23" s="42" t="s">
        <v>1020</v>
      </c>
      <c r="E23" s="42" t="s">
        <v>1021</v>
      </c>
      <c r="F23" s="42" t="s">
        <v>1022</v>
      </c>
      <c r="G23" s="42" t="s">
        <v>1023</v>
      </c>
      <c r="H23" s="42" t="s">
        <v>1024</v>
      </c>
      <c r="I23" s="42" t="s">
        <v>1025</v>
      </c>
      <c r="J23" s="42" t="s">
        <v>1026</v>
      </c>
      <c r="K23" s="42" t="s">
        <v>1027</v>
      </c>
      <c r="L23" s="42" t="s">
        <v>1028</v>
      </c>
      <c r="M23" s="42" t="s">
        <v>1029</v>
      </c>
      <c r="N23" s="42" t="s">
        <v>1030</v>
      </c>
      <c r="O23" s="42" t="s">
        <v>1031</v>
      </c>
      <c r="P23" s="42" t="s">
        <v>1032</v>
      </c>
      <c r="Q23" s="42" t="s">
        <v>1033</v>
      </c>
      <c r="R23" s="42" t="s">
        <v>1034</v>
      </c>
      <c r="S23" s="76"/>
      <c r="T23" s="108" t="s">
        <v>1199</v>
      </c>
      <c r="U23" s="42" t="s">
        <v>1019</v>
      </c>
      <c r="V23" s="42" t="s">
        <v>1020</v>
      </c>
      <c r="W23" s="42" t="s">
        <v>1021</v>
      </c>
      <c r="X23" s="42" t="s">
        <v>1022</v>
      </c>
      <c r="Y23" s="42" t="s">
        <v>1023</v>
      </c>
      <c r="Z23" s="42" t="s">
        <v>1024</v>
      </c>
      <c r="AA23" s="42" t="s">
        <v>1025</v>
      </c>
      <c r="AB23" s="42" t="s">
        <v>1026</v>
      </c>
      <c r="AC23" s="42" t="s">
        <v>1027</v>
      </c>
      <c r="AD23" s="42" t="s">
        <v>1028</v>
      </c>
      <c r="AE23" s="42" t="s">
        <v>1029</v>
      </c>
      <c r="AF23" s="42" t="s">
        <v>1030</v>
      </c>
      <c r="AG23" s="42" t="s">
        <v>1031</v>
      </c>
      <c r="AH23" s="42" t="s">
        <v>1032</v>
      </c>
      <c r="AI23" s="42" t="s">
        <v>1033</v>
      </c>
      <c r="AJ23" s="42" t="s">
        <v>1034</v>
      </c>
    </row>
    <row r="24" spans="2:36" x14ac:dyDescent="0.15">
      <c r="B24" s="109" t="s">
        <v>1037</v>
      </c>
      <c r="C24" s="107">
        <f>SUMIFS('caseload data'!E:E,'caseload data'!$D:$D,"PO",'caseload data'!$C:$C,'custody caseload'!$B$22,'caseload data'!$B:$B,"custody")</f>
        <v>0</v>
      </c>
      <c r="D24" s="107">
        <f>SUMIFS('caseload data'!F:F,'caseload data'!$D:$D,"PO",'caseload data'!$C:$C,'custody caseload'!$B$22,'caseload data'!$B:$B,"custody")</f>
        <v>0</v>
      </c>
      <c r="E24" s="107">
        <f>SUMIFS('caseload data'!G:G,'caseload data'!$D:$D,"PO",'caseload data'!$C:$C,'custody caseload'!$B$22,'caseload data'!$B:$B,"custody")</f>
        <v>0</v>
      </c>
      <c r="F24" s="107">
        <f>SUMIFS('caseload data'!H:H,'caseload data'!$D:$D,"PO",'caseload data'!$C:$C,'custody caseload'!$B$22,'caseload data'!$B:$B,"custody")</f>
        <v>0</v>
      </c>
      <c r="G24" s="107">
        <f>SUMIFS('caseload data'!I:I,'caseload data'!$D:$D,"PO",'caseload data'!$C:$C,'custody caseload'!$B$22,'caseload data'!$B:$B,"custody")</f>
        <v>0</v>
      </c>
      <c r="H24" s="107">
        <f>SUMIFS('caseload data'!J:J,'caseload data'!$D:$D,"PO",'caseload data'!$C:$C,'custody caseload'!$B$22,'caseload data'!$B:$B,"custody")</f>
        <v>0</v>
      </c>
      <c r="I24" s="107">
        <f>SUMIFS('caseload data'!K:K,'caseload data'!$D:$D,"PO",'caseload data'!$C:$C,'custody caseload'!$B$22,'caseload data'!$B:$B,"custody")</f>
        <v>0</v>
      </c>
      <c r="J24" s="107">
        <f>SUMIFS('caseload data'!L:L,'caseload data'!$D:$D,"PO",'caseload data'!$C:$C,'custody caseload'!$B$22,'caseload data'!$B:$B,"custody")</f>
        <v>0</v>
      </c>
      <c r="K24" s="107">
        <f>SUMIFS('caseload data'!M:M,'caseload data'!$D:$D,"PO",'caseload data'!$C:$C,'custody caseload'!$B$22,'caseload data'!$B:$B,"custody")</f>
        <v>0</v>
      </c>
      <c r="L24" s="107">
        <f>SUMIFS('caseload data'!N:N,'caseload data'!$D:$D,"PO",'caseload data'!$C:$C,'custody caseload'!$B$22,'caseload data'!$B:$B,"custody")</f>
        <v>0</v>
      </c>
      <c r="M24" s="107">
        <f>SUMIFS('caseload data'!O:O,'caseload data'!$D:$D,"PO",'caseload data'!$C:$C,'custody caseload'!$B$22,'caseload data'!$B:$B,"custody")</f>
        <v>0</v>
      </c>
      <c r="N24" s="107">
        <f>SUMIFS('caseload data'!P:P,'caseload data'!$D:$D,"PO",'caseload data'!$C:$C,'custody caseload'!$B$22,'caseload data'!$B:$B,"custody")</f>
        <v>0</v>
      </c>
      <c r="O24" s="107">
        <f>SUMIFS('caseload data'!Q:Q,'caseload data'!$D:$D,"PO",'caseload data'!$C:$C,'custody caseload'!$B$22,'caseload data'!$B:$B,"custody")</f>
        <v>0</v>
      </c>
      <c r="P24" s="107">
        <f>SUMIFS('caseload data'!R:R,'caseload data'!$D:$D,"PO",'caseload data'!$C:$C,'custody caseload'!$B$22,'caseload data'!$B:$B,"custody")</f>
        <v>0</v>
      </c>
      <c r="Q24" s="107">
        <f>SUMIFS('caseload data'!S:S,'caseload data'!$D:$D,"PO",'caseload data'!$C:$C,'custody caseload'!$B$22,'caseload data'!$B:$B,"custody")</f>
        <v>0</v>
      </c>
      <c r="R24" s="107">
        <f>SUMIFS('caseload data'!T:T,'caseload data'!$D:$D,"PO",'caseload data'!$C:$C,'custody caseload'!$B$22,'caseload data'!$B:$B,"custody")</f>
        <v>0</v>
      </c>
      <c r="S24" s="76"/>
      <c r="T24" s="109" t="s">
        <v>1037</v>
      </c>
      <c r="U24" s="107">
        <f>SUMIFS('caseload data'!E:E,'caseload data'!$D:$D,"PO",'caseload data'!$C:$C,'custody caseload'!$T$22,'caseload data'!$B:$B,"custody")</f>
        <v>0</v>
      </c>
      <c r="V24" s="107">
        <f>SUMIFS('caseload data'!F:F,'caseload data'!$D:$D,"PO",'caseload data'!$C:$C,'custody caseload'!$T$22,'caseload data'!$B:$B,"custody")</f>
        <v>0</v>
      </c>
      <c r="W24" s="107">
        <f>SUMIFS('caseload data'!G:G,'caseload data'!$D:$D,"PO",'caseload data'!$C:$C,'custody caseload'!$T$22,'caseload data'!$B:$B,"custody")</f>
        <v>0</v>
      </c>
      <c r="X24" s="107">
        <f>SUMIFS('caseload data'!H:H,'caseload data'!$D:$D,"PO",'caseload data'!$C:$C,'custody caseload'!$T$22,'caseload data'!$B:$B,"custody")</f>
        <v>0</v>
      </c>
      <c r="Y24" s="107">
        <f>SUMIFS('caseload data'!I:I,'caseload data'!$D:$D,"PO",'caseload data'!$C:$C,'custody caseload'!$T$22,'caseload data'!$B:$B,"custody")</f>
        <v>0</v>
      </c>
      <c r="Z24" s="107">
        <f>SUMIFS('caseload data'!J:J,'caseload data'!$D:$D,"PO",'caseload data'!$C:$C,'custody caseload'!$T$22,'caseload data'!$B:$B,"custody")</f>
        <v>0</v>
      </c>
      <c r="AA24" s="107">
        <f>SUMIFS('caseload data'!K:K,'caseload data'!$D:$D,"PO",'caseload data'!$C:$C,'custody caseload'!$T$22,'caseload data'!$B:$B,"custody")</f>
        <v>0</v>
      </c>
      <c r="AB24" s="107">
        <f>SUMIFS('caseload data'!L:L,'caseload data'!$D:$D,"PO",'caseload data'!$C:$C,'custody caseload'!$T$22,'caseload data'!$B:$B,"custody")</f>
        <v>0</v>
      </c>
      <c r="AC24" s="107">
        <f>SUMIFS('caseload data'!M:M,'caseload data'!$D:$D,"PO",'caseload data'!$C:$C,'custody caseload'!$T$22,'caseload data'!$B:$B,"custody")</f>
        <v>0</v>
      </c>
      <c r="AD24" s="107">
        <f>SUMIFS('caseload data'!N:N,'caseload data'!$D:$D,"PO",'caseload data'!$C:$C,'custody caseload'!$T$22,'caseload data'!$B:$B,"custody")</f>
        <v>0</v>
      </c>
      <c r="AE24" s="107">
        <f>SUMIFS('caseload data'!O:O,'caseload data'!$D:$D,"PO",'caseload data'!$C:$C,'custody caseload'!$T$22,'caseload data'!$B:$B,"custody")</f>
        <v>0</v>
      </c>
      <c r="AF24" s="107">
        <f>SUMIFS('caseload data'!P:P,'caseload data'!$D:$D,"PO",'caseload data'!$C:$C,'custody caseload'!$T$22,'caseload data'!$B:$B,"custody")</f>
        <v>0</v>
      </c>
      <c r="AG24" s="107">
        <f>SUMIFS('caseload data'!Q:Q,'caseload data'!$D:$D,"PO",'caseload data'!$C:$C,'custody caseload'!$T$22,'caseload data'!$B:$B,"custody")</f>
        <v>0</v>
      </c>
      <c r="AH24" s="107">
        <f>SUMIFS('caseload data'!R:R,'caseload data'!$D:$D,"PO",'caseload data'!$C:$C,'custody caseload'!$T$22,'caseload data'!$B:$B,"custody")</f>
        <v>0</v>
      </c>
      <c r="AI24" s="107">
        <f>SUMIFS('caseload data'!S:S,'caseload data'!$D:$D,"PO",'caseload data'!$C:$C,'custody caseload'!$T$22,'caseload data'!$B:$B,"custody")</f>
        <v>0</v>
      </c>
      <c r="AJ24" s="107">
        <f>SUMIFS('caseload data'!T:T,'caseload data'!$D:$D,"PO",'caseload data'!$C:$C,'custody caseload'!$T$22,'caseload data'!$B:$B,"custody")</f>
        <v>0</v>
      </c>
    </row>
    <row r="25" spans="2:36" ht="15" x14ac:dyDescent="0.2">
      <c r="B25" s="110" t="s">
        <v>1038</v>
      </c>
      <c r="C25" s="165">
        <f>SUMIFS('caseload data'!E:E,'caseload data'!$D:$D,"PSO",'caseload data'!$C:$C,'custody caseload'!$B$22,'caseload data'!$B:$B,"custody")</f>
        <v>0</v>
      </c>
      <c r="D25" s="165">
        <f>SUMIFS('caseload data'!F:F,'caseload data'!$D:$D,"PSO",'caseload data'!$C:$C,'custody caseload'!$B$22,'caseload data'!$B:$B,"custody")</f>
        <v>0</v>
      </c>
      <c r="E25" s="165">
        <f>SUMIFS('caseload data'!G:G,'caseload data'!$D:$D,"PSO",'caseload data'!$C:$C,'custody caseload'!$B$22,'caseload data'!$B:$B,"custody")</f>
        <v>0</v>
      </c>
      <c r="F25" s="165">
        <f>SUMIFS('caseload data'!H:H,'caseload data'!$D:$D,"PSO",'caseload data'!$C:$C,'custody caseload'!$B$22,'caseload data'!$B:$B,"custody")</f>
        <v>0</v>
      </c>
      <c r="G25" s="165">
        <f>SUMIFS('caseload data'!I:I,'caseload data'!$D:$D,"PSO",'caseload data'!$C:$C,'custody caseload'!$B$22,'caseload data'!$B:$B,"custody")</f>
        <v>0</v>
      </c>
      <c r="H25" s="165">
        <f>SUMIFS('caseload data'!J:J,'caseload data'!$D:$D,"PSO",'caseload data'!$C:$C,'custody caseload'!$B$22,'caseload data'!$B:$B,"custody")</f>
        <v>0</v>
      </c>
      <c r="I25" s="165">
        <f>SUMIFS('caseload data'!K:K,'caseload data'!$D:$D,"PSO",'caseload data'!$C:$C,'custody caseload'!$B$22,'caseload data'!$B:$B,"custody")</f>
        <v>0</v>
      </c>
      <c r="J25" s="165">
        <f>SUMIFS('caseload data'!L:L,'caseload data'!$D:$D,"PSO",'caseload data'!$C:$C,'custody caseload'!$B$22,'caseload data'!$B:$B,"custody")</f>
        <v>0</v>
      </c>
      <c r="K25" s="107">
        <f>SUMIFS('caseload data'!M:M,'caseload data'!$D:$D,"PSO",'caseload data'!$C:$C,'custody caseload'!$B$22,'caseload data'!$B:$B,"custody")</f>
        <v>0</v>
      </c>
      <c r="L25" s="107">
        <f>SUMIFS('caseload data'!N:N,'caseload data'!$D:$D,"PSO",'caseload data'!$C:$C,'custody caseload'!$B$22,'caseload data'!$B:$B,"custody")</f>
        <v>0</v>
      </c>
      <c r="M25" s="107">
        <f>SUMIFS('caseload data'!O:O,'caseload data'!$D:$D,"PSO",'caseload data'!$C:$C,'custody caseload'!$B$22,'caseload data'!$B:$B,"custody")</f>
        <v>0</v>
      </c>
      <c r="N25" s="107">
        <f>SUMIFS('caseload data'!P:P,'caseload data'!$D:$D,"PSO",'caseload data'!$C:$C,'custody caseload'!$B$22,'caseload data'!$B:$B,"custody")</f>
        <v>0</v>
      </c>
      <c r="O25" s="107">
        <f>SUMIFS('caseload data'!Q:Q,'caseload data'!$D:$D,"PSO",'caseload data'!$C:$C,'custody caseload'!$B$22,'caseload data'!$B:$B,"custody")</f>
        <v>0</v>
      </c>
      <c r="P25" s="107">
        <f>SUMIFS('caseload data'!R:R,'caseload data'!$D:$D,"PSO",'caseload data'!$C:$C,'custody caseload'!$B$22,'caseload data'!$B:$B,"custody")</f>
        <v>0</v>
      </c>
      <c r="Q25" s="107">
        <f>SUMIFS('caseload data'!S:S,'caseload data'!$D:$D,"PSO",'caseload data'!$C:$C,'custody caseload'!$B$22,'caseload data'!$B:$B,"custody")</f>
        <v>0</v>
      </c>
      <c r="R25" s="107">
        <f>SUMIFS('caseload data'!T:T,'caseload data'!$D:$D,"PSO",'caseload data'!$C:$C,'custody caseload'!$B$22,'caseload data'!$B:$B,"custody")</f>
        <v>0</v>
      </c>
      <c r="S25" s="76"/>
      <c r="T25" s="110" t="s">
        <v>1038</v>
      </c>
      <c r="U25" s="165">
        <f>SUMIFS('caseload data'!E:E,'caseload data'!$D:$D,"PSO",'caseload data'!$C:$C,'custody caseload'!$T$22,'caseload data'!$B:$B,"custody")</f>
        <v>0</v>
      </c>
      <c r="V25" s="165">
        <f>SUMIFS('caseload data'!F:F,'caseload data'!$D:$D,"PSO",'caseload data'!$C:$C,'custody caseload'!$T$22,'caseload data'!$B:$B,"custody")</f>
        <v>0</v>
      </c>
      <c r="W25" s="165">
        <f>SUMIFS('caseload data'!G:G,'caseload data'!$D:$D,"PSO",'caseload data'!$C:$C,'custody caseload'!$T$22,'caseload data'!$B:$B,"custody")</f>
        <v>0</v>
      </c>
      <c r="X25" s="165">
        <f>SUMIFS('caseload data'!H:H,'caseload data'!$D:$D,"PSO",'caseload data'!$C:$C,'custody caseload'!$T$22,'caseload data'!$B:$B,"custody")</f>
        <v>0</v>
      </c>
      <c r="Y25" s="165">
        <f>SUMIFS('caseload data'!I:I,'caseload data'!$D:$D,"PSO",'caseload data'!$C:$C,'custody caseload'!$T$22,'caseload data'!$B:$B,"custody")</f>
        <v>0</v>
      </c>
      <c r="Z25" s="165">
        <f>SUMIFS('caseload data'!J:J,'caseload data'!$D:$D,"PSO",'caseload data'!$C:$C,'custody caseload'!$T$22,'caseload data'!$B:$B,"custody")</f>
        <v>0</v>
      </c>
      <c r="AA25" s="165">
        <f>SUMIFS('caseload data'!K:K,'caseload data'!$D:$D,"PSO",'caseload data'!$C:$C,'custody caseload'!$T$22,'caseload data'!$B:$B,"custody")</f>
        <v>0</v>
      </c>
      <c r="AB25" s="165">
        <f>SUMIFS('caseload data'!L:L,'caseload data'!$D:$D,"PSO",'caseload data'!$C:$C,'custody caseload'!$T$22,'caseload data'!$B:$B,"custody")</f>
        <v>0</v>
      </c>
      <c r="AC25" s="107">
        <f>SUMIFS('caseload data'!M:M,'caseload data'!$D:$D,"PSO",'caseload data'!$C:$C,'custody caseload'!$T$22,'caseload data'!$B:$B,"custody")</f>
        <v>0</v>
      </c>
      <c r="AD25" s="107">
        <f>SUMIFS('caseload data'!N:N,'caseload data'!$D:$D,"PSO",'caseload data'!$C:$C,'custody caseload'!$T$22,'caseload data'!$B:$B,"custody")</f>
        <v>0</v>
      </c>
      <c r="AE25" s="107">
        <f>SUMIFS('caseload data'!O:O,'caseload data'!$D:$D,"PSO",'caseload data'!$C:$C,'custody caseload'!$T$22,'caseload data'!$B:$B,"custody")</f>
        <v>0</v>
      </c>
      <c r="AF25" s="107">
        <f>SUMIFS('caseload data'!P:P,'caseload data'!$D:$D,"PSO",'caseload data'!$C:$C,'custody caseload'!$T$22,'caseload data'!$B:$B,"custody")</f>
        <v>0</v>
      </c>
      <c r="AG25" s="107">
        <f>SUMIFS('caseload data'!Q:Q,'caseload data'!$D:$D,"PSO",'caseload data'!$C:$C,'custody caseload'!$T$22,'caseload data'!$B:$B,"custody")</f>
        <v>0</v>
      </c>
      <c r="AH25" s="107">
        <f>SUMIFS('caseload data'!R:R,'caseload data'!$D:$D,"PSO",'caseload data'!$C:$C,'custody caseload'!$T$22,'caseload data'!$B:$B,"custody")</f>
        <v>0</v>
      </c>
      <c r="AI25" s="107">
        <f>SUMIFS('caseload data'!S:S,'caseload data'!$D:$D,"PSO",'caseload data'!$C:$C,'custody caseload'!$T$22,'caseload data'!$B:$B,"custody")</f>
        <v>0</v>
      </c>
      <c r="AJ25" s="107">
        <f>SUMIFS('caseload data'!T:T,'caseload data'!$D:$D,"PSO",'caseload data'!$C:$C,'custody caseload'!$T$22,'caseload data'!$B:$B,"custody")</f>
        <v>0</v>
      </c>
    </row>
    <row r="26" spans="2:36" ht="15" x14ac:dyDescent="0.2">
      <c r="B26" s="110" t="s">
        <v>1039</v>
      </c>
      <c r="C26" s="165">
        <f>SUMIFS('caseload data'!E:E,'caseload data'!$D:$D,"TPO",'caseload data'!$C:$C,'custody caseload'!$B$22,'caseload data'!$B:$B,"custody")</f>
        <v>0</v>
      </c>
      <c r="D26" s="165">
        <f>SUMIFS('caseload data'!F:F,'caseload data'!$D:$D,"TPO",'caseload data'!$C:$C,'custody caseload'!$B$22,'caseload data'!$B:$B,"custody")</f>
        <v>0</v>
      </c>
      <c r="E26" s="165">
        <f>SUMIFS('caseload data'!G:G,'caseload data'!$D:$D,"TPO",'caseload data'!$C:$C,'custody caseload'!$B$22,'caseload data'!$B:$B,"custody")</f>
        <v>0</v>
      </c>
      <c r="F26" s="165">
        <f>SUMIFS('caseload data'!H:H,'caseload data'!$D:$D,"TPO",'caseload data'!$C:$C,'custody caseload'!$B$22,'caseload data'!$B:$B,"custody")</f>
        <v>0</v>
      </c>
      <c r="G26" s="165">
        <f>SUMIFS('caseload data'!I:I,'caseload data'!$D:$D,"TPO",'caseload data'!$C:$C,'custody caseload'!$B$22,'caseload data'!$B:$B,"custody")</f>
        <v>0</v>
      </c>
      <c r="H26" s="165">
        <f>SUMIFS('caseload data'!J:J,'caseload data'!$D:$D,"TPO",'caseload data'!$C:$C,'custody caseload'!$B$22,'caseload data'!$B:$B,"custody")</f>
        <v>0</v>
      </c>
      <c r="I26" s="165">
        <f>SUMIFS('caseload data'!K:K,'caseload data'!$D:$D,"TPO",'caseload data'!$C:$C,'custody caseload'!$B$22,'caseload data'!$B:$B,"custody")</f>
        <v>0</v>
      </c>
      <c r="J26" s="165">
        <f>SUMIFS('caseload data'!L:L,'caseload data'!$D:$D,"TPO",'caseload data'!$C:$C,'custody caseload'!$B$22,'caseload data'!$B:$B,"custody")</f>
        <v>0</v>
      </c>
      <c r="K26" s="107">
        <f>SUMIFS('caseload data'!M:M,'caseload data'!$D:$D,"TPO",'caseload data'!$C:$C,'custody caseload'!$B$22,'caseload data'!$B:$B,"custody")</f>
        <v>0</v>
      </c>
      <c r="L26" s="107">
        <f>SUMIFS('caseload data'!N:N,'caseload data'!$D:$D,"TPO",'caseload data'!$C:$C,'custody caseload'!$B$22,'caseload data'!$B:$B,"custody")</f>
        <v>0</v>
      </c>
      <c r="M26" s="107">
        <f>SUMIFS('caseload data'!O:O,'caseload data'!$D:$D,"TPO",'caseload data'!$C:$C,'custody caseload'!$B$22,'caseload data'!$B:$B,"custody")</f>
        <v>0</v>
      </c>
      <c r="N26" s="107">
        <f>SUMIFS('caseload data'!P:P,'caseload data'!$D:$D,"TPO",'caseload data'!$C:$C,'custody caseload'!$B$22,'caseload data'!$B:$B,"custody")</f>
        <v>0</v>
      </c>
      <c r="O26" s="107">
        <f>SUMIFS('caseload data'!Q:Q,'caseload data'!$D:$D,"TPO",'caseload data'!$C:$C,'custody caseload'!$B$22,'caseload data'!$B:$B,"custody")</f>
        <v>0</v>
      </c>
      <c r="P26" s="107">
        <f>SUMIFS('caseload data'!R:R,'caseload data'!$D:$D,"TPO",'caseload data'!$C:$C,'custody caseload'!$B$22,'caseload data'!$B:$B,"custody")</f>
        <v>0</v>
      </c>
      <c r="Q26" s="107">
        <f>SUMIFS('caseload data'!S:S,'caseload data'!$D:$D,"TPO",'caseload data'!$C:$C,'custody caseload'!$B$22,'caseload data'!$B:$B,"custody")</f>
        <v>0</v>
      </c>
      <c r="R26" s="107">
        <f>SUMIFS('caseload data'!T:T,'caseload data'!$D:$D,"TPO",'caseload data'!$C:$C,'custody caseload'!$B$22,'caseload data'!$B:$B,"custody")</f>
        <v>0</v>
      </c>
      <c r="S26" s="76"/>
      <c r="T26" s="110" t="s">
        <v>1039</v>
      </c>
      <c r="U26" s="165">
        <f>SUMIFS('caseload data'!E:E,'caseload data'!$D:$D,"TPO",'caseload data'!$C:$C,'custody caseload'!$T$22,'caseload data'!$B:$B,"custody")</f>
        <v>0</v>
      </c>
      <c r="V26" s="165">
        <f>SUMIFS('caseload data'!F:F,'caseload data'!$D:$D,"TPO",'caseload data'!$C:$C,'custody caseload'!$T$22,'caseload data'!$B:$B,"custody")</f>
        <v>0</v>
      </c>
      <c r="W26" s="165">
        <f>SUMIFS('caseload data'!G:G,'caseload data'!$D:$D,"TPO",'caseload data'!$C:$C,'custody caseload'!$T$22,'caseload data'!$B:$B,"custody")</f>
        <v>0</v>
      </c>
      <c r="X26" s="165">
        <f>SUMIFS('caseload data'!H:H,'caseload data'!$D:$D,"TPO",'caseload data'!$C:$C,'custody caseload'!$T$22,'caseload data'!$B:$B,"custody")</f>
        <v>0</v>
      </c>
      <c r="Y26" s="165">
        <f>SUMIFS('caseload data'!I:I,'caseload data'!$D:$D,"TPO",'caseload data'!$C:$C,'custody caseload'!$T$22,'caseload data'!$B:$B,"custody")</f>
        <v>0</v>
      </c>
      <c r="Z26" s="165">
        <f>SUMIFS('caseload data'!J:J,'caseload data'!$D:$D,"TPO",'caseload data'!$C:$C,'custody caseload'!$T$22,'caseload data'!$B:$B,"custody")</f>
        <v>0</v>
      </c>
      <c r="AA26" s="165">
        <f>SUMIFS('caseload data'!K:K,'caseload data'!$D:$D,"TPO",'caseload data'!$C:$C,'custody caseload'!$T$22,'caseload data'!$B:$B,"custody")</f>
        <v>0</v>
      </c>
      <c r="AB26" s="165">
        <f>SUMIFS('caseload data'!L:L,'caseload data'!$D:$D,"TPO",'caseload data'!$C:$C,'custody caseload'!$T$22,'caseload data'!$B:$B,"custody")</f>
        <v>0</v>
      </c>
      <c r="AC26" s="107">
        <f>SUMIFS('caseload data'!M:M,'caseload data'!$D:$D,"TPO",'caseload data'!$C:$C,'custody caseload'!$T$22,'caseload data'!$B:$B,"custody")</f>
        <v>0</v>
      </c>
      <c r="AD26" s="107">
        <f>SUMIFS('caseload data'!N:N,'caseload data'!$D:$D,"TPO",'caseload data'!$C:$C,'custody caseload'!$T$22,'caseload data'!$B:$B,"custody")</f>
        <v>0</v>
      </c>
      <c r="AE26" s="107">
        <f>SUMIFS('caseload data'!O:O,'caseload data'!$D:$D,"TPO",'caseload data'!$C:$C,'custody caseload'!$T$22,'caseload data'!$B:$B,"custody")</f>
        <v>0</v>
      </c>
      <c r="AF26" s="107">
        <f>SUMIFS('caseload data'!P:P,'caseload data'!$D:$D,"TPO",'caseload data'!$C:$C,'custody caseload'!$T$22,'caseload data'!$B:$B,"custody")</f>
        <v>0</v>
      </c>
      <c r="AG26" s="107">
        <f>SUMIFS('caseload data'!Q:Q,'caseload data'!$D:$D,"TPO",'caseload data'!$C:$C,'custody caseload'!$T$22,'caseload data'!$B:$B,"custody")</f>
        <v>0</v>
      </c>
      <c r="AH26" s="107">
        <f>SUMIFS('caseload data'!R:R,'caseload data'!$D:$D,"TPO",'caseload data'!$C:$C,'custody caseload'!$T$22,'caseload data'!$B:$B,"custody")</f>
        <v>0</v>
      </c>
      <c r="AI26" s="107">
        <f>SUMIFS('caseload data'!S:S,'caseload data'!$D:$D,"TPO",'caseload data'!$C:$C,'custody caseload'!$T$22,'caseload data'!$B:$B,"custody")</f>
        <v>0</v>
      </c>
      <c r="AJ26" s="107">
        <f>SUMIFS('caseload data'!T:T,'caseload data'!$D:$D,"TPO",'caseload data'!$C:$C,'custody caseload'!$T$22,'caseload data'!$B:$B,"custody")</f>
        <v>0</v>
      </c>
    </row>
    <row r="27" spans="2:36" x14ac:dyDescent="0.15">
      <c r="B27" s="111" t="s">
        <v>1040</v>
      </c>
      <c r="C27" s="107">
        <f>SUMIFS('caseload data'!E:E,'caseload data'!$D:$D,"SPO",'caseload data'!$C:$C,'custody caseload'!$B$22,'caseload data'!$B:$B,"custody")</f>
        <v>0</v>
      </c>
      <c r="D27" s="107">
        <f>SUMIFS('caseload data'!F:F,'caseload data'!$D:$D,"SPO",'caseload data'!$C:$C,'custody caseload'!$B$22,'caseload data'!$B:$B,"custody")</f>
        <v>0</v>
      </c>
      <c r="E27" s="107">
        <f>SUMIFS('caseload data'!G:G,'caseload data'!$D:$D,"SPO",'caseload data'!$C:$C,'custody caseload'!$B$22,'caseload data'!$B:$B,"custody")</f>
        <v>0</v>
      </c>
      <c r="F27" s="107">
        <f>SUMIFS('caseload data'!H:H,'caseload data'!$D:$D,"SPO",'caseload data'!$C:$C,'custody caseload'!$B$22,'caseload data'!$B:$B,"custody")</f>
        <v>0</v>
      </c>
      <c r="G27" s="107">
        <f>SUMIFS('caseload data'!I:I,'caseload data'!$D:$D,"SPO",'caseload data'!$C:$C,'custody caseload'!$B$22,'caseload data'!$B:$B,"custody")</f>
        <v>0</v>
      </c>
      <c r="H27" s="107">
        <f>SUMIFS('caseload data'!J:J,'caseload data'!$D:$D,"SPO",'caseload data'!$C:$C,'custody caseload'!$B$22,'caseload data'!$B:$B,"custody")</f>
        <v>0</v>
      </c>
      <c r="I27" s="107">
        <f>SUMIFS('caseload data'!K:K,'caseload data'!$D:$D,"SPO",'caseload data'!$C:$C,'custody caseload'!$B$22,'caseload data'!$B:$B,"custody")</f>
        <v>0</v>
      </c>
      <c r="J27" s="107">
        <f>SUMIFS('caseload data'!L:L,'caseload data'!$D:$D,"SPO",'caseload data'!$C:$C,'custody caseload'!$B$22,'caseload data'!$B:$B,"custody")</f>
        <v>0</v>
      </c>
      <c r="K27" s="107">
        <f>SUMIFS('caseload data'!M:M,'caseload data'!$D:$D,"SPO",'caseload data'!$C:$C,'custody caseload'!$B$22,'caseload data'!$B:$B,"custody")</f>
        <v>0</v>
      </c>
      <c r="L27" s="107">
        <f>SUMIFS('caseload data'!N:N,'caseload data'!$D:$D,"SPO",'caseload data'!$C:$C,'custody caseload'!$B$22,'caseload data'!$B:$B,"custody")</f>
        <v>0</v>
      </c>
      <c r="M27" s="107">
        <f>SUMIFS('caseload data'!O:O,'caseload data'!$D:$D,"SPO",'caseload data'!$C:$C,'custody caseload'!$B$22,'caseload data'!$B:$B,"custody")</f>
        <v>0</v>
      </c>
      <c r="N27" s="107">
        <f>SUMIFS('caseload data'!P:P,'caseload data'!$D:$D,"SPO",'caseload data'!$C:$C,'custody caseload'!$B$22,'caseload data'!$B:$B,"custody")</f>
        <v>0</v>
      </c>
      <c r="O27" s="107">
        <f>SUMIFS('caseload data'!Q:Q,'caseload data'!$D:$D,"SPO",'caseload data'!$C:$C,'custody caseload'!$B$22,'caseload data'!$B:$B,"custody")</f>
        <v>0</v>
      </c>
      <c r="P27" s="107">
        <f>SUMIFS('caseload data'!R:R,'caseload data'!$D:$D,"SPO",'caseload data'!$C:$C,'custody caseload'!$B$22,'caseload data'!$B:$B,"custody")</f>
        <v>0</v>
      </c>
      <c r="Q27" s="107">
        <f>SUMIFS('caseload data'!S:S,'caseload data'!$D:$D,"SPO",'caseload data'!$C:$C,'custody caseload'!$B$22,'caseload data'!$B:$B,"custody")</f>
        <v>0</v>
      </c>
      <c r="R27" s="107">
        <f>SUMIFS('caseload data'!T:T,'caseload data'!$D:$D,"SPO",'caseload data'!$C:$C,'custody caseload'!$B$22,'caseload data'!$B:$B,"custody")</f>
        <v>0</v>
      </c>
      <c r="S27" s="76"/>
      <c r="T27" s="111" t="s">
        <v>1040</v>
      </c>
      <c r="U27" s="107">
        <f>SUMIFS('caseload data'!E:E,'caseload data'!$D:$D,"SPO",'caseload data'!$C:$C,'custody caseload'!$T$22,'caseload data'!$B:$B,"custody")</f>
        <v>0</v>
      </c>
      <c r="V27" s="107">
        <f>SUMIFS('caseload data'!F:F,'caseload data'!$D:$D,"SPO",'caseload data'!$C:$C,'custody caseload'!$T$22,'caseload data'!$B:$B,"custody")</f>
        <v>0</v>
      </c>
      <c r="W27" s="107">
        <f>SUMIFS('caseload data'!G:G,'caseload data'!$D:$D,"SPO",'caseload data'!$C:$C,'custody caseload'!$T$22,'caseload data'!$B:$B,"custody")</f>
        <v>0</v>
      </c>
      <c r="X27" s="107">
        <f>SUMIFS('caseload data'!H:H,'caseload data'!$D:$D,"SPO",'caseload data'!$C:$C,'custody caseload'!$T$22,'caseload data'!$B:$B,"custody")</f>
        <v>0</v>
      </c>
      <c r="Y27" s="107">
        <f>SUMIFS('caseload data'!I:I,'caseload data'!$D:$D,"SPO",'caseload data'!$C:$C,'custody caseload'!$T$22,'caseload data'!$B:$B,"custody")</f>
        <v>0</v>
      </c>
      <c r="Z27" s="107">
        <f>SUMIFS('caseload data'!J:J,'caseload data'!$D:$D,"SPO",'caseload data'!$C:$C,'custody caseload'!$T$22,'caseload data'!$B:$B,"custody")</f>
        <v>0</v>
      </c>
      <c r="AA27" s="107">
        <f>SUMIFS('caseload data'!K:K,'caseload data'!$D:$D,"SPO",'caseload data'!$C:$C,'custody caseload'!$T$22,'caseload data'!$B:$B,"custody")</f>
        <v>0</v>
      </c>
      <c r="AB27" s="107">
        <f>SUMIFS('caseload data'!L:L,'caseload data'!$D:$D,"SPO",'caseload data'!$C:$C,'custody caseload'!$T$22,'caseload data'!$B:$B,"custody")</f>
        <v>0</v>
      </c>
      <c r="AC27" s="107">
        <f>SUMIFS('caseload data'!M:M,'caseload data'!$D:$D,"SPO",'caseload data'!$C:$C,'custody caseload'!$T$22,'caseload data'!$B:$B,"custody")</f>
        <v>0</v>
      </c>
      <c r="AD27" s="107">
        <f>SUMIFS('caseload data'!N:N,'caseload data'!$D:$D,"SPO",'caseload data'!$C:$C,'custody caseload'!$T$22,'caseload data'!$B:$B,"custody")</f>
        <v>0</v>
      </c>
      <c r="AE27" s="107">
        <f>SUMIFS('caseload data'!O:O,'caseload data'!$D:$D,"SPO",'caseload data'!$C:$C,'custody caseload'!$T$22,'caseload data'!$B:$B,"custody")</f>
        <v>0</v>
      </c>
      <c r="AF27" s="107">
        <f>SUMIFS('caseload data'!P:P,'caseload data'!$D:$D,"SPO",'caseload data'!$C:$C,'custody caseload'!$T$22,'caseload data'!$B:$B,"custody")</f>
        <v>0</v>
      </c>
      <c r="AG27" s="107">
        <f>SUMIFS('caseload data'!Q:Q,'caseload data'!$D:$D,"SPO",'caseload data'!$C:$C,'custody caseload'!$T$22,'caseload data'!$B:$B,"custody")</f>
        <v>0</v>
      </c>
      <c r="AH27" s="107">
        <f>SUMIFS('caseload data'!R:R,'caseload data'!$D:$D,"SPO",'caseload data'!$C:$C,'custody caseload'!$T$22,'caseload data'!$B:$B,"custody")</f>
        <v>0</v>
      </c>
      <c r="AI27" s="107">
        <f>SUMIFS('caseload data'!S:S,'caseload data'!$D:$D,"SPO",'caseload data'!$C:$C,'custody caseload'!$T$22,'caseload data'!$B:$B,"custody")</f>
        <v>0</v>
      </c>
      <c r="AJ27" s="107">
        <f>SUMIFS('caseload data'!T:T,'caseload data'!$D:$D,"SPO",'caseload data'!$C:$C,'custody caseload'!$T$22,'caseload data'!$B:$B,"custody")</f>
        <v>0</v>
      </c>
    </row>
    <row r="28" spans="2:36" x14ac:dyDescent="0.15">
      <c r="B28" s="104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04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</row>
    <row r="29" spans="2:36" ht="29.25" customHeight="1" x14ac:dyDescent="0.15">
      <c r="B29" s="162" t="str">
        <f>HLOOKUP($B$5,Region_Table,8,0)</f>
        <v>Corporate Services - N07</v>
      </c>
      <c r="C29" s="333" t="s">
        <v>1262</v>
      </c>
      <c r="D29" s="334"/>
      <c r="E29" s="334"/>
      <c r="F29" s="334"/>
      <c r="G29" s="334"/>
      <c r="H29" s="334"/>
      <c r="I29" s="334"/>
      <c r="J29" s="334"/>
      <c r="K29" s="334"/>
      <c r="L29" s="334"/>
      <c r="M29" s="343"/>
      <c r="N29" s="343"/>
      <c r="O29" s="344"/>
      <c r="P29" s="337">
        <f>SUMIFS('caseload data'!V:V,'caseload data'!B:B,"custody",'caseload data'!$C:$C,'custody caseload'!B29)</f>
        <v>0</v>
      </c>
      <c r="Q29" s="345"/>
      <c r="R29" s="346"/>
      <c r="S29" s="76"/>
      <c r="T29" s="162" t="str">
        <f>HLOOKUP($B$5,Region_Table,9,0)</f>
        <v>Croydon - N07</v>
      </c>
      <c r="U29" s="333" t="s">
        <v>1262</v>
      </c>
      <c r="V29" s="334"/>
      <c r="W29" s="334"/>
      <c r="X29" s="334"/>
      <c r="Y29" s="334"/>
      <c r="Z29" s="334"/>
      <c r="AA29" s="334"/>
      <c r="AB29" s="334"/>
      <c r="AC29" s="334"/>
      <c r="AD29" s="334"/>
      <c r="AE29" s="343"/>
      <c r="AF29" s="343"/>
      <c r="AG29" s="344"/>
      <c r="AH29" s="337">
        <f>SUMIFS('caseload data'!V:V,'caseload data'!B:B,"custody",'caseload data'!$C:$C,'custody caseload'!T29)</f>
        <v>0</v>
      </c>
      <c r="AI29" s="345"/>
      <c r="AJ29" s="346"/>
    </row>
    <row r="30" spans="2:36" x14ac:dyDescent="0.15">
      <c r="B30" s="108" t="s">
        <v>1199</v>
      </c>
      <c r="C30" s="42" t="s">
        <v>1019</v>
      </c>
      <c r="D30" s="42" t="s">
        <v>1020</v>
      </c>
      <c r="E30" s="42" t="s">
        <v>1021</v>
      </c>
      <c r="F30" s="42" t="s">
        <v>1022</v>
      </c>
      <c r="G30" s="42" t="s">
        <v>1023</v>
      </c>
      <c r="H30" s="42" t="s">
        <v>1024</v>
      </c>
      <c r="I30" s="42" t="s">
        <v>1025</v>
      </c>
      <c r="J30" s="42" t="s">
        <v>1026</v>
      </c>
      <c r="K30" s="42" t="s">
        <v>1027</v>
      </c>
      <c r="L30" s="42" t="s">
        <v>1028</v>
      </c>
      <c r="M30" s="42" t="s">
        <v>1029</v>
      </c>
      <c r="N30" s="42" t="s">
        <v>1030</v>
      </c>
      <c r="O30" s="42" t="s">
        <v>1031</v>
      </c>
      <c r="P30" s="42" t="s">
        <v>1032</v>
      </c>
      <c r="Q30" s="42" t="s">
        <v>1033</v>
      </c>
      <c r="R30" s="42" t="s">
        <v>1034</v>
      </c>
      <c r="S30" s="76"/>
      <c r="T30" s="108" t="s">
        <v>1199</v>
      </c>
      <c r="U30" s="42" t="s">
        <v>1019</v>
      </c>
      <c r="V30" s="42" t="s">
        <v>1020</v>
      </c>
      <c r="W30" s="42" t="s">
        <v>1021</v>
      </c>
      <c r="X30" s="42" t="s">
        <v>1022</v>
      </c>
      <c r="Y30" s="42" t="s">
        <v>1023</v>
      </c>
      <c r="Z30" s="42" t="s">
        <v>1024</v>
      </c>
      <c r="AA30" s="42" t="s">
        <v>1025</v>
      </c>
      <c r="AB30" s="42" t="s">
        <v>1026</v>
      </c>
      <c r="AC30" s="42" t="s">
        <v>1027</v>
      </c>
      <c r="AD30" s="42" t="s">
        <v>1028</v>
      </c>
      <c r="AE30" s="42" t="s">
        <v>1029</v>
      </c>
      <c r="AF30" s="42" t="s">
        <v>1030</v>
      </c>
      <c r="AG30" s="42" t="s">
        <v>1031</v>
      </c>
      <c r="AH30" s="42" t="s">
        <v>1032</v>
      </c>
      <c r="AI30" s="42" t="s">
        <v>1033</v>
      </c>
      <c r="AJ30" s="42" t="s">
        <v>1034</v>
      </c>
    </row>
    <row r="31" spans="2:36" x14ac:dyDescent="0.15">
      <c r="B31" s="109" t="s">
        <v>1037</v>
      </c>
      <c r="C31" s="107">
        <f>SUMIFS('caseload data'!E:E,'caseload data'!$D:$D,"PO",'caseload data'!$C:$C,'custody caseload'!$B$29,'caseload data'!$B:$B,"custody")</f>
        <v>0</v>
      </c>
      <c r="D31" s="107">
        <f>SUMIFS('caseload data'!F:F,'caseload data'!$D:$D,"PO",'caseload data'!$C:$C,'custody caseload'!$B$29,'caseload data'!$B:$B,"custody")</f>
        <v>0</v>
      </c>
      <c r="E31" s="107">
        <f>SUMIFS('caseload data'!G:G,'caseload data'!$D:$D,"PO",'caseload data'!$C:$C,'custody caseload'!$B$29,'caseload data'!$B:$B,"custody")</f>
        <v>0</v>
      </c>
      <c r="F31" s="107">
        <f>SUMIFS('caseload data'!H:H,'caseload data'!$D:$D,"PO",'caseload data'!$C:$C,'custody caseload'!$B$29,'caseload data'!$B:$B,"custody")</f>
        <v>0</v>
      </c>
      <c r="G31" s="107">
        <f>SUMIFS('caseload data'!I:I,'caseload data'!$D:$D,"PO",'caseload data'!$C:$C,'custody caseload'!$B$29,'caseload data'!$B:$B,"custody")</f>
        <v>0</v>
      </c>
      <c r="H31" s="107">
        <f>SUMIFS('caseload data'!J:J,'caseload data'!$D:$D,"PO",'caseload data'!$C:$C,'custody caseload'!$B$29,'caseload data'!$B:$B,"custody")</f>
        <v>0</v>
      </c>
      <c r="I31" s="107">
        <f>SUMIFS('caseload data'!K:K,'caseload data'!$D:$D,"PO",'caseload data'!$C:$C,'custody caseload'!$B$29,'caseload data'!$B:$B,"custody")</f>
        <v>0</v>
      </c>
      <c r="J31" s="107">
        <f>SUMIFS('caseload data'!L:L,'caseload data'!$D:$D,"PO",'caseload data'!$C:$C,'custody caseload'!$B$29,'caseload data'!$B:$B,"custody")</f>
        <v>0</v>
      </c>
      <c r="K31" s="107">
        <f>SUMIFS('caseload data'!M:M,'caseload data'!$D:$D,"PO",'caseload data'!$C:$C,'custody caseload'!$B$29,'caseload data'!$B:$B,"custody")</f>
        <v>0</v>
      </c>
      <c r="L31" s="107">
        <f>SUMIFS('caseload data'!N:N,'caseload data'!$D:$D,"PO",'caseload data'!$C:$C,'custody caseload'!$B$29,'caseload data'!$B:$B,"custody")</f>
        <v>0</v>
      </c>
      <c r="M31" s="107">
        <f>SUMIFS('caseload data'!O:O,'caseload data'!$D:$D,"PO",'caseload data'!$C:$C,'custody caseload'!$B$29,'caseload data'!$B:$B,"custody")</f>
        <v>0</v>
      </c>
      <c r="N31" s="107">
        <f>SUMIFS('caseload data'!P:P,'caseload data'!$D:$D,"PO",'caseload data'!$C:$C,'custody caseload'!$B$29,'caseload data'!$B:$B,"custody")</f>
        <v>0</v>
      </c>
      <c r="O31" s="107">
        <f>SUMIFS('caseload data'!Q:Q,'caseload data'!$D:$D,"PO",'caseload data'!$C:$C,'custody caseload'!$B$29,'caseload data'!$B:$B,"custody")</f>
        <v>0</v>
      </c>
      <c r="P31" s="107">
        <f>SUMIFS('caseload data'!R:R,'caseload data'!$D:$D,"PO",'caseload data'!$C:$C,'custody caseload'!$B$29,'caseload data'!$B:$B,"custody")</f>
        <v>0</v>
      </c>
      <c r="Q31" s="107">
        <f>SUMIFS('caseload data'!S:S,'caseload data'!$D:$D,"PO",'caseload data'!$C:$C,'custody caseload'!$B$29,'caseload data'!$B:$B,"custody")</f>
        <v>0</v>
      </c>
      <c r="R31" s="107">
        <f>SUMIFS('caseload data'!T:T,'caseload data'!$D:$D,"PO",'caseload data'!$C:$C,'custody caseload'!$B$29,'caseload data'!$B:$B,"custody")</f>
        <v>0</v>
      </c>
      <c r="S31" s="76"/>
      <c r="T31" s="109" t="s">
        <v>1037</v>
      </c>
      <c r="U31" s="107">
        <f>SUMIFS('caseload data'!E:E,'caseload data'!$D:$D,"PO",'caseload data'!$C:$C,'custody caseload'!$T$29,'caseload data'!$B:$B,"custody")</f>
        <v>0</v>
      </c>
      <c r="V31" s="107">
        <f>SUMIFS('caseload data'!F:F,'caseload data'!$D:$D,"PO",'caseload data'!$C:$C,'custody caseload'!$T$29,'caseload data'!$B:$B,"custody")</f>
        <v>0</v>
      </c>
      <c r="W31" s="107">
        <f>SUMIFS('caseload data'!G:G,'caseload data'!$D:$D,"PO",'caseload data'!$C:$C,'custody caseload'!$T$29,'caseload data'!$B:$B,"custody")</f>
        <v>0</v>
      </c>
      <c r="X31" s="107">
        <f>SUMIFS('caseload data'!H:H,'caseload data'!$D:$D,"PO",'caseload data'!$C:$C,'custody caseload'!$T$29,'caseload data'!$B:$B,"custody")</f>
        <v>0</v>
      </c>
      <c r="Y31" s="107">
        <f>SUMIFS('caseload data'!I:I,'caseload data'!$D:$D,"PO",'caseload data'!$C:$C,'custody caseload'!$T$29,'caseload data'!$B:$B,"custody")</f>
        <v>0</v>
      </c>
      <c r="Z31" s="107">
        <f>SUMIFS('caseload data'!J:J,'caseload data'!$D:$D,"PO",'caseload data'!$C:$C,'custody caseload'!$T$29,'caseload data'!$B:$B,"custody")</f>
        <v>0</v>
      </c>
      <c r="AA31" s="107">
        <f>SUMIFS('caseload data'!K:K,'caseload data'!$D:$D,"PO",'caseload data'!$C:$C,'custody caseload'!$T$29,'caseload data'!$B:$B,"custody")</f>
        <v>0</v>
      </c>
      <c r="AB31" s="107">
        <f>SUMIFS('caseload data'!L:L,'caseload data'!$D:$D,"PO",'caseload data'!$C:$C,'custody caseload'!$T$29,'caseload data'!$B:$B,"custody")</f>
        <v>0</v>
      </c>
      <c r="AC31" s="107">
        <f>SUMIFS('caseload data'!M:M,'caseload data'!$D:$D,"PO",'caseload data'!$C:$C,'custody caseload'!$T$29,'caseload data'!$B:$B,"custody")</f>
        <v>0</v>
      </c>
      <c r="AD31" s="107">
        <f>SUMIFS('caseload data'!N:N,'caseload data'!$D:$D,"PO",'caseload data'!$C:$C,'custody caseload'!$T$29,'caseload data'!$B:$B,"custody")</f>
        <v>0</v>
      </c>
      <c r="AE31" s="107">
        <f>SUMIFS('caseload data'!O:O,'caseload data'!$D:$D,"PO",'caseload data'!$C:$C,'custody caseload'!$T$29,'caseload data'!$B:$B,"custody")</f>
        <v>0</v>
      </c>
      <c r="AF31" s="107">
        <f>SUMIFS('caseload data'!P:P,'caseload data'!$D:$D,"PO",'caseload data'!$C:$C,'custody caseload'!$T$29,'caseload data'!$B:$B,"custody")</f>
        <v>0</v>
      </c>
      <c r="AG31" s="107">
        <f>SUMIFS('caseload data'!Q:Q,'caseload data'!$D:$D,"PO",'caseload data'!$C:$C,'custody caseload'!$T$29,'caseload data'!$B:$B,"custody")</f>
        <v>0</v>
      </c>
      <c r="AH31" s="107">
        <f>SUMIFS('caseload data'!R:R,'caseload data'!$D:$D,"PO",'caseload data'!$C:$C,'custody caseload'!$T$29,'caseload data'!$B:$B,"custody")</f>
        <v>0</v>
      </c>
      <c r="AI31" s="107">
        <f>SUMIFS('caseload data'!S:S,'caseload data'!$D:$D,"PO",'caseload data'!$C:$C,'custody caseload'!$T$29,'caseload data'!$B:$B,"custody")</f>
        <v>0</v>
      </c>
      <c r="AJ31" s="107">
        <f>SUMIFS('caseload data'!T:T,'caseload data'!$D:$D,"PO",'caseload data'!$C:$C,'custody caseload'!$T$29,'caseload data'!$B:$B,"custody")</f>
        <v>0</v>
      </c>
    </row>
    <row r="32" spans="2:36" ht="15" x14ac:dyDescent="0.2">
      <c r="B32" s="110" t="s">
        <v>1038</v>
      </c>
      <c r="C32" s="165">
        <f>SUMIFS('caseload data'!E:E,'caseload data'!$D:$D,"PSO",'caseload data'!$C:$C,'custody caseload'!$B$29,'caseload data'!$B:$B,"custody")</f>
        <v>0</v>
      </c>
      <c r="D32" s="165">
        <f>SUMIFS('caseload data'!F:F,'caseload data'!$D:$D,"PSO",'caseload data'!$C:$C,'custody caseload'!$B$29,'caseload data'!$B:$B,"custody")</f>
        <v>0</v>
      </c>
      <c r="E32" s="165">
        <f>SUMIFS('caseload data'!G:G,'caseload data'!$D:$D,"PSO",'caseload data'!$C:$C,'custody caseload'!$B$29,'caseload data'!$B:$B,"custody")</f>
        <v>0</v>
      </c>
      <c r="F32" s="165">
        <f>SUMIFS('caseload data'!H:H,'caseload data'!$D:$D,"PSO",'caseload data'!$C:$C,'custody caseload'!$B$29,'caseload data'!$B:$B,"custody")</f>
        <v>0</v>
      </c>
      <c r="G32" s="165">
        <f>SUMIFS('caseload data'!I:I,'caseload data'!$D:$D,"PSO",'caseload data'!$C:$C,'custody caseload'!$B$29,'caseload data'!$B:$B,"custody")</f>
        <v>0</v>
      </c>
      <c r="H32" s="165">
        <f>SUMIFS('caseload data'!J:J,'caseload data'!$D:$D,"PSO",'caseload data'!$C:$C,'custody caseload'!$B$29,'caseload data'!$B:$B,"custody")</f>
        <v>0</v>
      </c>
      <c r="I32" s="165">
        <f>SUMIFS('caseload data'!K:K,'caseload data'!$D:$D,"PSO",'caseload data'!$C:$C,'custody caseload'!$B$29,'caseload data'!$B:$B,"custody")</f>
        <v>0</v>
      </c>
      <c r="J32" s="165">
        <f>SUMIFS('caseload data'!L:L,'caseload data'!$D:$D,"PSO",'caseload data'!$C:$C,'custody caseload'!$B$29,'caseload data'!$B:$B,"custody")</f>
        <v>0</v>
      </c>
      <c r="K32" s="107">
        <f>SUMIFS('caseload data'!M:M,'caseload data'!$D:$D,"PSO",'caseload data'!$C:$C,'custody caseload'!$B$29,'caseload data'!$B:$B,"custody")</f>
        <v>0</v>
      </c>
      <c r="L32" s="107">
        <f>SUMIFS('caseload data'!N:N,'caseload data'!$D:$D,"PSO",'caseload data'!$C:$C,'custody caseload'!$B$29,'caseload data'!$B:$B,"custody")</f>
        <v>0</v>
      </c>
      <c r="M32" s="107">
        <f>SUMIFS('caseload data'!O:O,'caseload data'!$D:$D,"PSO",'caseload data'!$C:$C,'custody caseload'!$B$29,'caseload data'!$B:$B,"custody")</f>
        <v>0</v>
      </c>
      <c r="N32" s="107">
        <f>SUMIFS('caseload data'!P:P,'caseload data'!$D:$D,"PSO",'caseload data'!$C:$C,'custody caseload'!$B$29,'caseload data'!$B:$B,"custody")</f>
        <v>0</v>
      </c>
      <c r="O32" s="107">
        <f>SUMIFS('caseload data'!Q:Q,'caseload data'!$D:$D,"PSO",'caseload data'!$C:$C,'custody caseload'!$B$29,'caseload data'!$B:$B,"custody")</f>
        <v>0</v>
      </c>
      <c r="P32" s="107">
        <f>SUMIFS('caseload data'!R:R,'caseload data'!$D:$D,"PSO",'caseload data'!$C:$C,'custody caseload'!$B$29,'caseload data'!$B:$B,"custody")</f>
        <v>0</v>
      </c>
      <c r="Q32" s="107">
        <f>SUMIFS('caseload data'!S:S,'caseload data'!$D:$D,"PSO",'caseload data'!$C:$C,'custody caseload'!$B$29,'caseload data'!$B:$B,"custody")</f>
        <v>0</v>
      </c>
      <c r="R32" s="107">
        <f>SUMIFS('caseload data'!T:T,'caseload data'!$D:$D,"PSO",'caseload data'!$C:$C,'custody caseload'!$B$29,'caseload data'!$B:$B,"custody")</f>
        <v>0</v>
      </c>
      <c r="S32" s="76"/>
      <c r="T32" s="110" t="s">
        <v>1038</v>
      </c>
      <c r="U32" s="165">
        <f>SUMIFS('caseload data'!E:E,'caseload data'!$D:$D,"PSO",'caseload data'!$C:$C,'custody caseload'!$T$29,'caseload data'!$B:$B,"custody")</f>
        <v>0</v>
      </c>
      <c r="V32" s="165">
        <f>SUMIFS('caseload data'!F:F,'caseload data'!$D:$D,"PSO",'caseload data'!$C:$C,'custody caseload'!$T$29,'caseload data'!$B:$B,"custody")</f>
        <v>0</v>
      </c>
      <c r="W32" s="165">
        <f>SUMIFS('caseload data'!G:G,'caseload data'!$D:$D,"PSO",'caseload data'!$C:$C,'custody caseload'!$T$29,'caseload data'!$B:$B,"custody")</f>
        <v>0</v>
      </c>
      <c r="X32" s="165">
        <f>SUMIFS('caseload data'!H:H,'caseload data'!$D:$D,"PSO",'caseload data'!$C:$C,'custody caseload'!$T$29,'caseload data'!$B:$B,"custody")</f>
        <v>0</v>
      </c>
      <c r="Y32" s="165">
        <f>SUMIFS('caseload data'!I:I,'caseload data'!$D:$D,"PSO",'caseload data'!$C:$C,'custody caseload'!$T$29,'caseload data'!$B:$B,"custody")</f>
        <v>0</v>
      </c>
      <c r="Z32" s="165">
        <f>SUMIFS('caseload data'!J:J,'caseload data'!$D:$D,"PSO",'caseload data'!$C:$C,'custody caseload'!$T$29,'caseload data'!$B:$B,"custody")</f>
        <v>0</v>
      </c>
      <c r="AA32" s="165">
        <f>SUMIFS('caseload data'!K:K,'caseload data'!$D:$D,"PSO",'caseload data'!$C:$C,'custody caseload'!$T$29,'caseload data'!$B:$B,"custody")</f>
        <v>0</v>
      </c>
      <c r="AB32" s="165">
        <f>SUMIFS('caseload data'!L:L,'caseload data'!$D:$D,"PSO",'caseload data'!$C:$C,'custody caseload'!$T$29,'caseload data'!$B:$B,"custody")</f>
        <v>0</v>
      </c>
      <c r="AC32" s="107">
        <f>SUMIFS('caseload data'!M:M,'caseload data'!$D:$D,"PSO",'caseload data'!$C:$C,'custody caseload'!$T$29,'caseload data'!$B:$B,"custody")</f>
        <v>0</v>
      </c>
      <c r="AD32" s="107">
        <f>SUMIFS('caseload data'!N:N,'caseload data'!$D:$D,"PSO",'caseload data'!$C:$C,'custody caseload'!$T$29,'caseload data'!$B:$B,"custody")</f>
        <v>0</v>
      </c>
      <c r="AE32" s="107">
        <f>SUMIFS('caseload data'!O:O,'caseload data'!$D:$D,"PSO",'caseload data'!$C:$C,'custody caseload'!$T$29,'caseload data'!$B:$B,"custody")</f>
        <v>0</v>
      </c>
      <c r="AF32" s="107">
        <f>SUMIFS('caseload data'!P:P,'caseload data'!$D:$D,"PSO",'caseload data'!$C:$C,'custody caseload'!$T$29,'caseload data'!$B:$B,"custody")</f>
        <v>0</v>
      </c>
      <c r="AG32" s="107">
        <f>SUMIFS('caseload data'!Q:Q,'caseload data'!$D:$D,"PSO",'caseload data'!$C:$C,'custody caseload'!$T$29,'caseload data'!$B:$B,"custody")</f>
        <v>0</v>
      </c>
      <c r="AH32" s="107">
        <f>SUMIFS('caseload data'!R:R,'caseload data'!$D:$D,"PSO",'caseload data'!$C:$C,'custody caseload'!$T$29,'caseload data'!$B:$B,"custody")</f>
        <v>0</v>
      </c>
      <c r="AI32" s="107">
        <f>SUMIFS('caseload data'!S:S,'caseload data'!$D:$D,"PSO",'caseload data'!$C:$C,'custody caseload'!$T$29,'caseload data'!$B:$B,"custody")</f>
        <v>0</v>
      </c>
      <c r="AJ32" s="107">
        <f>SUMIFS('caseload data'!T:T,'caseload data'!$D:$D,"PSO",'caseload data'!$C:$C,'custody caseload'!$T$29,'caseload data'!$B:$B,"custody")</f>
        <v>0</v>
      </c>
    </row>
    <row r="33" spans="2:36" ht="15" x14ac:dyDescent="0.2">
      <c r="B33" s="110" t="s">
        <v>1039</v>
      </c>
      <c r="C33" s="165">
        <f>SUMIFS('caseload data'!E:E,'caseload data'!$D:$D,"TPO",'caseload data'!$C:$C,'custody caseload'!$B$29,'caseload data'!$B:$B,"custody")</f>
        <v>0</v>
      </c>
      <c r="D33" s="165">
        <f>SUMIFS('caseload data'!F:F,'caseload data'!$D:$D,"TPO",'caseload data'!$C:$C,'custody caseload'!$B$29,'caseload data'!$B:$B,"custody")</f>
        <v>0</v>
      </c>
      <c r="E33" s="165">
        <f>SUMIFS('caseload data'!G:G,'caseload data'!$D:$D,"TPO",'caseload data'!$C:$C,'custody caseload'!$B$29,'caseload data'!$B:$B,"custody")</f>
        <v>0</v>
      </c>
      <c r="F33" s="165">
        <f>SUMIFS('caseload data'!H:H,'caseload data'!$D:$D,"TPO",'caseload data'!$C:$C,'custody caseload'!$B$29,'caseload data'!$B:$B,"custody")</f>
        <v>0</v>
      </c>
      <c r="G33" s="165">
        <f>SUMIFS('caseload data'!I:I,'caseload data'!$D:$D,"TPO",'caseload data'!$C:$C,'custody caseload'!$B$29,'caseload data'!$B:$B,"custody")</f>
        <v>0</v>
      </c>
      <c r="H33" s="165">
        <f>SUMIFS('caseload data'!J:J,'caseload data'!$D:$D,"TPO",'caseload data'!$C:$C,'custody caseload'!$B$29,'caseload data'!$B:$B,"custody")</f>
        <v>0</v>
      </c>
      <c r="I33" s="165">
        <f>SUMIFS('caseload data'!K:K,'caseload data'!$D:$D,"TPO",'caseload data'!$C:$C,'custody caseload'!$B$29,'caseload data'!$B:$B,"custody")</f>
        <v>0</v>
      </c>
      <c r="J33" s="165">
        <f>SUMIFS('caseload data'!L:L,'caseload data'!$D:$D,"TPO",'caseload data'!$C:$C,'custody caseload'!$B$29,'caseload data'!$B:$B,"custody")</f>
        <v>0</v>
      </c>
      <c r="K33" s="107">
        <f>SUMIFS('caseload data'!M:M,'caseload data'!$D:$D,"TPO",'caseload data'!$C:$C,'custody caseload'!$B$29,'caseload data'!$B:$B,"custody")</f>
        <v>0</v>
      </c>
      <c r="L33" s="107">
        <f>SUMIFS('caseload data'!N:N,'caseload data'!$D:$D,"TPO",'caseload data'!$C:$C,'custody caseload'!$B$29,'caseload data'!$B:$B,"custody")</f>
        <v>0</v>
      </c>
      <c r="M33" s="107">
        <f>SUMIFS('caseload data'!O:O,'caseload data'!$D:$D,"TPO",'caseload data'!$C:$C,'custody caseload'!$B$29,'caseload data'!$B:$B,"custody")</f>
        <v>0</v>
      </c>
      <c r="N33" s="107">
        <f>SUMIFS('caseload data'!P:P,'caseload data'!$D:$D,"TPO",'caseload data'!$C:$C,'custody caseload'!$B$29,'caseload data'!$B:$B,"custody")</f>
        <v>0</v>
      </c>
      <c r="O33" s="107">
        <f>SUMIFS('caseload data'!Q:Q,'caseload data'!$D:$D,"TPO",'caseload data'!$C:$C,'custody caseload'!$B$29,'caseload data'!$B:$B,"custody")</f>
        <v>0</v>
      </c>
      <c r="P33" s="107">
        <f>SUMIFS('caseload data'!R:R,'caseload data'!$D:$D,"TPO",'caseload data'!$C:$C,'custody caseload'!$B$29,'caseload data'!$B:$B,"custody")</f>
        <v>0</v>
      </c>
      <c r="Q33" s="107">
        <f>SUMIFS('caseload data'!S:S,'caseload data'!$D:$D,"TPO",'caseload data'!$C:$C,'custody caseload'!$B$29,'caseload data'!$B:$B,"custody")</f>
        <v>0</v>
      </c>
      <c r="R33" s="107">
        <f>SUMIFS('caseload data'!T:T,'caseload data'!$D:$D,"TPO",'caseload data'!$C:$C,'custody caseload'!$B$29,'caseload data'!$B:$B,"custody")</f>
        <v>0</v>
      </c>
      <c r="S33" s="76"/>
      <c r="T33" s="110" t="s">
        <v>1039</v>
      </c>
      <c r="U33" s="165">
        <f>SUMIFS('caseload data'!E:E,'caseload data'!$D:$D,"TPO",'caseload data'!$C:$C,'custody caseload'!$T$29,'caseload data'!$B:$B,"custody")</f>
        <v>0</v>
      </c>
      <c r="V33" s="165">
        <f>SUMIFS('caseload data'!F:F,'caseload data'!$D:$D,"TPO",'caseload data'!$C:$C,'custody caseload'!$T$29,'caseload data'!$B:$B,"custody")</f>
        <v>0</v>
      </c>
      <c r="W33" s="165">
        <f>SUMIFS('caseload data'!G:G,'caseload data'!$D:$D,"TPO",'caseload data'!$C:$C,'custody caseload'!$T$29,'caseload data'!$B:$B,"custody")</f>
        <v>0</v>
      </c>
      <c r="X33" s="165">
        <f>SUMIFS('caseload data'!H:H,'caseload data'!$D:$D,"TPO",'caseload data'!$C:$C,'custody caseload'!$T$29,'caseload data'!$B:$B,"custody")</f>
        <v>0</v>
      </c>
      <c r="Y33" s="165">
        <f>SUMIFS('caseload data'!I:I,'caseload data'!$D:$D,"TPO",'caseload data'!$C:$C,'custody caseload'!$T$29,'caseload data'!$B:$B,"custody")</f>
        <v>0</v>
      </c>
      <c r="Z33" s="165">
        <f>SUMIFS('caseload data'!J:J,'caseload data'!$D:$D,"TPO",'caseload data'!$C:$C,'custody caseload'!$T$29,'caseload data'!$B:$B,"custody")</f>
        <v>0</v>
      </c>
      <c r="AA33" s="165">
        <f>SUMIFS('caseload data'!K:K,'caseload data'!$D:$D,"TPO",'caseload data'!$C:$C,'custody caseload'!$T$29,'caseload data'!$B:$B,"custody")</f>
        <v>0</v>
      </c>
      <c r="AB33" s="165">
        <f>SUMIFS('caseload data'!L:L,'caseload data'!$D:$D,"TPO",'caseload data'!$C:$C,'custody caseload'!$T$29,'caseload data'!$B:$B,"custody")</f>
        <v>0</v>
      </c>
      <c r="AC33" s="107">
        <f>SUMIFS('caseload data'!M:M,'caseload data'!$D:$D,"TPO",'caseload data'!$C:$C,'custody caseload'!$T$29,'caseload data'!$B:$B,"custody")</f>
        <v>0</v>
      </c>
      <c r="AD33" s="107">
        <f>SUMIFS('caseload data'!N:N,'caseload data'!$D:$D,"TPO",'caseload data'!$C:$C,'custody caseload'!$T$29,'caseload data'!$B:$B,"custody")</f>
        <v>0</v>
      </c>
      <c r="AE33" s="107">
        <f>SUMIFS('caseload data'!O:O,'caseload data'!$D:$D,"TPO",'caseload data'!$C:$C,'custody caseload'!$T$29,'caseload data'!$B:$B,"custody")</f>
        <v>0</v>
      </c>
      <c r="AF33" s="107">
        <f>SUMIFS('caseload data'!P:P,'caseload data'!$D:$D,"TPO",'caseload data'!$C:$C,'custody caseload'!$T$29,'caseload data'!$B:$B,"custody")</f>
        <v>0</v>
      </c>
      <c r="AG33" s="107">
        <f>SUMIFS('caseload data'!Q:Q,'caseload data'!$D:$D,"TPO",'caseload data'!$C:$C,'custody caseload'!$T$29,'caseload data'!$B:$B,"custody")</f>
        <v>0</v>
      </c>
      <c r="AH33" s="107">
        <f>SUMIFS('caseload data'!R:R,'caseload data'!$D:$D,"TPO",'caseload data'!$C:$C,'custody caseload'!$T$29,'caseload data'!$B:$B,"custody")</f>
        <v>0</v>
      </c>
      <c r="AI33" s="107">
        <f>SUMIFS('caseload data'!S:S,'caseload data'!$D:$D,"TPO",'caseload data'!$C:$C,'custody caseload'!$T$29,'caseload data'!$B:$B,"custody")</f>
        <v>0</v>
      </c>
      <c r="AJ33" s="107">
        <f>SUMIFS('caseload data'!T:T,'caseload data'!$D:$D,"TPO",'caseload data'!$C:$C,'custody caseload'!$T$29,'caseload data'!$B:$B,"custody")</f>
        <v>0</v>
      </c>
    </row>
    <row r="34" spans="2:36" x14ac:dyDescent="0.15">
      <c r="B34" s="111" t="s">
        <v>1040</v>
      </c>
      <c r="C34" s="107">
        <f>SUMIFS('caseload data'!E:E,'caseload data'!$D:$D,"SPO",'caseload data'!$C:$C,'custody caseload'!$B$29,'caseload data'!$B:$B,"custody")</f>
        <v>0</v>
      </c>
      <c r="D34" s="107">
        <f>SUMIFS('caseload data'!F:F,'caseload data'!$D:$D,"SPO",'caseload data'!$C:$C,'custody caseload'!$B$29,'caseload data'!$B:$B,"custody")</f>
        <v>0</v>
      </c>
      <c r="E34" s="107">
        <f>SUMIFS('caseload data'!G:G,'caseload data'!$D:$D,"SPO",'caseload data'!$C:$C,'custody caseload'!$B$29,'caseload data'!$B:$B,"custody")</f>
        <v>0</v>
      </c>
      <c r="F34" s="107">
        <f>SUMIFS('caseload data'!H:H,'caseload data'!$D:$D,"SPO",'caseload data'!$C:$C,'custody caseload'!$B$29,'caseload data'!$B:$B,"custody")</f>
        <v>0</v>
      </c>
      <c r="G34" s="107">
        <f>SUMIFS('caseload data'!I:I,'caseload data'!$D:$D,"SPO",'caseload data'!$C:$C,'custody caseload'!$B$29,'caseload data'!$B:$B,"custody")</f>
        <v>0</v>
      </c>
      <c r="H34" s="107">
        <f>SUMIFS('caseload data'!J:J,'caseload data'!$D:$D,"SPO",'caseload data'!$C:$C,'custody caseload'!$B$29,'caseload data'!$B:$B,"custody")</f>
        <v>0</v>
      </c>
      <c r="I34" s="107">
        <f>SUMIFS('caseload data'!K:K,'caseload data'!$D:$D,"SPO",'caseload data'!$C:$C,'custody caseload'!$B$29,'caseload data'!$B:$B,"custody")</f>
        <v>0</v>
      </c>
      <c r="J34" s="107">
        <f>SUMIFS('caseload data'!L:L,'caseload data'!$D:$D,"SPO",'caseload data'!$C:$C,'custody caseload'!$B$29,'caseload data'!$B:$B,"custody")</f>
        <v>0</v>
      </c>
      <c r="K34" s="107">
        <f>SUMIFS('caseload data'!M:M,'caseload data'!$D:$D,"SPO",'caseload data'!$C:$C,'custody caseload'!$B$29,'caseload data'!$B:$B,"custody")</f>
        <v>0</v>
      </c>
      <c r="L34" s="107">
        <f>SUMIFS('caseload data'!N:N,'caseload data'!$D:$D,"SPO",'caseload data'!$C:$C,'custody caseload'!$B$29,'caseload data'!$B:$B,"custody")</f>
        <v>0</v>
      </c>
      <c r="M34" s="107">
        <f>SUMIFS('caseload data'!O:O,'caseload data'!$D:$D,"SPO",'caseload data'!$C:$C,'custody caseload'!$B$29,'caseload data'!$B:$B,"custody")</f>
        <v>0</v>
      </c>
      <c r="N34" s="107">
        <f>SUMIFS('caseload data'!P:P,'caseload data'!$D:$D,"SPO",'caseload data'!$C:$C,'custody caseload'!$B$29,'caseload data'!$B:$B,"custody")</f>
        <v>0</v>
      </c>
      <c r="O34" s="107">
        <f>SUMIFS('caseload data'!Q:Q,'caseload data'!$D:$D,"SPO",'caseload data'!$C:$C,'custody caseload'!$B$29,'caseload data'!$B:$B,"custody")</f>
        <v>0</v>
      </c>
      <c r="P34" s="107">
        <f>SUMIFS('caseload data'!R:R,'caseload data'!$D:$D,"SPO",'caseload data'!$C:$C,'custody caseload'!$B$29,'caseload data'!$B:$B,"custody")</f>
        <v>0</v>
      </c>
      <c r="Q34" s="107">
        <f>SUMIFS('caseload data'!S:S,'caseload data'!$D:$D,"SPO",'caseload data'!$C:$C,'custody caseload'!$B$29,'caseload data'!$B:$B,"custody")</f>
        <v>0</v>
      </c>
      <c r="R34" s="107">
        <f>SUMIFS('caseload data'!T:T,'caseload data'!$D:$D,"SPO",'caseload data'!$C:$C,'custody caseload'!$B$29,'caseload data'!$B:$B,"custody")</f>
        <v>0</v>
      </c>
      <c r="S34" s="76"/>
      <c r="T34" s="111" t="s">
        <v>1040</v>
      </c>
      <c r="U34" s="107">
        <f>SUMIFS('caseload data'!E:E,'caseload data'!$D:$D,"SPO",'caseload data'!$C:$C,'custody caseload'!$T$29,'caseload data'!$B:$B,"custody")</f>
        <v>0</v>
      </c>
      <c r="V34" s="107">
        <f>SUMIFS('caseload data'!F:F,'caseload data'!$D:$D,"SPO",'caseload data'!$C:$C,'custody caseload'!$T$29,'caseload data'!$B:$B,"custody")</f>
        <v>0</v>
      </c>
      <c r="W34" s="107">
        <f>SUMIFS('caseload data'!G:G,'caseload data'!$D:$D,"SPO",'caseload data'!$C:$C,'custody caseload'!$T$29,'caseload data'!$B:$B,"custody")</f>
        <v>0</v>
      </c>
      <c r="X34" s="107">
        <f>SUMIFS('caseload data'!H:H,'caseload data'!$D:$D,"SPO",'caseload data'!$C:$C,'custody caseload'!$T$29,'caseload data'!$B:$B,"custody")</f>
        <v>0</v>
      </c>
      <c r="Y34" s="107">
        <f>SUMIFS('caseload data'!I:I,'caseload data'!$D:$D,"SPO",'caseload data'!$C:$C,'custody caseload'!$T$29,'caseload data'!$B:$B,"custody")</f>
        <v>0</v>
      </c>
      <c r="Z34" s="107">
        <f>SUMIFS('caseload data'!J:J,'caseload data'!$D:$D,"SPO",'caseload data'!$C:$C,'custody caseload'!$T$29,'caseload data'!$B:$B,"custody")</f>
        <v>0</v>
      </c>
      <c r="AA34" s="107">
        <f>SUMIFS('caseload data'!K:K,'caseload data'!$D:$D,"SPO",'caseload data'!$C:$C,'custody caseload'!$T$29,'caseload data'!$B:$B,"custody")</f>
        <v>0</v>
      </c>
      <c r="AB34" s="107">
        <f>SUMIFS('caseload data'!L:L,'caseload data'!$D:$D,"SPO",'caseload data'!$C:$C,'custody caseload'!$T$29,'caseload data'!$B:$B,"custody")</f>
        <v>0</v>
      </c>
      <c r="AC34" s="107">
        <f>SUMIFS('caseload data'!M:M,'caseload data'!$D:$D,"SPO",'caseload data'!$C:$C,'custody caseload'!$T$29,'caseload data'!$B:$B,"custody")</f>
        <v>0</v>
      </c>
      <c r="AD34" s="107">
        <f>SUMIFS('caseload data'!N:N,'caseload data'!$D:$D,"SPO",'caseload data'!$C:$C,'custody caseload'!$T$29,'caseload data'!$B:$B,"custody")</f>
        <v>0</v>
      </c>
      <c r="AE34" s="107">
        <f>SUMIFS('caseload data'!O:O,'caseload data'!$D:$D,"SPO",'caseload data'!$C:$C,'custody caseload'!$T$29,'caseload data'!$B:$B,"custody")</f>
        <v>0</v>
      </c>
      <c r="AF34" s="107">
        <f>SUMIFS('caseload data'!P:P,'caseload data'!$D:$D,"SPO",'caseload data'!$C:$C,'custody caseload'!$T$29,'caseload data'!$B:$B,"custody")</f>
        <v>0</v>
      </c>
      <c r="AG34" s="107">
        <f>SUMIFS('caseload data'!Q:Q,'caseload data'!$D:$D,"SPO",'caseload data'!$C:$C,'custody caseload'!$T$29,'caseload data'!$B:$B,"custody")</f>
        <v>0</v>
      </c>
      <c r="AH34" s="107">
        <f>SUMIFS('caseload data'!R:R,'caseload data'!$D:$D,"SPO",'caseload data'!$C:$C,'custody caseload'!$T$29,'caseload data'!$B:$B,"custody")</f>
        <v>0</v>
      </c>
      <c r="AI34" s="107">
        <f>SUMIFS('caseload data'!S:S,'caseload data'!$D:$D,"SPO",'caseload data'!$C:$C,'custody caseload'!$T$29,'caseload data'!$B:$B,"custody")</f>
        <v>0</v>
      </c>
      <c r="AJ34" s="107">
        <f>SUMIFS('caseload data'!T:T,'caseload data'!$D:$D,"SPO",'caseload data'!$C:$C,'custody caseload'!$T$29,'caseload data'!$B:$B,"custody")</f>
        <v>0</v>
      </c>
    </row>
    <row r="35" spans="2:36" x14ac:dyDescent="0.15">
      <c r="B35" s="10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104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</row>
    <row r="36" spans="2:36" ht="27.75" customHeight="1" x14ac:dyDescent="0.15">
      <c r="B36" s="162" t="str">
        <f>HLOOKUP($B$5,Region_Table,10,0)</f>
        <v>Ealing and Hillingdon</v>
      </c>
      <c r="C36" s="333" t="s">
        <v>1263</v>
      </c>
      <c r="D36" s="334"/>
      <c r="E36" s="334"/>
      <c r="F36" s="334"/>
      <c r="G36" s="334"/>
      <c r="H36" s="334"/>
      <c r="I36" s="334"/>
      <c r="J36" s="334"/>
      <c r="K36" s="334"/>
      <c r="L36" s="334"/>
      <c r="M36" s="343"/>
      <c r="N36" s="343"/>
      <c r="O36" s="344"/>
      <c r="P36" s="337">
        <f>SUMIFS('caseload data'!V:V,'caseload data'!B:B,"custody",'caseload data'!$C:$C,'custody caseload'!B36)</f>
        <v>0</v>
      </c>
      <c r="Q36" s="345"/>
      <c r="R36" s="346"/>
      <c r="S36" s="76"/>
      <c r="T36" s="162" t="str">
        <f>HLOOKUP($B$5,Region_Table,11,0)</f>
        <v>Enfield and Haringey</v>
      </c>
      <c r="U36" s="333" t="s">
        <v>1262</v>
      </c>
      <c r="V36" s="334"/>
      <c r="W36" s="334"/>
      <c r="X36" s="334"/>
      <c r="Y36" s="334"/>
      <c r="Z36" s="334"/>
      <c r="AA36" s="334"/>
      <c r="AB36" s="334"/>
      <c r="AC36" s="334"/>
      <c r="AD36" s="334"/>
      <c r="AE36" s="343"/>
      <c r="AF36" s="343"/>
      <c r="AG36" s="344"/>
      <c r="AH36" s="337">
        <f>SUMIFS('caseload data'!V:V,'caseload data'!B:B,"custody",'caseload data'!$C:$C,'custody caseload'!T36)</f>
        <v>0</v>
      </c>
      <c r="AI36" s="345"/>
      <c r="AJ36" s="346"/>
    </row>
    <row r="37" spans="2:36" x14ac:dyDescent="0.15">
      <c r="B37" s="108" t="s">
        <v>1199</v>
      </c>
      <c r="C37" s="42" t="s">
        <v>1019</v>
      </c>
      <c r="D37" s="42" t="s">
        <v>1020</v>
      </c>
      <c r="E37" s="42" t="s">
        <v>1021</v>
      </c>
      <c r="F37" s="42" t="s">
        <v>1022</v>
      </c>
      <c r="G37" s="42" t="s">
        <v>1023</v>
      </c>
      <c r="H37" s="42" t="s">
        <v>1024</v>
      </c>
      <c r="I37" s="42" t="s">
        <v>1025</v>
      </c>
      <c r="J37" s="42" t="s">
        <v>1026</v>
      </c>
      <c r="K37" s="42" t="s">
        <v>1027</v>
      </c>
      <c r="L37" s="42" t="s">
        <v>1028</v>
      </c>
      <c r="M37" s="42" t="s">
        <v>1029</v>
      </c>
      <c r="N37" s="42" t="s">
        <v>1030</v>
      </c>
      <c r="O37" s="42" t="s">
        <v>1031</v>
      </c>
      <c r="P37" s="42" t="s">
        <v>1032</v>
      </c>
      <c r="Q37" s="42" t="s">
        <v>1033</v>
      </c>
      <c r="R37" s="42" t="s">
        <v>1034</v>
      </c>
      <c r="S37" s="76"/>
      <c r="T37" s="108" t="s">
        <v>1199</v>
      </c>
      <c r="U37" s="42" t="s">
        <v>1019</v>
      </c>
      <c r="V37" s="42" t="s">
        <v>1020</v>
      </c>
      <c r="W37" s="42" t="s">
        <v>1021</v>
      </c>
      <c r="X37" s="42" t="s">
        <v>1022</v>
      </c>
      <c r="Y37" s="42" t="s">
        <v>1023</v>
      </c>
      <c r="Z37" s="42" t="s">
        <v>1024</v>
      </c>
      <c r="AA37" s="42" t="s">
        <v>1025</v>
      </c>
      <c r="AB37" s="42" t="s">
        <v>1026</v>
      </c>
      <c r="AC37" s="42" t="s">
        <v>1027</v>
      </c>
      <c r="AD37" s="42" t="s">
        <v>1028</v>
      </c>
      <c r="AE37" s="42" t="s">
        <v>1029</v>
      </c>
      <c r="AF37" s="42" t="s">
        <v>1030</v>
      </c>
      <c r="AG37" s="42" t="s">
        <v>1031</v>
      </c>
      <c r="AH37" s="42" t="s">
        <v>1032</v>
      </c>
      <c r="AI37" s="42" t="s">
        <v>1033</v>
      </c>
      <c r="AJ37" s="42" t="s">
        <v>1034</v>
      </c>
    </row>
    <row r="38" spans="2:36" x14ac:dyDescent="0.15">
      <c r="B38" s="109" t="s">
        <v>1037</v>
      </c>
      <c r="C38" s="107">
        <f>SUMIFS('caseload data'!E:E,'caseload data'!$D:$D,"PO",'caseload data'!$C:$C,'custody caseload'!$B$36,'caseload data'!$B:$B,"custody")</f>
        <v>0</v>
      </c>
      <c r="D38" s="107">
        <f>SUMIFS('caseload data'!F:F,'caseload data'!$D:$D,"PO",'caseload data'!$C:$C,'custody caseload'!$B$36,'caseload data'!$B:$B,"custody")</f>
        <v>0</v>
      </c>
      <c r="E38" s="107">
        <f>SUMIFS('caseload data'!G:G,'caseload data'!$D:$D,"PO",'caseload data'!$C:$C,'custody caseload'!$B$36,'caseload data'!$B:$B,"custody")</f>
        <v>0</v>
      </c>
      <c r="F38" s="107">
        <f>SUMIFS('caseload data'!H:H,'caseload data'!$D:$D,"PO",'caseload data'!$C:$C,'custody caseload'!$B$36,'caseload data'!$B:$B,"custody")</f>
        <v>0</v>
      </c>
      <c r="G38" s="107">
        <f>SUMIFS('caseload data'!I:I,'caseload data'!$D:$D,"PO",'caseload data'!$C:$C,'custody caseload'!$B$36,'caseload data'!$B:$B,"custody")</f>
        <v>0</v>
      </c>
      <c r="H38" s="107">
        <f>SUMIFS('caseload data'!J:J,'caseload data'!$D:$D,"PO",'caseload data'!$C:$C,'custody caseload'!$B$36,'caseload data'!$B:$B,"custody")</f>
        <v>0</v>
      </c>
      <c r="I38" s="107">
        <f>SUMIFS('caseload data'!K:K,'caseload data'!$D:$D,"PO",'caseload data'!$C:$C,'custody caseload'!$B$36,'caseload data'!$B:$B,"custody")</f>
        <v>0</v>
      </c>
      <c r="J38" s="107">
        <f>SUMIFS('caseload data'!L:L,'caseload data'!$D:$D,"PO",'caseload data'!$C:$C,'custody caseload'!$B$36,'caseload data'!$B:$B,"custody")</f>
        <v>0</v>
      </c>
      <c r="K38" s="107">
        <f>SUMIFS('caseload data'!M:M,'caseload data'!$D:$D,"PO",'caseload data'!$C:$C,'custody caseload'!$B$36,'caseload data'!$B:$B,"custody")</f>
        <v>0</v>
      </c>
      <c r="L38" s="107">
        <f>SUMIFS('caseload data'!N:N,'caseload data'!$D:$D,"PO",'caseload data'!$C:$C,'custody caseload'!$B$36,'caseload data'!$B:$B,"custody")</f>
        <v>0</v>
      </c>
      <c r="M38" s="107">
        <f>SUMIFS('caseload data'!O:O,'caseload data'!$D:$D,"PO",'caseload data'!$C:$C,'custody caseload'!$B$36,'caseload data'!$B:$B,"custody")</f>
        <v>0</v>
      </c>
      <c r="N38" s="107">
        <f>SUMIFS('caseload data'!P:P,'caseload data'!$D:$D,"PO",'caseload data'!$C:$C,'custody caseload'!$B$36,'caseload data'!$B:$B,"custody")</f>
        <v>0</v>
      </c>
      <c r="O38" s="107">
        <f>SUMIFS('caseload data'!Q:Q,'caseload data'!$D:$D,"PO",'caseload data'!$C:$C,'custody caseload'!$B$36,'caseload data'!$B:$B,"custody")</f>
        <v>0</v>
      </c>
      <c r="P38" s="107">
        <f>SUMIFS('caseload data'!R:R,'caseload data'!$D:$D,"PO",'caseload data'!$C:$C,'custody caseload'!$B$36,'caseload data'!$B:$B,"custody")</f>
        <v>0</v>
      </c>
      <c r="Q38" s="107">
        <f>SUMIFS('caseload data'!S:S,'caseload data'!$D:$D,"PO",'caseload data'!$C:$C,'custody caseload'!$B$36,'caseload data'!$B:$B,"custody")</f>
        <v>0</v>
      </c>
      <c r="R38" s="107">
        <f>SUMIFS('caseload data'!T:T,'caseload data'!$D:$D,"PO",'caseload data'!$C:$C,'custody caseload'!$B$36,'caseload data'!$B:$B,"custody")</f>
        <v>0</v>
      </c>
      <c r="S38" s="76"/>
      <c r="T38" s="109" t="s">
        <v>1037</v>
      </c>
      <c r="U38" s="107">
        <f>SUMIFS('caseload data'!E:E,'caseload data'!$D:$D,"PO",'caseload data'!$C:$C,'custody caseload'!$T$36,'caseload data'!$B:$B,"custody")</f>
        <v>0</v>
      </c>
      <c r="V38" s="107">
        <f>SUMIFS('caseload data'!F:F,'caseload data'!$D:$D,"PO",'caseload data'!$C:$C,'custody caseload'!$T$36,'caseload data'!$B:$B,"custody")</f>
        <v>0</v>
      </c>
      <c r="W38" s="107">
        <f>SUMIFS('caseload data'!G:G,'caseload data'!$D:$D,"PO",'caseload data'!$C:$C,'custody caseload'!$T$36,'caseload data'!$B:$B,"custody")</f>
        <v>0</v>
      </c>
      <c r="X38" s="107">
        <f>SUMIFS('caseload data'!H:H,'caseload data'!$D:$D,"PO",'caseload data'!$C:$C,'custody caseload'!$T$36,'caseload data'!$B:$B,"custody")</f>
        <v>0</v>
      </c>
      <c r="Y38" s="107">
        <f>SUMIFS('caseload data'!I:I,'caseload data'!$D:$D,"PO",'caseload data'!$C:$C,'custody caseload'!$T$36,'caseload data'!$B:$B,"custody")</f>
        <v>0</v>
      </c>
      <c r="Z38" s="107">
        <f>SUMIFS('caseload data'!J:J,'caseload data'!$D:$D,"PO",'caseload data'!$C:$C,'custody caseload'!$T$36,'caseload data'!$B:$B,"custody")</f>
        <v>0</v>
      </c>
      <c r="AA38" s="107">
        <f>SUMIFS('caseload data'!K:K,'caseload data'!$D:$D,"PO",'caseload data'!$C:$C,'custody caseload'!$T$36,'caseload data'!$B:$B,"custody")</f>
        <v>0</v>
      </c>
      <c r="AB38" s="107">
        <f>SUMIFS('caseload data'!L:L,'caseload data'!$D:$D,"PO",'caseload data'!$C:$C,'custody caseload'!$T$36,'caseload data'!$B:$B,"custody")</f>
        <v>0</v>
      </c>
      <c r="AC38" s="107">
        <f>SUMIFS('caseload data'!M:M,'caseload data'!$D:$D,"PO",'caseload data'!$C:$C,'custody caseload'!$T$36,'caseload data'!$B:$B,"custody")</f>
        <v>0</v>
      </c>
      <c r="AD38" s="107">
        <f>SUMIFS('caseload data'!N:N,'caseload data'!$D:$D,"PO",'caseload data'!$C:$C,'custody caseload'!$T$36,'caseload data'!$B:$B,"custody")</f>
        <v>0</v>
      </c>
      <c r="AE38" s="107">
        <f>SUMIFS('caseload data'!O:O,'caseload data'!$D:$D,"PO",'caseload data'!$C:$C,'custody caseload'!$T$36,'caseload data'!$B:$B,"custody")</f>
        <v>0</v>
      </c>
      <c r="AF38" s="107">
        <f>SUMIFS('caseload data'!P:P,'caseload data'!$D:$D,"PO",'caseload data'!$C:$C,'custody caseload'!$T$36,'caseload data'!$B:$B,"custody")</f>
        <v>0</v>
      </c>
      <c r="AG38" s="107">
        <f>SUMIFS('caseload data'!Q:Q,'caseload data'!$D:$D,"PO",'caseload data'!$C:$C,'custody caseload'!$T$36,'caseload data'!$B:$B,"custody")</f>
        <v>0</v>
      </c>
      <c r="AH38" s="107">
        <f>SUMIFS('caseload data'!R:R,'caseload data'!$D:$D,"PO",'caseload data'!$C:$C,'custody caseload'!$T$36,'caseload data'!$B:$B,"custody")</f>
        <v>0</v>
      </c>
      <c r="AI38" s="107">
        <f>SUMIFS('caseload data'!S:S,'caseload data'!$D:$D,"PO",'caseload data'!$C:$C,'custody caseload'!$T$36,'caseload data'!$B:$B,"custody")</f>
        <v>0</v>
      </c>
      <c r="AJ38" s="107">
        <f>SUMIFS('caseload data'!T:T,'caseload data'!$D:$D,"PO",'caseload data'!$C:$C,'custody caseload'!$T$36,'caseload data'!$B:$B,"custody")</f>
        <v>0</v>
      </c>
    </row>
    <row r="39" spans="2:36" ht="15" x14ac:dyDescent="0.2">
      <c r="B39" s="110" t="s">
        <v>1038</v>
      </c>
      <c r="C39" s="165">
        <f>SUMIFS('caseload data'!E:E,'caseload data'!$D:$D,"PSO",'caseload data'!$C:$C,'custody caseload'!$B$36,'caseload data'!$B:$B,"custody")</f>
        <v>0</v>
      </c>
      <c r="D39" s="165">
        <f>SUMIFS('caseload data'!F:F,'caseload data'!$D:$D,"PSO",'caseload data'!$C:$C,'custody caseload'!$B$36,'caseload data'!$B:$B,"custody")</f>
        <v>0</v>
      </c>
      <c r="E39" s="165">
        <f>SUMIFS('caseload data'!G:G,'caseload data'!$D:$D,"PSO",'caseload data'!$C:$C,'custody caseload'!$B$36,'caseload data'!$B:$B,"custody")</f>
        <v>0</v>
      </c>
      <c r="F39" s="165">
        <f>SUMIFS('caseload data'!H:H,'caseload data'!$D:$D,"PSO",'caseload data'!$C:$C,'custody caseload'!$B$36,'caseload data'!$B:$B,"custody")</f>
        <v>0</v>
      </c>
      <c r="G39" s="165">
        <f>SUMIFS('caseload data'!I:I,'caseload data'!$D:$D,"PSO",'caseload data'!$C:$C,'custody caseload'!$B$36,'caseload data'!$B:$B,"custody")</f>
        <v>0</v>
      </c>
      <c r="H39" s="165">
        <f>SUMIFS('caseload data'!J:J,'caseload data'!$D:$D,"PSO",'caseload data'!$C:$C,'custody caseload'!$B$36,'caseload data'!$B:$B,"custody")</f>
        <v>0</v>
      </c>
      <c r="I39" s="165">
        <f>SUMIFS('caseload data'!K:K,'caseload data'!$D:$D,"PSO",'caseload data'!$C:$C,'custody caseload'!$B$36,'caseload data'!$B:$B,"custody")</f>
        <v>0</v>
      </c>
      <c r="J39" s="165">
        <f>SUMIFS('caseload data'!L:L,'caseload data'!$D:$D,"PSO",'caseload data'!$C:$C,'custody caseload'!$B$36,'caseload data'!$B:$B,"custody")</f>
        <v>0</v>
      </c>
      <c r="K39" s="107">
        <f>SUMIFS('caseload data'!M:M,'caseload data'!$D:$D,"PSO",'caseload data'!$C:$C,'custody caseload'!$B$36,'caseload data'!$B:$B,"custody")</f>
        <v>0</v>
      </c>
      <c r="L39" s="107">
        <f>SUMIFS('caseload data'!N:N,'caseload data'!$D:$D,"PSO",'caseload data'!$C:$C,'custody caseload'!$B$36,'caseload data'!$B:$B,"custody")</f>
        <v>0</v>
      </c>
      <c r="M39" s="107">
        <f>SUMIFS('caseload data'!O:O,'caseload data'!$D:$D,"PSO",'caseload data'!$C:$C,'custody caseload'!$B$36,'caseload data'!$B:$B,"custody")</f>
        <v>0</v>
      </c>
      <c r="N39" s="107">
        <f>SUMIFS('caseload data'!P:P,'caseload data'!$D:$D,"PSO",'caseload data'!$C:$C,'custody caseload'!$B$36,'caseload data'!$B:$B,"custody")</f>
        <v>0</v>
      </c>
      <c r="O39" s="107">
        <f>SUMIFS('caseload data'!Q:Q,'caseload data'!$D:$D,"PSO",'caseload data'!$C:$C,'custody caseload'!$B$36,'caseload data'!$B:$B,"custody")</f>
        <v>0</v>
      </c>
      <c r="P39" s="107">
        <f>SUMIFS('caseload data'!R:R,'caseload data'!$D:$D,"PSO",'caseload data'!$C:$C,'custody caseload'!$B$36,'caseload data'!$B:$B,"custody")</f>
        <v>0</v>
      </c>
      <c r="Q39" s="107">
        <f>SUMIFS('caseload data'!S:S,'caseload data'!$D:$D,"PSO",'caseload data'!$C:$C,'custody caseload'!$B$36,'caseload data'!$B:$B,"custody")</f>
        <v>0</v>
      </c>
      <c r="R39" s="107">
        <f>SUMIFS('caseload data'!T:T,'caseload data'!$D:$D,"PSO",'caseload data'!$C:$C,'custody caseload'!$B$36,'caseload data'!$B:$B,"custody")</f>
        <v>0</v>
      </c>
      <c r="S39" s="76"/>
      <c r="T39" s="110" t="s">
        <v>1038</v>
      </c>
      <c r="U39" s="165">
        <f>SUMIFS('caseload data'!E:E,'caseload data'!$D:$D,"PSO",'caseload data'!$C:$C,'custody caseload'!$T$36,'caseload data'!$B:$B,"custody")</f>
        <v>0</v>
      </c>
      <c r="V39" s="165">
        <f>SUMIFS('caseload data'!F:F,'caseload data'!$D:$D,"PSO",'caseload data'!$C:$C,'custody caseload'!$T$36,'caseload data'!$B:$B,"custody")</f>
        <v>0</v>
      </c>
      <c r="W39" s="165">
        <f>SUMIFS('caseload data'!G:G,'caseload data'!$D:$D,"PSO",'caseload data'!$C:$C,'custody caseload'!$T$36,'caseload data'!$B:$B,"custody")</f>
        <v>0</v>
      </c>
      <c r="X39" s="165">
        <f>SUMIFS('caseload data'!H:H,'caseload data'!$D:$D,"PSO",'caseload data'!$C:$C,'custody caseload'!$T$36,'caseload data'!$B:$B,"custody")</f>
        <v>0</v>
      </c>
      <c r="Y39" s="165">
        <f>SUMIFS('caseload data'!I:I,'caseload data'!$D:$D,"PSO",'caseload data'!$C:$C,'custody caseload'!$T$36,'caseload data'!$B:$B,"custody")</f>
        <v>0</v>
      </c>
      <c r="Z39" s="165">
        <f>SUMIFS('caseload data'!J:J,'caseload data'!$D:$D,"PSO",'caseload data'!$C:$C,'custody caseload'!$T$36,'caseload data'!$B:$B,"custody")</f>
        <v>0</v>
      </c>
      <c r="AA39" s="165">
        <f>SUMIFS('caseload data'!K:K,'caseload data'!$D:$D,"PSO",'caseload data'!$C:$C,'custody caseload'!$T$36,'caseload data'!$B:$B,"custody")</f>
        <v>0</v>
      </c>
      <c r="AB39" s="165">
        <f>SUMIFS('caseload data'!L:L,'caseload data'!$D:$D,"PSO",'caseload data'!$C:$C,'custody caseload'!$T$36,'caseload data'!$B:$B,"custody")</f>
        <v>0</v>
      </c>
      <c r="AC39" s="107">
        <f>SUMIFS('caseload data'!M:M,'caseload data'!$D:$D,"PSO",'caseload data'!$C:$C,'custody caseload'!$T$36,'caseload data'!$B:$B,"custody")</f>
        <v>0</v>
      </c>
      <c r="AD39" s="107">
        <f>SUMIFS('caseload data'!N:N,'caseload data'!$D:$D,"PSO",'caseload data'!$C:$C,'custody caseload'!$T$36,'caseload data'!$B:$B,"custody")</f>
        <v>0</v>
      </c>
      <c r="AE39" s="107">
        <f>SUMIFS('caseload data'!O:O,'caseload data'!$D:$D,"PSO",'caseload data'!$C:$C,'custody caseload'!$T$36,'caseload data'!$B:$B,"custody")</f>
        <v>0</v>
      </c>
      <c r="AF39" s="107">
        <f>SUMIFS('caseload data'!P:P,'caseload data'!$D:$D,"PSO",'caseload data'!$C:$C,'custody caseload'!$T$36,'caseload data'!$B:$B,"custody")</f>
        <v>0</v>
      </c>
      <c r="AG39" s="107">
        <f>SUMIFS('caseload data'!Q:Q,'caseload data'!$D:$D,"PSO",'caseload data'!$C:$C,'custody caseload'!$T$36,'caseload data'!$B:$B,"custody")</f>
        <v>0</v>
      </c>
      <c r="AH39" s="107">
        <f>SUMIFS('caseload data'!R:R,'caseload data'!$D:$D,"PSO",'caseload data'!$C:$C,'custody caseload'!$T$36,'caseload data'!$B:$B,"custody")</f>
        <v>0</v>
      </c>
      <c r="AI39" s="107">
        <f>SUMIFS('caseload data'!S:S,'caseload data'!$D:$D,"PSO",'caseload data'!$C:$C,'custody caseload'!$T$36,'caseload data'!$B:$B,"custody")</f>
        <v>0</v>
      </c>
      <c r="AJ39" s="107">
        <f>SUMIFS('caseload data'!T:T,'caseload data'!$D:$D,"PSO",'caseload data'!$C:$C,'custody caseload'!$T$36,'caseload data'!$B:$B,"custody")</f>
        <v>0</v>
      </c>
    </row>
    <row r="40" spans="2:36" ht="15" x14ac:dyDescent="0.2">
      <c r="B40" s="110" t="s">
        <v>1039</v>
      </c>
      <c r="C40" s="165">
        <f>SUMIFS('caseload data'!E:E,'caseload data'!$D:$D,"TPO",'caseload data'!$C:$C,'custody caseload'!$B$36,'caseload data'!$B:$B,"custody")</f>
        <v>0</v>
      </c>
      <c r="D40" s="165">
        <f>SUMIFS('caseload data'!F:F,'caseload data'!$D:$D,"TPO",'caseload data'!$C:$C,'custody caseload'!$B$36,'caseload data'!$B:$B,"custody")</f>
        <v>0</v>
      </c>
      <c r="E40" s="165">
        <f>SUMIFS('caseload data'!G:G,'caseload data'!$D:$D,"TPO",'caseload data'!$C:$C,'custody caseload'!$B$36,'caseload data'!$B:$B,"custody")</f>
        <v>0</v>
      </c>
      <c r="F40" s="165">
        <f>SUMIFS('caseload data'!H:H,'caseload data'!$D:$D,"TPO",'caseload data'!$C:$C,'custody caseload'!$B$36,'caseload data'!$B:$B,"custody")</f>
        <v>0</v>
      </c>
      <c r="G40" s="165">
        <f>SUMIFS('caseload data'!I:I,'caseload data'!$D:$D,"TPO",'caseload data'!$C:$C,'custody caseload'!$B$36,'caseload data'!$B:$B,"custody")</f>
        <v>0</v>
      </c>
      <c r="H40" s="165">
        <f>SUMIFS('caseload data'!J:J,'caseload data'!$D:$D,"TPO",'caseload data'!$C:$C,'custody caseload'!$B$36,'caseload data'!$B:$B,"custody")</f>
        <v>0</v>
      </c>
      <c r="I40" s="165">
        <f>SUMIFS('caseload data'!K:K,'caseload data'!$D:$D,"TPO",'caseload data'!$C:$C,'custody caseload'!$B$36,'caseload data'!$B:$B,"custody")</f>
        <v>0</v>
      </c>
      <c r="J40" s="165">
        <f>SUMIFS('caseload data'!L:L,'caseload data'!$D:$D,"TPO",'caseload data'!$C:$C,'custody caseload'!$B$36,'caseload data'!$B:$B,"custody")</f>
        <v>0</v>
      </c>
      <c r="K40" s="107">
        <f>SUMIFS('caseload data'!M:M,'caseload data'!$D:$D,"TPO",'caseload data'!$C:$C,'custody caseload'!$B$36,'caseload data'!$B:$B,"custody")</f>
        <v>0</v>
      </c>
      <c r="L40" s="107">
        <f>SUMIFS('caseload data'!N:N,'caseload data'!$D:$D,"TPO",'caseload data'!$C:$C,'custody caseload'!$B$36,'caseload data'!$B:$B,"custody")</f>
        <v>0</v>
      </c>
      <c r="M40" s="107">
        <f>SUMIFS('caseload data'!O:O,'caseload data'!$D:$D,"TPO",'caseload data'!$C:$C,'custody caseload'!$B$36,'caseload data'!$B:$B,"custody")</f>
        <v>0</v>
      </c>
      <c r="N40" s="107">
        <f>SUMIFS('caseload data'!P:P,'caseload data'!$D:$D,"TPO",'caseload data'!$C:$C,'custody caseload'!$B$36,'caseload data'!$B:$B,"custody")</f>
        <v>0</v>
      </c>
      <c r="O40" s="107">
        <f>SUMIFS('caseload data'!Q:Q,'caseload data'!$D:$D,"TPO",'caseload data'!$C:$C,'custody caseload'!$B$36,'caseload data'!$B:$B,"custody")</f>
        <v>0</v>
      </c>
      <c r="P40" s="107">
        <f>SUMIFS('caseload data'!R:R,'caseload data'!$D:$D,"TPO",'caseload data'!$C:$C,'custody caseload'!$B$36,'caseload data'!$B:$B,"custody")</f>
        <v>0</v>
      </c>
      <c r="Q40" s="107">
        <f>SUMIFS('caseload data'!S:S,'caseload data'!$D:$D,"TPO",'caseload data'!$C:$C,'custody caseload'!$B$36,'caseload data'!$B:$B,"custody")</f>
        <v>0</v>
      </c>
      <c r="R40" s="107">
        <f>SUMIFS('caseload data'!T:T,'caseload data'!$D:$D,"TPO",'caseload data'!$C:$C,'custody caseload'!$B$36,'caseload data'!$B:$B,"custody")</f>
        <v>0</v>
      </c>
      <c r="S40" s="76"/>
      <c r="T40" s="110" t="s">
        <v>1039</v>
      </c>
      <c r="U40" s="165">
        <f>SUMIFS('caseload data'!E:E,'caseload data'!$D:$D,"TPO",'caseload data'!$C:$C,'custody caseload'!$T$36,'caseload data'!$B:$B,"custody")</f>
        <v>0</v>
      </c>
      <c r="V40" s="165">
        <f>SUMIFS('caseload data'!F:F,'caseload data'!$D:$D,"TPO",'caseload data'!$C:$C,'custody caseload'!$T$36,'caseload data'!$B:$B,"custody")</f>
        <v>0</v>
      </c>
      <c r="W40" s="165">
        <f>SUMIFS('caseload data'!G:G,'caseload data'!$D:$D,"TPO",'caseload data'!$C:$C,'custody caseload'!$T$36,'caseload data'!$B:$B,"custody")</f>
        <v>0</v>
      </c>
      <c r="X40" s="165">
        <f>SUMIFS('caseload data'!H:H,'caseload data'!$D:$D,"TPO",'caseload data'!$C:$C,'custody caseload'!$T$36,'caseload data'!$B:$B,"custody")</f>
        <v>0</v>
      </c>
      <c r="Y40" s="165">
        <f>SUMIFS('caseload data'!I:I,'caseload data'!$D:$D,"TPO",'caseload data'!$C:$C,'custody caseload'!$T$36,'caseload data'!$B:$B,"custody")</f>
        <v>0</v>
      </c>
      <c r="Z40" s="165">
        <f>SUMIFS('caseload data'!J:J,'caseload data'!$D:$D,"TPO",'caseload data'!$C:$C,'custody caseload'!$T$36,'caseload data'!$B:$B,"custody")</f>
        <v>0</v>
      </c>
      <c r="AA40" s="165">
        <f>SUMIFS('caseload data'!K:K,'caseload data'!$D:$D,"TPO",'caseload data'!$C:$C,'custody caseload'!$T$36,'caseload data'!$B:$B,"custody")</f>
        <v>0</v>
      </c>
      <c r="AB40" s="165">
        <f>SUMIFS('caseload data'!L:L,'caseload data'!$D:$D,"TPO",'caseload data'!$C:$C,'custody caseload'!$T$36,'caseload data'!$B:$B,"custody")</f>
        <v>0</v>
      </c>
      <c r="AC40" s="107">
        <f>SUMIFS('caseload data'!M:M,'caseload data'!$D:$D,"TPO",'caseload data'!$C:$C,'custody caseload'!$T$36,'caseload data'!$B:$B,"custody")</f>
        <v>0</v>
      </c>
      <c r="AD40" s="107">
        <f>SUMIFS('caseload data'!N:N,'caseload data'!$D:$D,"TPO",'caseload data'!$C:$C,'custody caseload'!$T$36,'caseload data'!$B:$B,"custody")</f>
        <v>0</v>
      </c>
      <c r="AE40" s="107">
        <f>SUMIFS('caseload data'!O:O,'caseload data'!$D:$D,"TPO",'caseload data'!$C:$C,'custody caseload'!$T$36,'caseload data'!$B:$B,"custody")</f>
        <v>0</v>
      </c>
      <c r="AF40" s="107">
        <f>SUMIFS('caseload data'!P:P,'caseload data'!$D:$D,"TPO",'caseload data'!$C:$C,'custody caseload'!$T$36,'caseload data'!$B:$B,"custody")</f>
        <v>0</v>
      </c>
      <c r="AG40" s="107">
        <f>SUMIFS('caseload data'!Q:Q,'caseload data'!$D:$D,"TPO",'caseload data'!$C:$C,'custody caseload'!$T$36,'caseload data'!$B:$B,"custody")</f>
        <v>0</v>
      </c>
      <c r="AH40" s="107">
        <f>SUMIFS('caseload data'!R:R,'caseload data'!$D:$D,"TPO",'caseload data'!$C:$C,'custody caseload'!$T$36,'caseload data'!$B:$B,"custody")</f>
        <v>0</v>
      </c>
      <c r="AI40" s="107">
        <f>SUMIFS('caseload data'!S:S,'caseload data'!$D:$D,"TPO",'caseload data'!$C:$C,'custody caseload'!$T$36,'caseload data'!$B:$B,"custody")</f>
        <v>0</v>
      </c>
      <c r="AJ40" s="107">
        <f>SUMIFS('caseload data'!T:T,'caseload data'!$D:$D,"TPO",'caseload data'!$C:$C,'custody caseload'!$T$36,'caseload data'!$B:$B,"custody")</f>
        <v>0</v>
      </c>
    </row>
    <row r="41" spans="2:36" x14ac:dyDescent="0.15">
      <c r="B41" s="111" t="s">
        <v>1040</v>
      </c>
      <c r="C41" s="107">
        <f>SUMIFS('caseload data'!E:E,'caseload data'!$D:$D,"SPO",'caseload data'!$C:$C,'custody caseload'!$B$36,'caseload data'!$B:$B,"custody")</f>
        <v>0</v>
      </c>
      <c r="D41" s="107">
        <f>SUMIFS('caseload data'!F:F,'caseload data'!$D:$D,"SPO",'caseload data'!$C:$C,'custody caseload'!$B$36,'caseload data'!$B:$B,"custody")</f>
        <v>0</v>
      </c>
      <c r="E41" s="107">
        <f>SUMIFS('caseload data'!G:G,'caseload data'!$D:$D,"SPO",'caseload data'!$C:$C,'custody caseload'!$B$36,'caseload data'!$B:$B,"custody")</f>
        <v>0</v>
      </c>
      <c r="F41" s="107">
        <f>SUMIFS('caseload data'!H:H,'caseload data'!$D:$D,"SPO",'caseload data'!$C:$C,'custody caseload'!$B$36,'caseload data'!$B:$B,"custody")</f>
        <v>0</v>
      </c>
      <c r="G41" s="107">
        <f>SUMIFS('caseload data'!I:I,'caseload data'!$D:$D,"SPO",'caseload data'!$C:$C,'custody caseload'!$B$36,'caseload data'!$B:$B,"custody")</f>
        <v>0</v>
      </c>
      <c r="H41" s="107">
        <f>SUMIFS('caseload data'!J:J,'caseload data'!$D:$D,"SPO",'caseload data'!$C:$C,'custody caseload'!$B$36,'caseload data'!$B:$B,"custody")</f>
        <v>0</v>
      </c>
      <c r="I41" s="107">
        <f>SUMIFS('caseload data'!K:K,'caseload data'!$D:$D,"SPO",'caseload data'!$C:$C,'custody caseload'!$B$36,'caseload data'!$B:$B,"custody")</f>
        <v>0</v>
      </c>
      <c r="J41" s="107">
        <f>SUMIFS('caseload data'!L:L,'caseload data'!$D:$D,"SPO",'caseload data'!$C:$C,'custody caseload'!$B$36,'caseload data'!$B:$B,"custody")</f>
        <v>0</v>
      </c>
      <c r="K41" s="107">
        <f>SUMIFS('caseload data'!M:M,'caseload data'!$D:$D,"SPO",'caseload data'!$C:$C,'custody caseload'!$B$36,'caseload data'!$B:$B,"custody")</f>
        <v>0</v>
      </c>
      <c r="L41" s="107">
        <f>SUMIFS('caseload data'!N:N,'caseload data'!$D:$D,"SPO",'caseload data'!$C:$C,'custody caseload'!$B$36,'caseload data'!$B:$B,"custody")</f>
        <v>0</v>
      </c>
      <c r="M41" s="107">
        <f>SUMIFS('caseload data'!O:O,'caseload data'!$D:$D,"SPO",'caseload data'!$C:$C,'custody caseload'!$B$36,'caseload data'!$B:$B,"custody")</f>
        <v>0</v>
      </c>
      <c r="N41" s="107">
        <f>SUMIFS('caseload data'!P:P,'caseload data'!$D:$D,"SPO",'caseload data'!$C:$C,'custody caseload'!$B$36,'caseload data'!$B:$B,"custody")</f>
        <v>0</v>
      </c>
      <c r="O41" s="107">
        <f>SUMIFS('caseload data'!Q:Q,'caseload data'!$D:$D,"SPO",'caseload data'!$C:$C,'custody caseload'!$B$36,'caseload data'!$B:$B,"custody")</f>
        <v>0</v>
      </c>
      <c r="P41" s="107">
        <f>SUMIFS('caseload data'!R:R,'caseload data'!$D:$D,"SPO",'caseload data'!$C:$C,'custody caseload'!$B$36,'caseload data'!$B:$B,"custody")</f>
        <v>0</v>
      </c>
      <c r="Q41" s="107">
        <f>SUMIFS('caseload data'!S:S,'caseload data'!$D:$D,"SPO",'caseload data'!$C:$C,'custody caseload'!$B$36,'caseload data'!$B:$B,"custody")</f>
        <v>0</v>
      </c>
      <c r="R41" s="107">
        <f>SUMIFS('caseload data'!T:T,'caseload data'!$D:$D,"SPO",'caseload data'!$C:$C,'custody caseload'!$B$36,'caseload data'!$B:$B,"custody")</f>
        <v>0</v>
      </c>
      <c r="S41" s="76"/>
      <c r="T41" s="111" t="s">
        <v>1040</v>
      </c>
      <c r="U41" s="107">
        <f>SUMIFS('caseload data'!E:E,'caseload data'!$D:$D,"SPO",'caseload data'!$C:$C,'custody caseload'!$T$36,'caseload data'!$B:$B,"custody")</f>
        <v>0</v>
      </c>
      <c r="V41" s="107">
        <f>SUMIFS('caseload data'!F:F,'caseload data'!$D:$D,"SPO",'caseload data'!$C:$C,'custody caseload'!$T$36,'caseload data'!$B:$B,"custody")</f>
        <v>0</v>
      </c>
      <c r="W41" s="107">
        <f>SUMIFS('caseload data'!G:G,'caseload data'!$D:$D,"SPO",'caseload data'!$C:$C,'custody caseload'!$T$36,'caseload data'!$B:$B,"custody")</f>
        <v>0</v>
      </c>
      <c r="X41" s="107">
        <f>SUMIFS('caseload data'!H:H,'caseload data'!$D:$D,"SPO",'caseload data'!$C:$C,'custody caseload'!$T$36,'caseload data'!$B:$B,"custody")</f>
        <v>0</v>
      </c>
      <c r="Y41" s="107">
        <f>SUMIFS('caseload data'!I:I,'caseload data'!$D:$D,"SPO",'caseload data'!$C:$C,'custody caseload'!$T$36,'caseload data'!$B:$B,"custody")</f>
        <v>0</v>
      </c>
      <c r="Z41" s="107">
        <f>SUMIFS('caseload data'!J:J,'caseload data'!$D:$D,"SPO",'caseload data'!$C:$C,'custody caseload'!$T$36,'caseload data'!$B:$B,"custody")</f>
        <v>0</v>
      </c>
      <c r="AA41" s="107">
        <f>SUMIFS('caseload data'!K:K,'caseload data'!$D:$D,"SPO",'caseload data'!$C:$C,'custody caseload'!$T$36,'caseload data'!$B:$B,"custody")</f>
        <v>0</v>
      </c>
      <c r="AB41" s="107">
        <f>SUMIFS('caseload data'!L:L,'caseload data'!$D:$D,"SPO",'caseload data'!$C:$C,'custody caseload'!$T$36,'caseload data'!$B:$B,"custody")</f>
        <v>0</v>
      </c>
      <c r="AC41" s="107">
        <f>SUMIFS('caseload data'!M:M,'caseload data'!$D:$D,"SPO",'caseload data'!$C:$C,'custody caseload'!$T$36,'caseload data'!$B:$B,"custody")</f>
        <v>0</v>
      </c>
      <c r="AD41" s="107">
        <f>SUMIFS('caseload data'!N:N,'caseload data'!$D:$D,"SPO",'caseload data'!$C:$C,'custody caseload'!$T$36,'caseload data'!$B:$B,"custody")</f>
        <v>0</v>
      </c>
      <c r="AE41" s="107">
        <f>SUMIFS('caseload data'!O:O,'caseload data'!$D:$D,"SPO",'caseload data'!$C:$C,'custody caseload'!$T$36,'caseload data'!$B:$B,"custody")</f>
        <v>0</v>
      </c>
      <c r="AF41" s="107">
        <f>SUMIFS('caseload data'!P:P,'caseload data'!$D:$D,"SPO",'caseload data'!$C:$C,'custody caseload'!$T$36,'caseload data'!$B:$B,"custody")</f>
        <v>0</v>
      </c>
      <c r="AG41" s="107">
        <f>SUMIFS('caseload data'!Q:Q,'caseload data'!$D:$D,"SPO",'caseload data'!$C:$C,'custody caseload'!$T$36,'caseload data'!$B:$B,"custody")</f>
        <v>0</v>
      </c>
      <c r="AH41" s="107">
        <f>SUMIFS('caseload data'!R:R,'caseload data'!$D:$D,"SPO",'caseload data'!$C:$C,'custody caseload'!$T$36,'caseload data'!$B:$B,"custody")</f>
        <v>0</v>
      </c>
      <c r="AI41" s="107">
        <f>SUMIFS('caseload data'!S:S,'caseload data'!$D:$D,"SPO",'caseload data'!$C:$C,'custody caseload'!$T$36,'caseload data'!$B:$B,"custody")</f>
        <v>0</v>
      </c>
      <c r="AJ41" s="107">
        <f>SUMIFS('caseload data'!T:T,'caseload data'!$D:$D,"SPO",'caseload data'!$C:$C,'custody caseload'!$T$36,'caseload data'!$B:$B,"custody")</f>
        <v>0</v>
      </c>
    </row>
    <row r="42" spans="2:36" x14ac:dyDescent="0.15">
      <c r="B42" s="104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104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</row>
    <row r="43" spans="2:36" ht="29.25" customHeight="1" x14ac:dyDescent="0.15">
      <c r="B43" s="162" t="str">
        <f>HLOOKUP($B$5,Region_Table,12,0)</f>
        <v>Greenwich and Bexley</v>
      </c>
      <c r="C43" s="333" t="s">
        <v>1262</v>
      </c>
      <c r="D43" s="334"/>
      <c r="E43" s="334"/>
      <c r="F43" s="334"/>
      <c r="G43" s="334"/>
      <c r="H43" s="334"/>
      <c r="I43" s="334"/>
      <c r="J43" s="334"/>
      <c r="K43" s="334"/>
      <c r="L43" s="334"/>
      <c r="M43" s="343"/>
      <c r="N43" s="343"/>
      <c r="O43" s="344"/>
      <c r="P43" s="337">
        <f>SUMIFS('caseload data'!V:V,'caseload data'!B:B,"custody",'caseload data'!$C:$C,'custody caseload'!B43)</f>
        <v>0</v>
      </c>
      <c r="Q43" s="345"/>
      <c r="R43" s="346"/>
      <c r="S43" s="76"/>
      <c r="T43" s="162" t="str">
        <f>HLOOKUP($B$5,Region_Table,13,0)</f>
        <v>Hackney and City</v>
      </c>
      <c r="U43" s="333" t="s">
        <v>1262</v>
      </c>
      <c r="V43" s="334"/>
      <c r="W43" s="334"/>
      <c r="X43" s="334"/>
      <c r="Y43" s="334"/>
      <c r="Z43" s="334"/>
      <c r="AA43" s="334"/>
      <c r="AB43" s="334"/>
      <c r="AC43" s="334"/>
      <c r="AD43" s="334"/>
      <c r="AE43" s="343"/>
      <c r="AF43" s="343"/>
      <c r="AG43" s="344"/>
      <c r="AH43" s="337">
        <f>SUMIFS('caseload data'!V:V,'caseload data'!B:B,"custody",'caseload data'!$C:$C,'custody caseload'!T43)</f>
        <v>0</v>
      </c>
      <c r="AI43" s="345"/>
      <c r="AJ43" s="346"/>
    </row>
    <row r="44" spans="2:36" x14ac:dyDescent="0.15">
      <c r="B44" s="108" t="s">
        <v>1199</v>
      </c>
      <c r="C44" s="42" t="s">
        <v>1019</v>
      </c>
      <c r="D44" s="42" t="s">
        <v>1020</v>
      </c>
      <c r="E44" s="42" t="s">
        <v>1021</v>
      </c>
      <c r="F44" s="42" t="s">
        <v>1022</v>
      </c>
      <c r="G44" s="42" t="s">
        <v>1023</v>
      </c>
      <c r="H44" s="42" t="s">
        <v>1024</v>
      </c>
      <c r="I44" s="42" t="s">
        <v>1025</v>
      </c>
      <c r="J44" s="42" t="s">
        <v>1026</v>
      </c>
      <c r="K44" s="42" t="s">
        <v>1027</v>
      </c>
      <c r="L44" s="42" t="s">
        <v>1028</v>
      </c>
      <c r="M44" s="42" t="s">
        <v>1029</v>
      </c>
      <c r="N44" s="42" t="s">
        <v>1030</v>
      </c>
      <c r="O44" s="42" t="s">
        <v>1031</v>
      </c>
      <c r="P44" s="42" t="s">
        <v>1032</v>
      </c>
      <c r="Q44" s="42" t="s">
        <v>1033</v>
      </c>
      <c r="R44" s="42" t="s">
        <v>1034</v>
      </c>
      <c r="S44" s="76"/>
      <c r="T44" s="108" t="s">
        <v>1199</v>
      </c>
      <c r="U44" s="42" t="s">
        <v>1019</v>
      </c>
      <c r="V44" s="42" t="s">
        <v>1020</v>
      </c>
      <c r="W44" s="42" t="s">
        <v>1021</v>
      </c>
      <c r="X44" s="42" t="s">
        <v>1022</v>
      </c>
      <c r="Y44" s="42" t="s">
        <v>1023</v>
      </c>
      <c r="Z44" s="42" t="s">
        <v>1024</v>
      </c>
      <c r="AA44" s="42" t="s">
        <v>1025</v>
      </c>
      <c r="AB44" s="42" t="s">
        <v>1026</v>
      </c>
      <c r="AC44" s="42" t="s">
        <v>1027</v>
      </c>
      <c r="AD44" s="42" t="s">
        <v>1028</v>
      </c>
      <c r="AE44" s="42" t="s">
        <v>1029</v>
      </c>
      <c r="AF44" s="42" t="s">
        <v>1030</v>
      </c>
      <c r="AG44" s="42" t="s">
        <v>1031</v>
      </c>
      <c r="AH44" s="42" t="s">
        <v>1032</v>
      </c>
      <c r="AI44" s="42" t="s">
        <v>1033</v>
      </c>
      <c r="AJ44" s="42" t="s">
        <v>1034</v>
      </c>
    </row>
    <row r="45" spans="2:36" x14ac:dyDescent="0.15">
      <c r="B45" s="109" t="s">
        <v>1037</v>
      </c>
      <c r="C45" s="107">
        <f>SUMIFS('caseload data'!E:E,'caseload data'!$D:$D,"PO",'caseload data'!$C:$C,'custody caseload'!$B$43,'caseload data'!$B:$B,"custody")</f>
        <v>0</v>
      </c>
      <c r="D45" s="107">
        <f>SUMIFS('caseload data'!F:F,'caseload data'!$D:$D,"PO",'caseload data'!$C:$C,'custody caseload'!$B$43,'caseload data'!$B:$B,"custody")</f>
        <v>0</v>
      </c>
      <c r="E45" s="107">
        <f>SUMIFS('caseload data'!G:G,'caseload data'!$D:$D,"PO",'caseload data'!$C:$C,'custody caseload'!$B$43,'caseload data'!$B:$B,"custody")</f>
        <v>0</v>
      </c>
      <c r="F45" s="107">
        <f>SUMIFS('caseload data'!H:H,'caseload data'!$D:$D,"PO",'caseload data'!$C:$C,'custody caseload'!$B$43,'caseload data'!$B:$B,"custody")</f>
        <v>0</v>
      </c>
      <c r="G45" s="107">
        <f>SUMIFS('caseload data'!I:I,'caseload data'!$D:$D,"PO",'caseload data'!$C:$C,'custody caseload'!$B$43,'caseload data'!$B:$B,"custody")</f>
        <v>0</v>
      </c>
      <c r="H45" s="107">
        <f>SUMIFS('caseload data'!J:J,'caseload data'!$D:$D,"PO",'caseload data'!$C:$C,'custody caseload'!$B$43,'caseload data'!$B:$B,"custody")</f>
        <v>0</v>
      </c>
      <c r="I45" s="107">
        <f>SUMIFS('caseload data'!K:K,'caseload data'!$D:$D,"PO",'caseload data'!$C:$C,'custody caseload'!$B$43,'caseload data'!$B:$B,"custody")</f>
        <v>0</v>
      </c>
      <c r="J45" s="107">
        <f>SUMIFS('caseload data'!L:L,'caseload data'!$D:$D,"PO",'caseload data'!$C:$C,'custody caseload'!$B$43,'caseload data'!$B:$B,"custody")</f>
        <v>0</v>
      </c>
      <c r="K45" s="107">
        <f>SUMIFS('caseload data'!M:M,'caseload data'!$D:$D,"PO",'caseload data'!$C:$C,'custody caseload'!$B$43,'caseload data'!$B:$B,"custody")</f>
        <v>0</v>
      </c>
      <c r="L45" s="107">
        <f>SUMIFS('caseload data'!N:N,'caseload data'!$D:$D,"PO",'caseload data'!$C:$C,'custody caseload'!$B$43,'caseload data'!$B:$B,"custody")</f>
        <v>0</v>
      </c>
      <c r="M45" s="107">
        <f>SUMIFS('caseload data'!O:O,'caseload data'!$D:$D,"PO",'caseload data'!$C:$C,'custody caseload'!$B$43,'caseload data'!$B:$B,"custody")</f>
        <v>0</v>
      </c>
      <c r="N45" s="107">
        <f>SUMIFS('caseload data'!P:P,'caseload data'!$D:$D,"PO",'caseload data'!$C:$C,'custody caseload'!$B$43,'caseload data'!$B:$B,"custody")</f>
        <v>0</v>
      </c>
      <c r="O45" s="107">
        <f>SUMIFS('caseload data'!Q:Q,'caseload data'!$D:$D,"PO",'caseload data'!$C:$C,'custody caseload'!$B$43,'caseload data'!$B:$B,"custody")</f>
        <v>0</v>
      </c>
      <c r="P45" s="107">
        <f>SUMIFS('caseload data'!R:R,'caseload data'!$D:$D,"PO",'caseload data'!$C:$C,'custody caseload'!$B$43,'caseload data'!$B:$B,"custody")</f>
        <v>0</v>
      </c>
      <c r="Q45" s="107">
        <f>SUMIFS('caseload data'!S:S,'caseload data'!$D:$D,"PO",'caseload data'!$C:$C,'custody caseload'!$B$43,'caseload data'!$B:$B,"custody")</f>
        <v>0</v>
      </c>
      <c r="R45" s="107">
        <f>SUMIFS('caseload data'!T:T,'caseload data'!$D:$D,"PO",'caseload data'!$C:$C,'custody caseload'!$B$43,'caseload data'!$B:$B,"custody")</f>
        <v>0</v>
      </c>
      <c r="S45" s="76"/>
      <c r="T45" s="109" t="s">
        <v>1037</v>
      </c>
      <c r="U45" s="107">
        <f>SUMIFS('caseload data'!E:E,'caseload data'!$D:$D,"PO",'caseload data'!$C:$C,'custody caseload'!$T$43,'caseload data'!$B:$B,"custody")</f>
        <v>0</v>
      </c>
      <c r="V45" s="107">
        <f>SUMIFS('caseload data'!F:F,'caseload data'!$D:$D,"PO",'caseload data'!$C:$C,'custody caseload'!$T$43,'caseload data'!$B:$B,"custody")</f>
        <v>0</v>
      </c>
      <c r="W45" s="107">
        <f>SUMIFS('caseload data'!G:G,'caseload data'!$D:$D,"PO",'caseload data'!$C:$C,'custody caseload'!$T$43,'caseload data'!$B:$B,"custody")</f>
        <v>0</v>
      </c>
      <c r="X45" s="107">
        <f>SUMIFS('caseload data'!H:H,'caseload data'!$D:$D,"PO",'caseload data'!$C:$C,'custody caseload'!$T$43,'caseload data'!$B:$B,"custody")</f>
        <v>0</v>
      </c>
      <c r="Y45" s="107">
        <f>SUMIFS('caseload data'!I:I,'caseload data'!$D:$D,"PO",'caseload data'!$C:$C,'custody caseload'!$T$43,'caseload data'!$B:$B,"custody")</f>
        <v>0</v>
      </c>
      <c r="Z45" s="107">
        <f>SUMIFS('caseload data'!J:J,'caseload data'!$D:$D,"PO",'caseload data'!$C:$C,'custody caseload'!$T$43,'caseload data'!$B:$B,"custody")</f>
        <v>0</v>
      </c>
      <c r="AA45" s="107">
        <f>SUMIFS('caseload data'!K:K,'caseload data'!$D:$D,"PO",'caseload data'!$C:$C,'custody caseload'!$T$43,'caseload data'!$B:$B,"custody")</f>
        <v>0</v>
      </c>
      <c r="AB45" s="107">
        <f>SUMIFS('caseload data'!L:L,'caseload data'!$D:$D,"PO",'caseload data'!$C:$C,'custody caseload'!$T$43,'caseload data'!$B:$B,"custody")</f>
        <v>0</v>
      </c>
      <c r="AC45" s="107">
        <f>SUMIFS('caseload data'!M:M,'caseload data'!$D:$D,"PO",'caseload data'!$C:$C,'custody caseload'!$T$43,'caseload data'!$B:$B,"custody")</f>
        <v>0</v>
      </c>
      <c r="AD45" s="107">
        <f>SUMIFS('caseload data'!N:N,'caseload data'!$D:$D,"PO",'caseload data'!$C:$C,'custody caseload'!$T$43,'caseload data'!$B:$B,"custody")</f>
        <v>0</v>
      </c>
      <c r="AE45" s="107">
        <f>SUMIFS('caseload data'!O:O,'caseload data'!$D:$D,"PO",'caseload data'!$C:$C,'custody caseload'!$T$43,'caseload data'!$B:$B,"custody")</f>
        <v>0</v>
      </c>
      <c r="AF45" s="107">
        <f>SUMIFS('caseload data'!P:P,'caseload data'!$D:$D,"PO",'caseload data'!$C:$C,'custody caseload'!$T$43,'caseload data'!$B:$B,"custody")</f>
        <v>0</v>
      </c>
      <c r="AG45" s="107">
        <f>SUMIFS('caseload data'!Q:Q,'caseload data'!$D:$D,"PO",'caseload data'!$C:$C,'custody caseload'!$T$43,'caseload data'!$B:$B,"custody")</f>
        <v>0</v>
      </c>
      <c r="AH45" s="107">
        <f>SUMIFS('caseload data'!R:R,'caseload data'!$D:$D,"PO",'caseload data'!$C:$C,'custody caseload'!$T$43,'caseload data'!$B:$B,"custody")</f>
        <v>0</v>
      </c>
      <c r="AI45" s="107">
        <f>SUMIFS('caseload data'!S:S,'caseload data'!$D:$D,"PO",'caseload data'!$C:$C,'custody caseload'!$T$43,'caseload data'!$B:$B,"custody")</f>
        <v>0</v>
      </c>
      <c r="AJ45" s="107">
        <f>SUMIFS('caseload data'!T:T,'caseload data'!$D:$D,"PO",'caseload data'!$C:$C,'custody caseload'!$T$43,'caseload data'!$B:$B,"custody")</f>
        <v>0</v>
      </c>
    </row>
    <row r="46" spans="2:36" ht="15" x14ac:dyDescent="0.2">
      <c r="B46" s="110" t="s">
        <v>1038</v>
      </c>
      <c r="C46" s="165">
        <f>SUMIFS('caseload data'!E:E,'caseload data'!$D:$D,"PSO",'caseload data'!$C:$C,'custody caseload'!$B$43,'caseload data'!$B:$B,"custody")</f>
        <v>0</v>
      </c>
      <c r="D46" s="165">
        <f>SUMIFS('caseload data'!F:F,'caseload data'!$D:$D,"PSO",'caseload data'!$C:$C,'custody caseload'!$B$43,'caseload data'!$B:$B,"custody")</f>
        <v>0</v>
      </c>
      <c r="E46" s="165">
        <f>SUMIFS('caseload data'!G:G,'caseload data'!$D:$D,"PSO",'caseload data'!$C:$C,'custody caseload'!$B$43,'caseload data'!$B:$B,"custody")</f>
        <v>0</v>
      </c>
      <c r="F46" s="165">
        <f>SUMIFS('caseload data'!H:H,'caseload data'!$D:$D,"PSO",'caseload data'!$C:$C,'custody caseload'!$B$43,'caseload data'!$B:$B,"custody")</f>
        <v>0</v>
      </c>
      <c r="G46" s="165">
        <f>SUMIFS('caseload data'!I:I,'caseload data'!$D:$D,"PSO",'caseload data'!$C:$C,'custody caseload'!$B$43,'caseload data'!$B:$B,"custody")</f>
        <v>0</v>
      </c>
      <c r="H46" s="165">
        <f>SUMIFS('caseload data'!J:J,'caseload data'!$D:$D,"PSO",'caseload data'!$C:$C,'custody caseload'!$B$43,'caseload data'!$B:$B,"custody")</f>
        <v>0</v>
      </c>
      <c r="I46" s="165">
        <f>SUMIFS('caseload data'!K:K,'caseload data'!$D:$D,"PSO",'caseload data'!$C:$C,'custody caseload'!$B$43,'caseload data'!$B:$B,"custody")</f>
        <v>0</v>
      </c>
      <c r="J46" s="165">
        <f>SUMIFS('caseload data'!L:L,'caseload data'!$D:$D,"PSO",'caseload data'!$C:$C,'custody caseload'!$B$43,'caseload data'!$B:$B,"custody")</f>
        <v>0</v>
      </c>
      <c r="K46" s="107">
        <f>SUMIFS('caseload data'!M:M,'caseload data'!$D:$D,"PSO",'caseload data'!$C:$C,'custody caseload'!$B$43,'caseload data'!$B:$B,"custody")</f>
        <v>0</v>
      </c>
      <c r="L46" s="107">
        <f>SUMIFS('caseload data'!N:N,'caseload data'!$D:$D,"PSO",'caseload data'!$C:$C,'custody caseload'!$B$43,'caseload data'!$B:$B,"custody")</f>
        <v>0</v>
      </c>
      <c r="M46" s="107">
        <f>SUMIFS('caseload data'!O:O,'caseload data'!$D:$D,"PSO",'caseload data'!$C:$C,'custody caseload'!$B$43,'caseload data'!$B:$B,"custody")</f>
        <v>0</v>
      </c>
      <c r="N46" s="107">
        <f>SUMIFS('caseload data'!P:P,'caseload data'!$D:$D,"PSO",'caseload data'!$C:$C,'custody caseload'!$B$43,'caseload data'!$B:$B,"custody")</f>
        <v>0</v>
      </c>
      <c r="O46" s="107">
        <f>SUMIFS('caseload data'!Q:Q,'caseload data'!$D:$D,"PSO",'caseload data'!$C:$C,'custody caseload'!$B$43,'caseload data'!$B:$B,"custody")</f>
        <v>0</v>
      </c>
      <c r="P46" s="107">
        <f>SUMIFS('caseload data'!R:R,'caseload data'!$D:$D,"PSO",'caseload data'!$C:$C,'custody caseload'!$B$43,'caseload data'!$B:$B,"custody")</f>
        <v>0</v>
      </c>
      <c r="Q46" s="107">
        <f>SUMIFS('caseload data'!S:S,'caseload data'!$D:$D,"PSO",'caseload data'!$C:$C,'custody caseload'!$B$43,'caseload data'!$B:$B,"custody")</f>
        <v>0</v>
      </c>
      <c r="R46" s="107">
        <f>SUMIFS('caseload data'!T:T,'caseload data'!$D:$D,"PSO",'caseload data'!$C:$C,'custody caseload'!$B$43,'caseload data'!$B:$B,"custody")</f>
        <v>0</v>
      </c>
      <c r="S46" s="76"/>
      <c r="T46" s="110" t="s">
        <v>1038</v>
      </c>
      <c r="U46" s="165">
        <f>SUMIFS('caseload data'!E:E,'caseload data'!$D:$D,"PSO",'caseload data'!$C:$C,'custody caseload'!$T$43,'caseload data'!$B:$B,"custody")</f>
        <v>0</v>
      </c>
      <c r="V46" s="165">
        <f>SUMIFS('caseload data'!F:F,'caseload data'!$D:$D,"PSO",'caseload data'!$C:$C,'custody caseload'!$T$43,'caseload data'!$B:$B,"custody")</f>
        <v>0</v>
      </c>
      <c r="W46" s="165">
        <f>SUMIFS('caseload data'!G:G,'caseload data'!$D:$D,"PSO",'caseload data'!$C:$C,'custody caseload'!$T$43,'caseload data'!$B:$B,"custody")</f>
        <v>0</v>
      </c>
      <c r="X46" s="165">
        <f>SUMIFS('caseload data'!H:H,'caseload data'!$D:$D,"PSO",'caseload data'!$C:$C,'custody caseload'!$T$43,'caseload data'!$B:$B,"custody")</f>
        <v>0</v>
      </c>
      <c r="Y46" s="165">
        <f>SUMIFS('caseload data'!I:I,'caseload data'!$D:$D,"PSO",'caseload data'!$C:$C,'custody caseload'!$T$43,'caseload data'!$B:$B,"custody")</f>
        <v>0</v>
      </c>
      <c r="Z46" s="165">
        <f>SUMIFS('caseload data'!J:J,'caseload data'!$D:$D,"PSO",'caseload data'!$C:$C,'custody caseload'!$T$43,'caseload data'!$B:$B,"custody")</f>
        <v>0</v>
      </c>
      <c r="AA46" s="165">
        <f>SUMIFS('caseload data'!K:K,'caseload data'!$D:$D,"PSO",'caseload data'!$C:$C,'custody caseload'!$T$43,'caseload data'!$B:$B,"custody")</f>
        <v>0</v>
      </c>
      <c r="AB46" s="165">
        <f>SUMIFS('caseload data'!L:L,'caseload data'!$D:$D,"PSO",'caseload data'!$C:$C,'custody caseload'!$T$43,'caseload data'!$B:$B,"custody")</f>
        <v>0</v>
      </c>
      <c r="AC46" s="107">
        <f>SUMIFS('caseload data'!M:M,'caseload data'!$D:$D,"PSO",'caseload data'!$C:$C,'custody caseload'!$T$43,'caseload data'!$B:$B,"custody")</f>
        <v>0</v>
      </c>
      <c r="AD46" s="107">
        <f>SUMIFS('caseload data'!N:N,'caseload data'!$D:$D,"PSO",'caseload data'!$C:$C,'custody caseload'!$T$43,'caseload data'!$B:$B,"custody")</f>
        <v>0</v>
      </c>
      <c r="AE46" s="107">
        <f>SUMIFS('caseload data'!O:O,'caseload data'!$D:$D,"PSO",'caseload data'!$C:$C,'custody caseload'!$T$43,'caseload data'!$B:$B,"custody")</f>
        <v>0</v>
      </c>
      <c r="AF46" s="107">
        <f>SUMIFS('caseload data'!P:P,'caseload data'!$D:$D,"PSO",'caseload data'!$C:$C,'custody caseload'!$T$43,'caseload data'!$B:$B,"custody")</f>
        <v>0</v>
      </c>
      <c r="AG46" s="107">
        <f>SUMIFS('caseload data'!Q:Q,'caseload data'!$D:$D,"PSO",'caseload data'!$C:$C,'custody caseload'!$T$43,'caseload data'!$B:$B,"custody")</f>
        <v>0</v>
      </c>
      <c r="AH46" s="107">
        <f>SUMIFS('caseload data'!R:R,'caseload data'!$D:$D,"PSO",'caseload data'!$C:$C,'custody caseload'!$T$43,'caseload data'!$B:$B,"custody")</f>
        <v>0</v>
      </c>
      <c r="AI46" s="107">
        <f>SUMIFS('caseload data'!S:S,'caseload data'!$D:$D,"PSO",'caseload data'!$C:$C,'custody caseload'!$T$43,'caseload data'!$B:$B,"custody")</f>
        <v>0</v>
      </c>
      <c r="AJ46" s="107">
        <f>SUMIFS('caseload data'!T:T,'caseload data'!$D:$D,"PSO",'caseload data'!$C:$C,'custody caseload'!$T$43,'caseload data'!$B:$B,"custody")</f>
        <v>0</v>
      </c>
    </row>
    <row r="47" spans="2:36" ht="15" x14ac:dyDescent="0.2">
      <c r="B47" s="110" t="s">
        <v>1039</v>
      </c>
      <c r="C47" s="165">
        <f>SUMIFS('caseload data'!E:E,'caseload data'!$D:$D,"TPO",'caseload data'!$C:$C,'custody caseload'!$B$43,'caseload data'!$B:$B,"custody")</f>
        <v>0</v>
      </c>
      <c r="D47" s="165">
        <f>SUMIFS('caseload data'!F:F,'caseload data'!$D:$D,"TPO",'caseload data'!$C:$C,'custody caseload'!$B$43,'caseload data'!$B:$B,"custody")</f>
        <v>0</v>
      </c>
      <c r="E47" s="165">
        <f>SUMIFS('caseload data'!G:G,'caseload data'!$D:$D,"TPO",'caseload data'!$C:$C,'custody caseload'!$B$43,'caseload data'!$B:$B,"custody")</f>
        <v>0</v>
      </c>
      <c r="F47" s="165">
        <f>SUMIFS('caseload data'!H:H,'caseload data'!$D:$D,"TPO",'caseload data'!$C:$C,'custody caseload'!$B$43,'caseload data'!$B:$B,"custody")</f>
        <v>0</v>
      </c>
      <c r="G47" s="165">
        <f>SUMIFS('caseload data'!I:I,'caseload data'!$D:$D,"TPO",'caseload data'!$C:$C,'custody caseload'!$B$43,'caseload data'!$B:$B,"custody")</f>
        <v>0</v>
      </c>
      <c r="H47" s="165">
        <f>SUMIFS('caseload data'!J:J,'caseload data'!$D:$D,"TPO",'caseload data'!$C:$C,'custody caseload'!$B$43,'caseload data'!$B:$B,"custody")</f>
        <v>0</v>
      </c>
      <c r="I47" s="165">
        <f>SUMIFS('caseload data'!K:K,'caseload data'!$D:$D,"TPO",'caseload data'!$C:$C,'custody caseload'!$B$43,'caseload data'!$B:$B,"custody")</f>
        <v>0</v>
      </c>
      <c r="J47" s="165">
        <f>SUMIFS('caseload data'!L:L,'caseload data'!$D:$D,"TPO",'caseload data'!$C:$C,'custody caseload'!$B$43,'caseload data'!$B:$B,"custody")</f>
        <v>0</v>
      </c>
      <c r="K47" s="107">
        <f>SUMIFS('caseload data'!M:M,'caseload data'!$D:$D,"TPO",'caseload data'!$C:$C,'custody caseload'!$B$43,'caseload data'!$B:$B,"custody")</f>
        <v>0</v>
      </c>
      <c r="L47" s="107">
        <f>SUMIFS('caseload data'!N:N,'caseload data'!$D:$D,"TPO",'caseload data'!$C:$C,'custody caseload'!$B$43,'caseload data'!$B:$B,"custody")</f>
        <v>0</v>
      </c>
      <c r="M47" s="107">
        <f>SUMIFS('caseload data'!O:O,'caseload data'!$D:$D,"TPO",'caseload data'!$C:$C,'custody caseload'!$B$43,'caseload data'!$B:$B,"custody")</f>
        <v>0</v>
      </c>
      <c r="N47" s="107">
        <f>SUMIFS('caseload data'!P:P,'caseload data'!$D:$D,"TPO",'caseload data'!$C:$C,'custody caseload'!$B$43,'caseload data'!$B:$B,"custody")</f>
        <v>0</v>
      </c>
      <c r="O47" s="107">
        <f>SUMIFS('caseload data'!Q:Q,'caseload data'!$D:$D,"TPO",'caseload data'!$C:$C,'custody caseload'!$B$43,'caseload data'!$B:$B,"custody")</f>
        <v>0</v>
      </c>
      <c r="P47" s="107">
        <f>SUMIFS('caseload data'!R:R,'caseload data'!$D:$D,"TPO",'caseload data'!$C:$C,'custody caseload'!$B$43,'caseload data'!$B:$B,"custody")</f>
        <v>0</v>
      </c>
      <c r="Q47" s="107">
        <f>SUMIFS('caseload data'!S:S,'caseload data'!$D:$D,"TPO",'caseload data'!$C:$C,'custody caseload'!$B$43,'caseload data'!$B:$B,"custody")</f>
        <v>0</v>
      </c>
      <c r="R47" s="107">
        <f>SUMIFS('caseload data'!T:T,'caseload data'!$D:$D,"TPO",'caseload data'!$C:$C,'custody caseload'!$B$43,'caseload data'!$B:$B,"custody")</f>
        <v>0</v>
      </c>
      <c r="S47" s="76"/>
      <c r="T47" s="110" t="s">
        <v>1039</v>
      </c>
      <c r="U47" s="165">
        <f>SUMIFS('caseload data'!E:E,'caseload data'!$D:$D,"TPO",'caseload data'!$C:$C,'custody caseload'!$T$43,'caseload data'!$B:$B,"custody")</f>
        <v>0</v>
      </c>
      <c r="V47" s="165">
        <f>SUMIFS('caseload data'!F:F,'caseload data'!$D:$D,"TPO",'caseload data'!$C:$C,'custody caseload'!$T$43,'caseload data'!$B:$B,"custody")</f>
        <v>0</v>
      </c>
      <c r="W47" s="165">
        <f>SUMIFS('caseload data'!G:G,'caseload data'!$D:$D,"TPO",'caseload data'!$C:$C,'custody caseload'!$T$43,'caseload data'!$B:$B,"custody")</f>
        <v>0</v>
      </c>
      <c r="X47" s="165">
        <f>SUMIFS('caseload data'!H:H,'caseload data'!$D:$D,"TPO",'caseload data'!$C:$C,'custody caseload'!$T$43,'caseload data'!$B:$B,"custody")</f>
        <v>0</v>
      </c>
      <c r="Y47" s="165">
        <f>SUMIFS('caseload data'!I:I,'caseload data'!$D:$D,"TPO",'caseload data'!$C:$C,'custody caseload'!$T$43,'caseload data'!$B:$B,"custody")</f>
        <v>0</v>
      </c>
      <c r="Z47" s="165">
        <f>SUMIFS('caseload data'!J:J,'caseload data'!$D:$D,"TPO",'caseload data'!$C:$C,'custody caseload'!$T$43,'caseload data'!$B:$B,"custody")</f>
        <v>0</v>
      </c>
      <c r="AA47" s="165">
        <f>SUMIFS('caseload data'!K:K,'caseload data'!$D:$D,"TPO",'caseload data'!$C:$C,'custody caseload'!$T$43,'caseload data'!$B:$B,"custody")</f>
        <v>0</v>
      </c>
      <c r="AB47" s="165">
        <f>SUMIFS('caseload data'!L:L,'caseload data'!$D:$D,"TPO",'caseload data'!$C:$C,'custody caseload'!$T$43,'caseload data'!$B:$B,"custody")</f>
        <v>0</v>
      </c>
      <c r="AC47" s="107">
        <f>SUMIFS('caseload data'!M:M,'caseload data'!$D:$D,"TPO",'caseload data'!$C:$C,'custody caseload'!$T$43,'caseload data'!$B:$B,"custody")</f>
        <v>0</v>
      </c>
      <c r="AD47" s="107">
        <f>SUMIFS('caseload data'!N:N,'caseload data'!$D:$D,"TPO",'caseload data'!$C:$C,'custody caseload'!$T$43,'caseload data'!$B:$B,"custody")</f>
        <v>0</v>
      </c>
      <c r="AE47" s="107">
        <f>SUMIFS('caseload data'!O:O,'caseload data'!$D:$D,"TPO",'caseload data'!$C:$C,'custody caseload'!$T$43,'caseload data'!$B:$B,"custody")</f>
        <v>0</v>
      </c>
      <c r="AF47" s="107">
        <f>SUMIFS('caseload data'!P:P,'caseload data'!$D:$D,"TPO",'caseload data'!$C:$C,'custody caseload'!$T$43,'caseload data'!$B:$B,"custody")</f>
        <v>0</v>
      </c>
      <c r="AG47" s="107">
        <f>SUMIFS('caseload data'!Q:Q,'caseload data'!$D:$D,"TPO",'caseload data'!$C:$C,'custody caseload'!$T$43,'caseload data'!$B:$B,"custody")</f>
        <v>0</v>
      </c>
      <c r="AH47" s="107">
        <f>SUMIFS('caseload data'!R:R,'caseload data'!$D:$D,"TPO",'caseload data'!$C:$C,'custody caseload'!$T$43,'caseload data'!$B:$B,"custody")</f>
        <v>0</v>
      </c>
      <c r="AI47" s="107">
        <f>SUMIFS('caseload data'!S:S,'caseload data'!$D:$D,"TPO",'caseload data'!$C:$C,'custody caseload'!$T$43,'caseload data'!$B:$B,"custody")</f>
        <v>0</v>
      </c>
      <c r="AJ47" s="107">
        <f>SUMIFS('caseload data'!T:T,'caseload data'!$D:$D,"TPO",'caseload data'!$C:$C,'custody caseload'!$T$43,'caseload data'!$B:$B,"custody")</f>
        <v>0</v>
      </c>
    </row>
    <row r="48" spans="2:36" x14ac:dyDescent="0.15">
      <c r="B48" s="111" t="s">
        <v>1040</v>
      </c>
      <c r="C48" s="107">
        <f>SUMIFS('caseload data'!E:E,'caseload data'!$D:$D,"SPO",'caseload data'!$C:$C,'custody caseload'!$B$43,'caseload data'!$B:$B,"custody")</f>
        <v>0</v>
      </c>
      <c r="D48" s="107">
        <f>SUMIFS('caseload data'!F:F,'caseload data'!$D:$D,"SPO",'caseload data'!$C:$C,'custody caseload'!$B$43,'caseload data'!$B:$B,"custody")</f>
        <v>0</v>
      </c>
      <c r="E48" s="107">
        <f>SUMIFS('caseload data'!G:G,'caseload data'!$D:$D,"SPO",'caseload data'!$C:$C,'custody caseload'!$B$43,'caseload data'!$B:$B,"custody")</f>
        <v>0</v>
      </c>
      <c r="F48" s="107">
        <f>SUMIFS('caseload data'!H:H,'caseload data'!$D:$D,"SPO",'caseload data'!$C:$C,'custody caseload'!$B$43,'caseload data'!$B:$B,"custody")</f>
        <v>0</v>
      </c>
      <c r="G48" s="107">
        <f>SUMIFS('caseload data'!I:I,'caseload data'!$D:$D,"SPO",'caseload data'!$C:$C,'custody caseload'!$B$43,'caseload data'!$B:$B,"custody")</f>
        <v>0</v>
      </c>
      <c r="H48" s="107">
        <f>SUMIFS('caseload data'!J:J,'caseload data'!$D:$D,"SPO",'caseload data'!$C:$C,'custody caseload'!$B$43,'caseload data'!$B:$B,"custody")</f>
        <v>0</v>
      </c>
      <c r="I48" s="107">
        <f>SUMIFS('caseload data'!K:K,'caseload data'!$D:$D,"SPO",'caseload data'!$C:$C,'custody caseload'!$B$43,'caseload data'!$B:$B,"custody")</f>
        <v>0</v>
      </c>
      <c r="J48" s="107">
        <f>SUMIFS('caseload data'!L:L,'caseload data'!$D:$D,"SPO",'caseload data'!$C:$C,'custody caseload'!$B$43,'caseload data'!$B:$B,"custody")</f>
        <v>0</v>
      </c>
      <c r="K48" s="107">
        <f>SUMIFS('caseload data'!M:M,'caseload data'!$D:$D,"SPO",'caseload data'!$C:$C,'custody caseload'!$B$43,'caseload data'!$B:$B,"custody")</f>
        <v>0</v>
      </c>
      <c r="L48" s="107">
        <f>SUMIFS('caseload data'!N:N,'caseload data'!$D:$D,"SPO",'caseload data'!$C:$C,'custody caseload'!$B$43,'caseload data'!$B:$B,"custody")</f>
        <v>0</v>
      </c>
      <c r="M48" s="107">
        <f>SUMIFS('caseload data'!O:O,'caseload data'!$D:$D,"SPO",'caseload data'!$C:$C,'custody caseload'!$B$43,'caseload data'!$B:$B,"custody")</f>
        <v>0</v>
      </c>
      <c r="N48" s="107">
        <f>SUMIFS('caseload data'!P:P,'caseload data'!$D:$D,"SPO",'caseload data'!$C:$C,'custody caseload'!$B$43,'caseload data'!$B:$B,"custody")</f>
        <v>0</v>
      </c>
      <c r="O48" s="107">
        <f>SUMIFS('caseload data'!Q:Q,'caseload data'!$D:$D,"SPO",'caseload data'!$C:$C,'custody caseload'!$B$43,'caseload data'!$B:$B,"custody")</f>
        <v>0</v>
      </c>
      <c r="P48" s="107">
        <f>SUMIFS('caseload data'!R:R,'caseload data'!$D:$D,"SPO",'caseload data'!$C:$C,'custody caseload'!$B$43,'caseload data'!$B:$B,"custody")</f>
        <v>0</v>
      </c>
      <c r="Q48" s="107">
        <f>SUMIFS('caseload data'!S:S,'caseload data'!$D:$D,"SPO",'caseload data'!$C:$C,'custody caseload'!$B$43,'caseload data'!$B:$B,"custody")</f>
        <v>0</v>
      </c>
      <c r="R48" s="107">
        <f>SUMIFS('caseload data'!T:T,'caseload data'!$D:$D,"SPO",'caseload data'!$C:$C,'custody caseload'!$B$43,'caseload data'!$B:$B,"custody")</f>
        <v>0</v>
      </c>
      <c r="S48" s="76"/>
      <c r="T48" s="111" t="s">
        <v>1040</v>
      </c>
      <c r="U48" s="107">
        <f>SUMIFS('caseload data'!E:E,'caseload data'!$D:$D,"SPO",'caseload data'!$C:$C,'custody caseload'!$T$43,'caseload data'!$B:$B,"custody")</f>
        <v>0</v>
      </c>
      <c r="V48" s="107">
        <f>SUMIFS('caseload data'!F:F,'caseload data'!$D:$D,"SPO",'caseload data'!$C:$C,'custody caseload'!$T$43,'caseload data'!$B:$B,"custody")</f>
        <v>0</v>
      </c>
      <c r="W48" s="107">
        <f>SUMIFS('caseload data'!G:G,'caseload data'!$D:$D,"SPO",'caseload data'!$C:$C,'custody caseload'!$T$43,'caseload data'!$B:$B,"custody")</f>
        <v>0</v>
      </c>
      <c r="X48" s="107">
        <f>SUMIFS('caseload data'!H:H,'caseload data'!$D:$D,"SPO",'caseload data'!$C:$C,'custody caseload'!$T$43,'caseload data'!$B:$B,"custody")</f>
        <v>0</v>
      </c>
      <c r="Y48" s="107">
        <f>SUMIFS('caseload data'!I:I,'caseload data'!$D:$D,"SPO",'caseload data'!$C:$C,'custody caseload'!$T$43,'caseload data'!$B:$B,"custody")</f>
        <v>0</v>
      </c>
      <c r="Z48" s="107">
        <f>SUMIFS('caseload data'!J:J,'caseload data'!$D:$D,"SPO",'caseload data'!$C:$C,'custody caseload'!$T$43,'caseload data'!$B:$B,"custody")</f>
        <v>0</v>
      </c>
      <c r="AA48" s="107">
        <f>SUMIFS('caseload data'!K:K,'caseload data'!$D:$D,"SPO",'caseload data'!$C:$C,'custody caseload'!$T$43,'caseload data'!$B:$B,"custody")</f>
        <v>0</v>
      </c>
      <c r="AB48" s="107">
        <f>SUMIFS('caseload data'!L:L,'caseload data'!$D:$D,"SPO",'caseload data'!$C:$C,'custody caseload'!$T$43,'caseload data'!$B:$B,"custody")</f>
        <v>0</v>
      </c>
      <c r="AC48" s="107">
        <f>SUMIFS('caseload data'!M:M,'caseload data'!$D:$D,"SPO",'caseload data'!$C:$C,'custody caseload'!$T$43,'caseload data'!$B:$B,"custody")</f>
        <v>0</v>
      </c>
      <c r="AD48" s="107">
        <f>SUMIFS('caseload data'!N:N,'caseload data'!$D:$D,"SPO",'caseload data'!$C:$C,'custody caseload'!$T$43,'caseload data'!$B:$B,"custody")</f>
        <v>0</v>
      </c>
      <c r="AE48" s="107">
        <f>SUMIFS('caseload data'!O:O,'caseload data'!$D:$D,"SPO",'caseload data'!$C:$C,'custody caseload'!$T$43,'caseload data'!$B:$B,"custody")</f>
        <v>0</v>
      </c>
      <c r="AF48" s="107">
        <f>SUMIFS('caseload data'!P:P,'caseload data'!$D:$D,"SPO",'caseload data'!$C:$C,'custody caseload'!$T$43,'caseload data'!$B:$B,"custody")</f>
        <v>0</v>
      </c>
      <c r="AG48" s="107">
        <f>SUMIFS('caseload data'!Q:Q,'caseload data'!$D:$D,"SPO",'caseload data'!$C:$C,'custody caseload'!$T$43,'caseload data'!$B:$B,"custody")</f>
        <v>0</v>
      </c>
      <c r="AH48" s="107">
        <f>SUMIFS('caseload data'!R:R,'caseload data'!$D:$D,"SPO",'caseload data'!$C:$C,'custody caseload'!$T$43,'caseload data'!$B:$B,"custody")</f>
        <v>0</v>
      </c>
      <c r="AI48" s="107">
        <f>SUMIFS('caseload data'!S:S,'caseload data'!$D:$D,"SPO",'caseload data'!$C:$C,'custody caseload'!$T$43,'caseload data'!$B:$B,"custody")</f>
        <v>0</v>
      </c>
      <c r="AJ48" s="107">
        <f>SUMIFS('caseload data'!T:T,'caseload data'!$D:$D,"SPO",'caseload data'!$C:$C,'custody caseload'!$T$43,'caseload data'!$B:$B,"custody")</f>
        <v>0</v>
      </c>
    </row>
    <row r="49" spans="2:36" x14ac:dyDescent="0.15">
      <c r="B49" s="104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0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</row>
    <row r="50" spans="2:36" ht="30" customHeight="1" x14ac:dyDescent="0.15">
      <c r="B50" s="162" t="str">
        <f>HLOOKUP($B$5,Region_Table,14,0)</f>
        <v>Hammersmith, Fulham, Kensington, Chelsea and Westminster</v>
      </c>
      <c r="C50" s="333" t="s">
        <v>1262</v>
      </c>
      <c r="D50" s="334"/>
      <c r="E50" s="334"/>
      <c r="F50" s="334"/>
      <c r="G50" s="334"/>
      <c r="H50" s="334"/>
      <c r="I50" s="334"/>
      <c r="J50" s="334"/>
      <c r="K50" s="334"/>
      <c r="L50" s="334"/>
      <c r="M50" s="343"/>
      <c r="N50" s="343"/>
      <c r="O50" s="344"/>
      <c r="P50" s="337">
        <f>SUMIFS('caseload data'!V:V,'caseload data'!B:B,"custody",'caseload data'!$C:$C,'custody caseload'!B50)</f>
        <v>0</v>
      </c>
      <c r="Q50" s="345"/>
      <c r="R50" s="346"/>
      <c r="S50" s="76"/>
      <c r="T50" s="162" t="str">
        <f>HLOOKUP($B$5,Region_Table,15,0)</f>
        <v>Harrow and Barnet</v>
      </c>
      <c r="U50" s="333" t="s">
        <v>1262</v>
      </c>
      <c r="V50" s="334"/>
      <c r="W50" s="334"/>
      <c r="X50" s="334"/>
      <c r="Y50" s="334"/>
      <c r="Z50" s="334"/>
      <c r="AA50" s="334"/>
      <c r="AB50" s="334"/>
      <c r="AC50" s="334"/>
      <c r="AD50" s="334"/>
      <c r="AE50" s="343"/>
      <c r="AF50" s="343"/>
      <c r="AG50" s="344"/>
      <c r="AH50" s="337">
        <f>SUMIFS('caseload data'!V:V,'caseload data'!B:B,"custody",'caseload data'!$C:$C,'custody caseload'!T50)</f>
        <v>0</v>
      </c>
      <c r="AI50" s="345"/>
      <c r="AJ50" s="346"/>
    </row>
    <row r="51" spans="2:36" x14ac:dyDescent="0.15">
      <c r="B51" s="108" t="s">
        <v>1199</v>
      </c>
      <c r="C51" s="42" t="s">
        <v>1019</v>
      </c>
      <c r="D51" s="42" t="s">
        <v>1020</v>
      </c>
      <c r="E51" s="42" t="s">
        <v>1021</v>
      </c>
      <c r="F51" s="42" t="s">
        <v>1022</v>
      </c>
      <c r="G51" s="42" t="s">
        <v>1023</v>
      </c>
      <c r="H51" s="42" t="s">
        <v>1024</v>
      </c>
      <c r="I51" s="42" t="s">
        <v>1025</v>
      </c>
      <c r="J51" s="42" t="s">
        <v>1026</v>
      </c>
      <c r="K51" s="42" t="s">
        <v>1027</v>
      </c>
      <c r="L51" s="42" t="s">
        <v>1028</v>
      </c>
      <c r="M51" s="42" t="s">
        <v>1029</v>
      </c>
      <c r="N51" s="42" t="s">
        <v>1030</v>
      </c>
      <c r="O51" s="42" t="s">
        <v>1031</v>
      </c>
      <c r="P51" s="42" t="s">
        <v>1032</v>
      </c>
      <c r="Q51" s="42" t="s">
        <v>1033</v>
      </c>
      <c r="R51" s="42" t="s">
        <v>1034</v>
      </c>
      <c r="S51" s="76"/>
      <c r="T51" s="108" t="s">
        <v>1199</v>
      </c>
      <c r="U51" s="42" t="s">
        <v>1019</v>
      </c>
      <c r="V51" s="42" t="s">
        <v>1020</v>
      </c>
      <c r="W51" s="42" t="s">
        <v>1021</v>
      </c>
      <c r="X51" s="42" t="s">
        <v>1022</v>
      </c>
      <c r="Y51" s="42" t="s">
        <v>1023</v>
      </c>
      <c r="Z51" s="42" t="s">
        <v>1024</v>
      </c>
      <c r="AA51" s="42" t="s">
        <v>1025</v>
      </c>
      <c r="AB51" s="42" t="s">
        <v>1026</v>
      </c>
      <c r="AC51" s="42" t="s">
        <v>1027</v>
      </c>
      <c r="AD51" s="42" t="s">
        <v>1028</v>
      </c>
      <c r="AE51" s="42" t="s">
        <v>1029</v>
      </c>
      <c r="AF51" s="42" t="s">
        <v>1030</v>
      </c>
      <c r="AG51" s="42" t="s">
        <v>1031</v>
      </c>
      <c r="AH51" s="42" t="s">
        <v>1032</v>
      </c>
      <c r="AI51" s="42" t="s">
        <v>1033</v>
      </c>
      <c r="AJ51" s="42" t="s">
        <v>1034</v>
      </c>
    </row>
    <row r="52" spans="2:36" x14ac:dyDescent="0.15">
      <c r="B52" s="109" t="s">
        <v>1037</v>
      </c>
      <c r="C52" s="107">
        <f>SUMIFS('caseload data'!E:E,'caseload data'!$D:$D,"PO",'caseload data'!$C:$C,'custody caseload'!$B$50,'caseload data'!$B:$B,"custody")</f>
        <v>0</v>
      </c>
      <c r="D52" s="107">
        <f>SUMIFS('caseload data'!F:F,'caseload data'!$D:$D,"PO",'caseload data'!$C:$C,'custody caseload'!$B$50,'caseload data'!$B:$B,"custody")</f>
        <v>0</v>
      </c>
      <c r="E52" s="107">
        <f>SUMIFS('caseload data'!G:G,'caseload data'!$D:$D,"PO",'caseload data'!$C:$C,'custody caseload'!$B$50,'caseload data'!$B:$B,"custody")</f>
        <v>0</v>
      </c>
      <c r="F52" s="107">
        <f>SUMIFS('caseload data'!H:H,'caseload data'!$D:$D,"PO",'caseload data'!$C:$C,'custody caseload'!$B$50,'caseload data'!$B:$B,"custody")</f>
        <v>0</v>
      </c>
      <c r="G52" s="107">
        <f>SUMIFS('caseload data'!I:I,'caseload data'!$D:$D,"PO",'caseload data'!$C:$C,'custody caseload'!$B$50,'caseload data'!$B:$B,"custody")</f>
        <v>0</v>
      </c>
      <c r="H52" s="107">
        <f>SUMIFS('caseload data'!J:J,'caseload data'!$D:$D,"PO",'caseload data'!$C:$C,'custody caseload'!$B$50,'caseload data'!$B:$B,"custody")</f>
        <v>0</v>
      </c>
      <c r="I52" s="107">
        <f>SUMIFS('caseload data'!K:K,'caseload data'!$D:$D,"PO",'caseload data'!$C:$C,'custody caseload'!$B$50,'caseload data'!$B:$B,"custody")</f>
        <v>0</v>
      </c>
      <c r="J52" s="107">
        <f>SUMIFS('caseload data'!L:L,'caseload data'!$D:$D,"PO",'caseload data'!$C:$C,'custody caseload'!$B$50,'caseload data'!$B:$B,"custody")</f>
        <v>0</v>
      </c>
      <c r="K52" s="107">
        <f>SUMIFS('caseload data'!M:M,'caseload data'!$D:$D,"PO",'caseload data'!$C:$C,'custody caseload'!$B$50,'caseload data'!$B:$B,"custody")</f>
        <v>0</v>
      </c>
      <c r="L52" s="107">
        <f>SUMIFS('caseload data'!N:N,'caseload data'!$D:$D,"PO",'caseload data'!$C:$C,'custody caseload'!$B$50,'caseload data'!$B:$B,"custody")</f>
        <v>0</v>
      </c>
      <c r="M52" s="107">
        <f>SUMIFS('caseload data'!O:O,'caseload data'!$D:$D,"PO",'caseload data'!$C:$C,'custody caseload'!$B$50,'caseload data'!$B:$B,"custody")</f>
        <v>0</v>
      </c>
      <c r="N52" s="107">
        <f>SUMIFS('caseload data'!P:P,'caseload data'!$D:$D,"PO",'caseload data'!$C:$C,'custody caseload'!$B$50,'caseload data'!$B:$B,"custody")</f>
        <v>0</v>
      </c>
      <c r="O52" s="107">
        <f>SUMIFS('caseload data'!Q:Q,'caseload data'!$D:$D,"PO",'caseload data'!$C:$C,'custody caseload'!$B$50,'caseload data'!$B:$B,"custody")</f>
        <v>0</v>
      </c>
      <c r="P52" s="107">
        <f>SUMIFS('caseload data'!R:R,'caseload data'!$D:$D,"PO",'caseload data'!$C:$C,'custody caseload'!$B$50,'caseload data'!$B:$B,"custody")</f>
        <v>0</v>
      </c>
      <c r="Q52" s="107">
        <f>SUMIFS('caseload data'!S:S,'caseload data'!$D:$D,"PO",'caseload data'!$C:$C,'custody caseload'!$B$50,'caseload data'!$B:$B,"custody")</f>
        <v>0</v>
      </c>
      <c r="R52" s="107">
        <f>SUMIFS('caseload data'!T:T,'caseload data'!$D:$D,"PO",'caseload data'!$C:$C,'custody caseload'!$B$50,'caseload data'!$B:$B,"custody")</f>
        <v>0</v>
      </c>
      <c r="S52" s="76"/>
      <c r="T52" s="109" t="s">
        <v>1037</v>
      </c>
      <c r="U52" s="107">
        <f>SUMIFS('caseload data'!E:E,'caseload data'!$D:$D,"PO",'caseload data'!$C:$C,'custody caseload'!$T$50,'caseload data'!$B:$B,"custody")</f>
        <v>0</v>
      </c>
      <c r="V52" s="107">
        <f>SUMIFS('caseload data'!F:F,'caseload data'!$D:$D,"PO",'caseload data'!$C:$C,'custody caseload'!$T$50,'caseload data'!$B:$B,"custody")</f>
        <v>0</v>
      </c>
      <c r="W52" s="107">
        <f>SUMIFS('caseload data'!G:G,'caseload data'!$D:$D,"PO",'caseload data'!$C:$C,'custody caseload'!$T$50,'caseload data'!$B:$B,"custody")</f>
        <v>0</v>
      </c>
      <c r="X52" s="107">
        <f>SUMIFS('caseload data'!H:H,'caseload data'!$D:$D,"PO",'caseload data'!$C:$C,'custody caseload'!$T$50,'caseload data'!$B:$B,"custody")</f>
        <v>0</v>
      </c>
      <c r="Y52" s="107">
        <f>SUMIFS('caseload data'!I:I,'caseload data'!$D:$D,"PO",'caseload data'!$C:$C,'custody caseload'!$T$50,'caseload data'!$B:$B,"custody")</f>
        <v>0</v>
      </c>
      <c r="Z52" s="107">
        <f>SUMIFS('caseload data'!J:J,'caseload data'!$D:$D,"PO",'caseload data'!$C:$C,'custody caseload'!$T$50,'caseload data'!$B:$B,"custody")</f>
        <v>0</v>
      </c>
      <c r="AA52" s="107">
        <f>SUMIFS('caseload data'!K:K,'caseload data'!$D:$D,"PO",'caseload data'!$C:$C,'custody caseload'!$T$50,'caseload data'!$B:$B,"custody")</f>
        <v>0</v>
      </c>
      <c r="AB52" s="107">
        <f>SUMIFS('caseload data'!L:L,'caseload data'!$D:$D,"PO",'caseload data'!$C:$C,'custody caseload'!$T$50,'caseload data'!$B:$B,"custody")</f>
        <v>0</v>
      </c>
      <c r="AC52" s="107">
        <f>SUMIFS('caseload data'!M:M,'caseload data'!$D:$D,"PO",'caseload data'!$C:$C,'custody caseload'!$T$50,'caseload data'!$B:$B,"custody")</f>
        <v>0</v>
      </c>
      <c r="AD52" s="107">
        <f>SUMIFS('caseload data'!N:N,'caseload data'!$D:$D,"PO",'caseload data'!$C:$C,'custody caseload'!$T$50,'caseload data'!$B:$B,"custody")</f>
        <v>0</v>
      </c>
      <c r="AE52" s="107">
        <f>SUMIFS('caseload data'!O:O,'caseload data'!$D:$D,"PO",'caseload data'!$C:$C,'custody caseload'!$T$50,'caseload data'!$B:$B,"custody")</f>
        <v>0</v>
      </c>
      <c r="AF52" s="107">
        <f>SUMIFS('caseload data'!P:P,'caseload data'!$D:$D,"PO",'caseload data'!$C:$C,'custody caseload'!$T$50,'caseload data'!$B:$B,"custody")</f>
        <v>0</v>
      </c>
      <c r="AG52" s="107">
        <f>SUMIFS('caseload data'!Q:Q,'caseload data'!$D:$D,"PO",'caseload data'!$C:$C,'custody caseload'!$T$50,'caseload data'!$B:$B,"custody")</f>
        <v>0</v>
      </c>
      <c r="AH52" s="107">
        <f>SUMIFS('caseload data'!R:R,'caseload data'!$D:$D,"PO",'caseload data'!$C:$C,'custody caseload'!$T$50,'caseload data'!$B:$B,"custody")</f>
        <v>0</v>
      </c>
      <c r="AI52" s="107">
        <f>SUMIFS('caseload data'!S:S,'caseload data'!$D:$D,"PO",'caseload data'!$C:$C,'custody caseload'!$T$50,'caseload data'!$B:$B,"custody")</f>
        <v>0</v>
      </c>
      <c r="AJ52" s="107">
        <f>SUMIFS('caseload data'!T:T,'caseload data'!$D:$D,"PO",'caseload data'!$C:$C,'custody caseload'!$T$50,'caseload data'!$B:$B,"custody")</f>
        <v>0</v>
      </c>
    </row>
    <row r="53" spans="2:36" ht="15" x14ac:dyDescent="0.2">
      <c r="B53" s="110" t="s">
        <v>1038</v>
      </c>
      <c r="C53" s="165">
        <f>SUMIFS('caseload data'!E:E,'caseload data'!$D:$D,"PSO",'caseload data'!$C:$C,'custody caseload'!$B$50,'caseload data'!$B:$B,"custody")</f>
        <v>0</v>
      </c>
      <c r="D53" s="165">
        <f>SUMIFS('caseload data'!F:F,'caseload data'!$D:$D,"PSO",'caseload data'!$C:$C,'custody caseload'!$B$50,'caseload data'!$B:$B,"custody")</f>
        <v>0</v>
      </c>
      <c r="E53" s="165">
        <f>SUMIFS('caseload data'!G:G,'caseload data'!$D:$D,"PSO",'caseload data'!$C:$C,'custody caseload'!$B$50,'caseload data'!$B:$B,"custody")</f>
        <v>0</v>
      </c>
      <c r="F53" s="165">
        <f>SUMIFS('caseload data'!H:H,'caseload data'!$D:$D,"PSO",'caseload data'!$C:$C,'custody caseload'!$B$50,'caseload data'!$B:$B,"custody")</f>
        <v>0</v>
      </c>
      <c r="G53" s="165">
        <f>SUMIFS('caseload data'!I:I,'caseload data'!$D:$D,"PSO",'caseload data'!$C:$C,'custody caseload'!$B$50,'caseload data'!$B:$B,"custody")</f>
        <v>0</v>
      </c>
      <c r="H53" s="165">
        <f>SUMIFS('caseload data'!J:J,'caseload data'!$D:$D,"PSO",'caseload data'!$C:$C,'custody caseload'!$B$50,'caseload data'!$B:$B,"custody")</f>
        <v>0</v>
      </c>
      <c r="I53" s="165">
        <f>SUMIFS('caseload data'!K:K,'caseload data'!$D:$D,"PSO",'caseload data'!$C:$C,'custody caseload'!$B$50,'caseload data'!$B:$B,"custody")</f>
        <v>0</v>
      </c>
      <c r="J53" s="165">
        <f>SUMIFS('caseload data'!L:L,'caseload data'!$D:$D,"PSO",'caseload data'!$C:$C,'custody caseload'!$B$50,'caseload data'!$B:$B,"custody")</f>
        <v>0</v>
      </c>
      <c r="K53" s="107">
        <f>SUMIFS('caseload data'!M:M,'caseload data'!$D:$D,"PSO",'caseload data'!$C:$C,'custody caseload'!$B$50,'caseload data'!$B:$B,"custody")</f>
        <v>0</v>
      </c>
      <c r="L53" s="107">
        <f>SUMIFS('caseload data'!N:N,'caseload data'!$D:$D,"PSO",'caseload data'!$C:$C,'custody caseload'!$B$50,'caseload data'!$B:$B,"custody")</f>
        <v>0</v>
      </c>
      <c r="M53" s="107">
        <f>SUMIFS('caseload data'!O:O,'caseload data'!$D:$D,"PSO",'caseload data'!$C:$C,'custody caseload'!$B$50,'caseload data'!$B:$B,"custody")</f>
        <v>0</v>
      </c>
      <c r="N53" s="107">
        <f>SUMIFS('caseload data'!P:P,'caseload data'!$D:$D,"PSO",'caseload data'!$C:$C,'custody caseload'!$B$50,'caseload data'!$B:$B,"custody")</f>
        <v>0</v>
      </c>
      <c r="O53" s="107">
        <f>SUMIFS('caseload data'!Q:Q,'caseload data'!$D:$D,"PSO",'caseload data'!$C:$C,'custody caseload'!$B$50,'caseload data'!$B:$B,"custody")</f>
        <v>0</v>
      </c>
      <c r="P53" s="107">
        <f>SUMIFS('caseload data'!R:R,'caseload data'!$D:$D,"PSO",'caseload data'!$C:$C,'custody caseload'!$B$50,'caseload data'!$B:$B,"custody")</f>
        <v>0</v>
      </c>
      <c r="Q53" s="107">
        <f>SUMIFS('caseload data'!S:S,'caseload data'!$D:$D,"PSO",'caseload data'!$C:$C,'custody caseload'!$B$50,'caseload data'!$B:$B,"custody")</f>
        <v>0</v>
      </c>
      <c r="R53" s="107">
        <f>SUMIFS('caseload data'!T:T,'caseload data'!$D:$D,"PSO",'caseload data'!$C:$C,'custody caseload'!$B$50,'caseload data'!$B:$B,"custody")</f>
        <v>0</v>
      </c>
      <c r="S53" s="76"/>
      <c r="T53" s="110" t="s">
        <v>1038</v>
      </c>
      <c r="U53" s="165">
        <f>SUMIFS('caseload data'!E:E,'caseload data'!$D:$D,"PSO",'caseload data'!$C:$C,'custody caseload'!$T$50,'caseload data'!$B:$B,"custody")</f>
        <v>0</v>
      </c>
      <c r="V53" s="165">
        <f>SUMIFS('caseload data'!F:F,'caseload data'!$D:$D,"PSO",'caseload data'!$C:$C,'custody caseload'!$T$50,'caseload data'!$B:$B,"custody")</f>
        <v>0</v>
      </c>
      <c r="W53" s="165">
        <f>SUMIFS('caseload data'!G:G,'caseload data'!$D:$D,"PSO",'caseload data'!$C:$C,'custody caseload'!$T$50,'caseload data'!$B:$B,"custody")</f>
        <v>0</v>
      </c>
      <c r="X53" s="165">
        <f>SUMIFS('caseload data'!H:H,'caseload data'!$D:$D,"PSO",'caseload data'!$C:$C,'custody caseload'!$T$50,'caseload data'!$B:$B,"custody")</f>
        <v>0</v>
      </c>
      <c r="Y53" s="165">
        <f>SUMIFS('caseload data'!I:I,'caseload data'!$D:$D,"PSO",'caseload data'!$C:$C,'custody caseload'!$T$50,'caseload data'!$B:$B,"custody")</f>
        <v>0</v>
      </c>
      <c r="Z53" s="165">
        <f>SUMIFS('caseload data'!J:J,'caseload data'!$D:$D,"PSO",'caseload data'!$C:$C,'custody caseload'!$T$50,'caseload data'!$B:$B,"custody")</f>
        <v>0</v>
      </c>
      <c r="AA53" s="165">
        <f>SUMIFS('caseload data'!K:K,'caseload data'!$D:$D,"PSO",'caseload data'!$C:$C,'custody caseload'!$T$50,'caseload data'!$B:$B,"custody")</f>
        <v>0</v>
      </c>
      <c r="AB53" s="165">
        <f>SUMIFS('caseload data'!L:L,'caseload data'!$D:$D,"PSO",'caseload data'!$C:$C,'custody caseload'!$T$50,'caseload data'!$B:$B,"custody")</f>
        <v>0</v>
      </c>
      <c r="AC53" s="107">
        <f>SUMIFS('caseload data'!M:M,'caseload data'!$D:$D,"PSO",'caseload data'!$C:$C,'custody caseload'!$T$50,'caseload data'!$B:$B,"custody")</f>
        <v>0</v>
      </c>
      <c r="AD53" s="107">
        <f>SUMIFS('caseload data'!N:N,'caseload data'!$D:$D,"PSO",'caseload data'!$C:$C,'custody caseload'!$T$50,'caseload data'!$B:$B,"custody")</f>
        <v>0</v>
      </c>
      <c r="AE53" s="107">
        <f>SUMIFS('caseload data'!O:O,'caseload data'!$D:$D,"PSO",'caseload data'!$C:$C,'custody caseload'!$T$50,'caseload data'!$B:$B,"custody")</f>
        <v>0</v>
      </c>
      <c r="AF53" s="107">
        <f>SUMIFS('caseload data'!P:P,'caseload data'!$D:$D,"PSO",'caseload data'!$C:$C,'custody caseload'!$T$50,'caseload data'!$B:$B,"custody")</f>
        <v>0</v>
      </c>
      <c r="AG53" s="107">
        <f>SUMIFS('caseload data'!Q:Q,'caseload data'!$D:$D,"PSO",'caseload data'!$C:$C,'custody caseload'!$T$50,'caseload data'!$B:$B,"custody")</f>
        <v>0</v>
      </c>
      <c r="AH53" s="107">
        <f>SUMIFS('caseload data'!R:R,'caseload data'!$D:$D,"PSO",'caseload data'!$C:$C,'custody caseload'!$T$50,'caseload data'!$B:$B,"custody")</f>
        <v>0</v>
      </c>
      <c r="AI53" s="107">
        <f>SUMIFS('caseload data'!S:S,'caseload data'!$D:$D,"PSO",'caseload data'!$C:$C,'custody caseload'!$T$50,'caseload data'!$B:$B,"custody")</f>
        <v>0</v>
      </c>
      <c r="AJ53" s="107">
        <f>SUMIFS('caseload data'!T:T,'caseload data'!$D:$D,"PSO",'caseload data'!$C:$C,'custody caseload'!$T$50,'caseload data'!$B:$B,"custody")</f>
        <v>0</v>
      </c>
    </row>
    <row r="54" spans="2:36" ht="15" x14ac:dyDescent="0.2">
      <c r="B54" s="110" t="s">
        <v>1039</v>
      </c>
      <c r="C54" s="165">
        <f>SUMIFS('caseload data'!E:E,'caseload data'!$D:$D,"TPO",'caseload data'!$C:$C,'custody caseload'!$B$50,'caseload data'!$B:$B,"custody")</f>
        <v>0</v>
      </c>
      <c r="D54" s="165">
        <f>SUMIFS('caseload data'!F:F,'caseload data'!$D:$D,"TPO",'caseload data'!$C:$C,'custody caseload'!$B$50,'caseload data'!$B:$B,"custody")</f>
        <v>0</v>
      </c>
      <c r="E54" s="165">
        <f>SUMIFS('caseload data'!G:G,'caseload data'!$D:$D,"TPO",'caseload data'!$C:$C,'custody caseload'!$B$50,'caseload data'!$B:$B,"custody")</f>
        <v>0</v>
      </c>
      <c r="F54" s="165">
        <f>SUMIFS('caseload data'!H:H,'caseload data'!$D:$D,"TPO",'caseload data'!$C:$C,'custody caseload'!$B$50,'caseload data'!$B:$B,"custody")</f>
        <v>0</v>
      </c>
      <c r="G54" s="165">
        <f>SUMIFS('caseload data'!I:I,'caseload data'!$D:$D,"TPO",'caseload data'!$C:$C,'custody caseload'!$B$50,'caseload data'!$B:$B,"custody")</f>
        <v>0</v>
      </c>
      <c r="H54" s="165">
        <f>SUMIFS('caseload data'!J:J,'caseload data'!$D:$D,"TPO",'caseload data'!$C:$C,'custody caseload'!$B$50,'caseload data'!$B:$B,"custody")</f>
        <v>0</v>
      </c>
      <c r="I54" s="165">
        <f>SUMIFS('caseload data'!K:K,'caseload data'!$D:$D,"TPO",'caseload data'!$C:$C,'custody caseload'!$B$50,'caseload data'!$B:$B,"custody")</f>
        <v>0</v>
      </c>
      <c r="J54" s="165">
        <f>SUMIFS('caseload data'!L:L,'caseload data'!$D:$D,"TPO",'caseload data'!$C:$C,'custody caseload'!$B$50,'caseload data'!$B:$B,"custody")</f>
        <v>0</v>
      </c>
      <c r="K54" s="107">
        <f>SUMIFS('caseload data'!M:M,'caseload data'!$D:$D,"TPO",'caseload data'!$C:$C,'custody caseload'!$B$50,'caseload data'!$B:$B,"custody")</f>
        <v>0</v>
      </c>
      <c r="L54" s="107">
        <f>SUMIFS('caseload data'!N:N,'caseload data'!$D:$D,"TPO",'caseload data'!$C:$C,'custody caseload'!$B$50,'caseload data'!$B:$B,"custody")</f>
        <v>0</v>
      </c>
      <c r="M54" s="107">
        <f>SUMIFS('caseload data'!O:O,'caseload data'!$D:$D,"TPO",'caseload data'!$C:$C,'custody caseload'!$B$50,'caseload data'!$B:$B,"custody")</f>
        <v>0</v>
      </c>
      <c r="N54" s="107">
        <f>SUMIFS('caseload data'!P:P,'caseload data'!$D:$D,"TPO",'caseload data'!$C:$C,'custody caseload'!$B$50,'caseload data'!$B:$B,"custody")</f>
        <v>0</v>
      </c>
      <c r="O54" s="107">
        <f>SUMIFS('caseload data'!Q:Q,'caseload data'!$D:$D,"TPO",'caseload data'!$C:$C,'custody caseload'!$B$50,'caseload data'!$B:$B,"custody")</f>
        <v>0</v>
      </c>
      <c r="P54" s="107">
        <f>SUMIFS('caseload data'!R:R,'caseload data'!$D:$D,"TPO",'caseload data'!$C:$C,'custody caseload'!$B$50,'caseload data'!$B:$B,"custody")</f>
        <v>0</v>
      </c>
      <c r="Q54" s="107">
        <f>SUMIFS('caseload data'!S:S,'caseload data'!$D:$D,"TPO",'caseload data'!$C:$C,'custody caseload'!$B$50,'caseload data'!$B:$B,"custody")</f>
        <v>0</v>
      </c>
      <c r="R54" s="107">
        <f>SUMIFS('caseload data'!T:T,'caseload data'!$D:$D,"TPO",'caseload data'!$C:$C,'custody caseload'!$B$50,'caseload data'!$B:$B,"custody")</f>
        <v>0</v>
      </c>
      <c r="S54" s="76"/>
      <c r="T54" s="110" t="s">
        <v>1039</v>
      </c>
      <c r="U54" s="165">
        <f>SUMIFS('caseload data'!E:E,'caseload data'!$D:$D,"TPO",'caseload data'!$C:$C,'custody caseload'!$T$50,'caseload data'!$B:$B,"custody")</f>
        <v>0</v>
      </c>
      <c r="V54" s="165">
        <f>SUMIFS('caseload data'!F:F,'caseload data'!$D:$D,"TPO",'caseload data'!$C:$C,'custody caseload'!$T$50,'caseload data'!$B:$B,"custody")</f>
        <v>0</v>
      </c>
      <c r="W54" s="165">
        <f>SUMIFS('caseload data'!G:G,'caseload data'!$D:$D,"TPO",'caseload data'!$C:$C,'custody caseload'!$T$50,'caseload data'!$B:$B,"custody")</f>
        <v>0</v>
      </c>
      <c r="X54" s="165">
        <f>SUMIFS('caseload data'!H:H,'caseload data'!$D:$D,"TPO",'caseload data'!$C:$C,'custody caseload'!$T$50,'caseload data'!$B:$B,"custody")</f>
        <v>0</v>
      </c>
      <c r="Y54" s="165">
        <f>SUMIFS('caseload data'!I:I,'caseload data'!$D:$D,"TPO",'caseload data'!$C:$C,'custody caseload'!$T$50,'caseload data'!$B:$B,"custody")</f>
        <v>0</v>
      </c>
      <c r="Z54" s="165">
        <f>SUMIFS('caseload data'!J:J,'caseload data'!$D:$D,"TPO",'caseload data'!$C:$C,'custody caseload'!$T$50,'caseload data'!$B:$B,"custody")</f>
        <v>0</v>
      </c>
      <c r="AA54" s="165">
        <f>SUMIFS('caseload data'!K:K,'caseload data'!$D:$D,"TPO",'caseload data'!$C:$C,'custody caseload'!$T$50,'caseload data'!$B:$B,"custody")</f>
        <v>0</v>
      </c>
      <c r="AB54" s="165">
        <f>SUMIFS('caseload data'!L:L,'caseload data'!$D:$D,"TPO",'caseload data'!$C:$C,'custody caseload'!$T$50,'caseload data'!$B:$B,"custody")</f>
        <v>0</v>
      </c>
      <c r="AC54" s="107">
        <f>SUMIFS('caseload data'!M:M,'caseload data'!$D:$D,"TPO",'caseload data'!$C:$C,'custody caseload'!$T$50,'caseload data'!$B:$B,"custody")</f>
        <v>0</v>
      </c>
      <c r="AD54" s="107">
        <f>SUMIFS('caseload data'!N:N,'caseload data'!$D:$D,"TPO",'caseload data'!$C:$C,'custody caseload'!$T$50,'caseload data'!$B:$B,"custody")</f>
        <v>0</v>
      </c>
      <c r="AE54" s="107">
        <f>SUMIFS('caseload data'!O:O,'caseload data'!$D:$D,"TPO",'caseload data'!$C:$C,'custody caseload'!$T$50,'caseload data'!$B:$B,"custody")</f>
        <v>0</v>
      </c>
      <c r="AF54" s="107">
        <f>SUMIFS('caseload data'!P:P,'caseload data'!$D:$D,"TPO",'caseload data'!$C:$C,'custody caseload'!$T$50,'caseload data'!$B:$B,"custody")</f>
        <v>0</v>
      </c>
      <c r="AG54" s="107">
        <f>SUMIFS('caseload data'!Q:Q,'caseload data'!$D:$D,"TPO",'caseload data'!$C:$C,'custody caseload'!$T$50,'caseload data'!$B:$B,"custody")</f>
        <v>0</v>
      </c>
      <c r="AH54" s="107">
        <f>SUMIFS('caseload data'!R:R,'caseload data'!$D:$D,"TPO",'caseload data'!$C:$C,'custody caseload'!$T$50,'caseload data'!$B:$B,"custody")</f>
        <v>0</v>
      </c>
      <c r="AI54" s="107">
        <f>SUMIFS('caseload data'!S:S,'caseload data'!$D:$D,"TPO",'caseload data'!$C:$C,'custody caseload'!$T$50,'caseload data'!$B:$B,"custody")</f>
        <v>0</v>
      </c>
      <c r="AJ54" s="107">
        <f>SUMIFS('caseload data'!T:T,'caseload data'!$D:$D,"TPO",'caseload data'!$C:$C,'custody caseload'!$T$50,'caseload data'!$B:$B,"custody")</f>
        <v>0</v>
      </c>
    </row>
    <row r="55" spans="2:36" x14ac:dyDescent="0.15">
      <c r="B55" s="111" t="s">
        <v>1040</v>
      </c>
      <c r="C55" s="107">
        <f>SUMIFS('caseload data'!E:E,'caseload data'!$D:$D,"SPO",'caseload data'!$C:$C,'custody caseload'!$B$50,'caseload data'!$B:$B,"custody")</f>
        <v>0</v>
      </c>
      <c r="D55" s="107">
        <f>SUMIFS('caseload data'!F:F,'caseload data'!$D:$D,"SPO",'caseload data'!$C:$C,'custody caseload'!$B$50,'caseload data'!$B:$B,"custody")</f>
        <v>0</v>
      </c>
      <c r="E55" s="107">
        <f>SUMIFS('caseload data'!G:G,'caseload data'!$D:$D,"SPO",'caseload data'!$C:$C,'custody caseload'!$B$50,'caseload data'!$B:$B,"custody")</f>
        <v>0</v>
      </c>
      <c r="F55" s="107">
        <f>SUMIFS('caseload data'!H:H,'caseload data'!$D:$D,"SPO",'caseload data'!$C:$C,'custody caseload'!$B$50,'caseload data'!$B:$B,"custody")</f>
        <v>0</v>
      </c>
      <c r="G55" s="107">
        <f>SUMIFS('caseload data'!I:I,'caseload data'!$D:$D,"SPO",'caseload data'!$C:$C,'custody caseload'!$B$50,'caseload data'!$B:$B,"custody")</f>
        <v>0</v>
      </c>
      <c r="H55" s="107">
        <f>SUMIFS('caseload data'!J:J,'caseload data'!$D:$D,"SPO",'caseload data'!$C:$C,'custody caseload'!$B$50,'caseload data'!$B:$B,"custody")</f>
        <v>0</v>
      </c>
      <c r="I55" s="107">
        <f>SUMIFS('caseload data'!K:K,'caseload data'!$D:$D,"SPO",'caseload data'!$C:$C,'custody caseload'!$B$50,'caseload data'!$B:$B,"custody")</f>
        <v>0</v>
      </c>
      <c r="J55" s="107">
        <f>SUMIFS('caseload data'!L:L,'caseload data'!$D:$D,"SPO",'caseload data'!$C:$C,'custody caseload'!$B$50,'caseload data'!$B:$B,"custody")</f>
        <v>0</v>
      </c>
      <c r="K55" s="107">
        <f>SUMIFS('caseload data'!M:M,'caseload data'!$D:$D,"SPO",'caseload data'!$C:$C,'custody caseload'!$B$50,'caseload data'!$B:$B,"custody")</f>
        <v>0</v>
      </c>
      <c r="L55" s="107">
        <f>SUMIFS('caseload data'!N:N,'caseload data'!$D:$D,"SPO",'caseload data'!$C:$C,'custody caseload'!$B$50,'caseload data'!$B:$B,"custody")</f>
        <v>0</v>
      </c>
      <c r="M55" s="107">
        <f>SUMIFS('caseload data'!O:O,'caseload data'!$D:$D,"SPO",'caseload data'!$C:$C,'custody caseload'!$B$50,'caseload data'!$B:$B,"custody")</f>
        <v>0</v>
      </c>
      <c r="N55" s="107">
        <f>SUMIFS('caseload data'!P:P,'caseload data'!$D:$D,"SPO",'caseload data'!$C:$C,'custody caseload'!$B$50,'caseload data'!$B:$B,"custody")</f>
        <v>0</v>
      </c>
      <c r="O55" s="107">
        <f>SUMIFS('caseload data'!Q:Q,'caseload data'!$D:$D,"SPO",'caseload data'!$C:$C,'custody caseload'!$B$50,'caseload data'!$B:$B,"custody")</f>
        <v>0</v>
      </c>
      <c r="P55" s="107">
        <f>SUMIFS('caseload data'!R:R,'caseload data'!$D:$D,"SPO",'caseload data'!$C:$C,'custody caseload'!$B$50,'caseload data'!$B:$B,"custody")</f>
        <v>0</v>
      </c>
      <c r="Q55" s="107">
        <f>SUMIFS('caseload data'!S:S,'caseload data'!$D:$D,"SPO",'caseload data'!$C:$C,'custody caseload'!$B$50,'caseload data'!$B:$B,"custody")</f>
        <v>0</v>
      </c>
      <c r="R55" s="107">
        <f>SUMIFS('caseload data'!T:T,'caseload data'!$D:$D,"SPO",'caseload data'!$C:$C,'custody caseload'!$B$50,'caseload data'!$B:$B,"custody")</f>
        <v>0</v>
      </c>
      <c r="S55" s="76"/>
      <c r="T55" s="111" t="s">
        <v>1040</v>
      </c>
      <c r="U55" s="107">
        <f>SUMIFS('caseload data'!E:E,'caseload data'!$D:$D,"SPO",'caseload data'!$C:$C,'custody caseload'!$T$50,'caseload data'!$B:$B,"custody")</f>
        <v>0</v>
      </c>
      <c r="V55" s="107">
        <f>SUMIFS('caseload data'!F:F,'caseload data'!$D:$D,"SPO",'caseload data'!$C:$C,'custody caseload'!$T$50,'caseload data'!$B:$B,"custody")</f>
        <v>0</v>
      </c>
      <c r="W55" s="107">
        <f>SUMIFS('caseload data'!G:G,'caseload data'!$D:$D,"SPO",'caseload data'!$C:$C,'custody caseload'!$T$50,'caseload data'!$B:$B,"custody")</f>
        <v>0</v>
      </c>
      <c r="X55" s="107">
        <f>SUMIFS('caseload data'!H:H,'caseload data'!$D:$D,"SPO",'caseload data'!$C:$C,'custody caseload'!$T$50,'caseload data'!$B:$B,"custody")</f>
        <v>0</v>
      </c>
      <c r="Y55" s="107">
        <f>SUMIFS('caseload data'!I:I,'caseload data'!$D:$D,"SPO",'caseload data'!$C:$C,'custody caseload'!$T$50,'caseload data'!$B:$B,"custody")</f>
        <v>0</v>
      </c>
      <c r="Z55" s="107">
        <f>SUMIFS('caseload data'!J:J,'caseload data'!$D:$D,"SPO",'caseload data'!$C:$C,'custody caseload'!$T$50,'caseload data'!$B:$B,"custody")</f>
        <v>0</v>
      </c>
      <c r="AA55" s="107">
        <f>SUMIFS('caseload data'!K:K,'caseload data'!$D:$D,"SPO",'caseload data'!$C:$C,'custody caseload'!$T$50,'caseload data'!$B:$B,"custody")</f>
        <v>0</v>
      </c>
      <c r="AB55" s="107">
        <f>SUMIFS('caseload data'!L:L,'caseload data'!$D:$D,"SPO",'caseload data'!$C:$C,'custody caseload'!$T$50,'caseload data'!$B:$B,"custody")</f>
        <v>0</v>
      </c>
      <c r="AC55" s="107">
        <f>SUMIFS('caseload data'!M:M,'caseload data'!$D:$D,"SPO",'caseload data'!$C:$C,'custody caseload'!$T$50,'caseload data'!$B:$B,"custody")</f>
        <v>0</v>
      </c>
      <c r="AD55" s="107">
        <f>SUMIFS('caseload data'!N:N,'caseload data'!$D:$D,"SPO",'caseload data'!$C:$C,'custody caseload'!$T$50,'caseload data'!$B:$B,"custody")</f>
        <v>0</v>
      </c>
      <c r="AE55" s="107">
        <f>SUMIFS('caseload data'!O:O,'caseload data'!$D:$D,"SPO",'caseload data'!$C:$C,'custody caseload'!$T$50,'caseload data'!$B:$B,"custody")</f>
        <v>0</v>
      </c>
      <c r="AF55" s="107">
        <f>SUMIFS('caseload data'!P:P,'caseload data'!$D:$D,"SPO",'caseload data'!$C:$C,'custody caseload'!$T$50,'caseload data'!$B:$B,"custody")</f>
        <v>0</v>
      </c>
      <c r="AG55" s="107">
        <f>SUMIFS('caseload data'!Q:Q,'caseload data'!$D:$D,"SPO",'caseload data'!$C:$C,'custody caseload'!$T$50,'caseload data'!$B:$B,"custody")</f>
        <v>0</v>
      </c>
      <c r="AH55" s="107">
        <f>SUMIFS('caseload data'!R:R,'caseload data'!$D:$D,"SPO",'caseload data'!$C:$C,'custody caseload'!$T$50,'caseload data'!$B:$B,"custody")</f>
        <v>0</v>
      </c>
      <c r="AI55" s="107">
        <f>SUMIFS('caseload data'!S:S,'caseload data'!$D:$D,"SPO",'caseload data'!$C:$C,'custody caseload'!$T$50,'caseload data'!$B:$B,"custody")</f>
        <v>0</v>
      </c>
      <c r="AJ55" s="107">
        <f>SUMIFS('caseload data'!T:T,'caseload data'!$D:$D,"SPO",'caseload data'!$C:$C,'custody caseload'!$T$50,'caseload data'!$B:$B,"custody")</f>
        <v>0</v>
      </c>
    </row>
    <row r="56" spans="2:36" x14ac:dyDescent="0.15">
      <c r="B56" s="104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04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</row>
    <row r="57" spans="2:36" ht="28.5" customHeight="1" x14ac:dyDescent="0.15">
      <c r="B57" s="162" t="str">
        <f>HLOOKUP($B$5,Region_Table,16,0)</f>
        <v>Headquarters - N07</v>
      </c>
      <c r="C57" s="333" t="s">
        <v>1262</v>
      </c>
      <c r="D57" s="334"/>
      <c r="E57" s="334"/>
      <c r="F57" s="334"/>
      <c r="G57" s="334"/>
      <c r="H57" s="334"/>
      <c r="I57" s="334"/>
      <c r="J57" s="334"/>
      <c r="K57" s="334"/>
      <c r="L57" s="334"/>
      <c r="M57" s="343"/>
      <c r="N57" s="343"/>
      <c r="O57" s="344"/>
      <c r="P57" s="337">
        <f>SUMIFS('caseload data'!V:V,'caseload data'!B:B,"custody",'caseload data'!$C:$C,'custody caseload'!B57)</f>
        <v>0</v>
      </c>
      <c r="Q57" s="345"/>
      <c r="R57" s="346"/>
      <c r="S57" s="76"/>
      <c r="T57" s="162" t="str">
        <f>HLOOKUP($B$5,Region_Table,17,0)</f>
        <v>Inactive Level 2(N07)</v>
      </c>
      <c r="U57" s="333" t="s">
        <v>1262</v>
      </c>
      <c r="V57" s="334"/>
      <c r="W57" s="334"/>
      <c r="X57" s="334"/>
      <c r="Y57" s="334"/>
      <c r="Z57" s="334"/>
      <c r="AA57" s="334"/>
      <c r="AB57" s="334"/>
      <c r="AC57" s="334"/>
      <c r="AD57" s="334"/>
      <c r="AE57" s="343"/>
      <c r="AF57" s="343"/>
      <c r="AG57" s="344"/>
      <c r="AH57" s="337">
        <f>SUMIFS('caseload data'!V:V,'caseload data'!B:B,"custody",'caseload data'!$C:$C,'custody caseload'!T57)</f>
        <v>0</v>
      </c>
      <c r="AI57" s="345"/>
      <c r="AJ57" s="346"/>
    </row>
    <row r="58" spans="2:36" x14ac:dyDescent="0.15">
      <c r="B58" s="108" t="s">
        <v>1199</v>
      </c>
      <c r="C58" s="42" t="s">
        <v>1019</v>
      </c>
      <c r="D58" s="42" t="s">
        <v>1020</v>
      </c>
      <c r="E58" s="42" t="s">
        <v>1021</v>
      </c>
      <c r="F58" s="42" t="s">
        <v>1022</v>
      </c>
      <c r="G58" s="42" t="s">
        <v>1023</v>
      </c>
      <c r="H58" s="42" t="s">
        <v>1024</v>
      </c>
      <c r="I58" s="42" t="s">
        <v>1025</v>
      </c>
      <c r="J58" s="42" t="s">
        <v>1026</v>
      </c>
      <c r="K58" s="42" t="s">
        <v>1027</v>
      </c>
      <c r="L58" s="42" t="s">
        <v>1028</v>
      </c>
      <c r="M58" s="42" t="s">
        <v>1029</v>
      </c>
      <c r="N58" s="42" t="s">
        <v>1030</v>
      </c>
      <c r="O58" s="42" t="s">
        <v>1031</v>
      </c>
      <c r="P58" s="42" t="s">
        <v>1032</v>
      </c>
      <c r="Q58" s="42" t="s">
        <v>1033</v>
      </c>
      <c r="R58" s="42" t="s">
        <v>1034</v>
      </c>
      <c r="S58" s="76"/>
      <c r="T58" s="108" t="s">
        <v>1199</v>
      </c>
      <c r="U58" s="42" t="s">
        <v>1019</v>
      </c>
      <c r="V58" s="42" t="s">
        <v>1020</v>
      </c>
      <c r="W58" s="42" t="s">
        <v>1021</v>
      </c>
      <c r="X58" s="42" t="s">
        <v>1022</v>
      </c>
      <c r="Y58" s="42" t="s">
        <v>1023</v>
      </c>
      <c r="Z58" s="42" t="s">
        <v>1024</v>
      </c>
      <c r="AA58" s="42" t="s">
        <v>1025</v>
      </c>
      <c r="AB58" s="42" t="s">
        <v>1026</v>
      </c>
      <c r="AC58" s="42" t="s">
        <v>1027</v>
      </c>
      <c r="AD58" s="42" t="s">
        <v>1028</v>
      </c>
      <c r="AE58" s="42" t="s">
        <v>1029</v>
      </c>
      <c r="AF58" s="42" t="s">
        <v>1030</v>
      </c>
      <c r="AG58" s="42" t="s">
        <v>1031</v>
      </c>
      <c r="AH58" s="42" t="s">
        <v>1032</v>
      </c>
      <c r="AI58" s="42" t="s">
        <v>1033</v>
      </c>
      <c r="AJ58" s="42" t="s">
        <v>1034</v>
      </c>
    </row>
    <row r="59" spans="2:36" x14ac:dyDescent="0.15">
      <c r="B59" s="109" t="s">
        <v>1037</v>
      </c>
      <c r="C59" s="107">
        <f>SUMIFS('caseload data'!E:E,'caseload data'!$D:$D,"PO",'caseload data'!$C:$C,'custody caseload'!$B$57,'caseload data'!$B:$B,"custody")</f>
        <v>0</v>
      </c>
      <c r="D59" s="107">
        <f>SUMIFS('caseload data'!F:F,'caseload data'!$D:$D,"PO",'caseload data'!$C:$C,'custody caseload'!$B$57,'caseload data'!$B:$B,"custody")</f>
        <v>0</v>
      </c>
      <c r="E59" s="107">
        <f>SUMIFS('caseload data'!G:G,'caseload data'!$D:$D,"PO",'caseload data'!$C:$C,'custody caseload'!$B$57,'caseload data'!$B:$B,"custody")</f>
        <v>0</v>
      </c>
      <c r="F59" s="107">
        <f>SUMIFS('caseload data'!H:H,'caseload data'!$D:$D,"PO",'caseload data'!$C:$C,'custody caseload'!$B$57,'caseload data'!$B:$B,"custody")</f>
        <v>0</v>
      </c>
      <c r="G59" s="107">
        <f>SUMIFS('caseload data'!I:I,'caseload data'!$D:$D,"PO",'caseload data'!$C:$C,'custody caseload'!$B$57,'caseload data'!$B:$B,"custody")</f>
        <v>0</v>
      </c>
      <c r="H59" s="107">
        <f>SUMIFS('caseload data'!J:J,'caseload data'!$D:$D,"PO",'caseload data'!$C:$C,'custody caseload'!$B$57,'caseload data'!$B:$B,"custody")</f>
        <v>0</v>
      </c>
      <c r="I59" s="107">
        <f>SUMIFS('caseload data'!K:K,'caseload data'!$D:$D,"PO",'caseload data'!$C:$C,'custody caseload'!$B$57,'caseload data'!$B:$B,"custody")</f>
        <v>0</v>
      </c>
      <c r="J59" s="107">
        <f>SUMIFS('caseload data'!L:L,'caseload data'!$D:$D,"PO",'caseload data'!$C:$C,'custody caseload'!$B$57,'caseload data'!$B:$B,"custody")</f>
        <v>0</v>
      </c>
      <c r="K59" s="107">
        <f>SUMIFS('caseload data'!M:M,'caseload data'!$D:$D,"PO",'caseload data'!$C:$C,'custody caseload'!$B$57,'caseload data'!$B:$B,"custody")</f>
        <v>0</v>
      </c>
      <c r="L59" s="107">
        <f>SUMIFS('caseload data'!N:N,'caseload data'!$D:$D,"PO",'caseload data'!$C:$C,'custody caseload'!$B$57,'caseload data'!$B:$B,"custody")</f>
        <v>0</v>
      </c>
      <c r="M59" s="107">
        <f>SUMIFS('caseload data'!O:O,'caseload data'!$D:$D,"PO",'caseload data'!$C:$C,'custody caseload'!$B$57,'caseload data'!$B:$B,"custody")</f>
        <v>0</v>
      </c>
      <c r="N59" s="107">
        <f>SUMIFS('caseload data'!P:P,'caseload data'!$D:$D,"PO",'caseload data'!$C:$C,'custody caseload'!$B$57,'caseload data'!$B:$B,"custody")</f>
        <v>0</v>
      </c>
      <c r="O59" s="107">
        <f>SUMIFS('caseload data'!Q:Q,'caseload data'!$D:$D,"PO",'caseload data'!$C:$C,'custody caseload'!$B$57,'caseload data'!$B:$B,"custody")</f>
        <v>0</v>
      </c>
      <c r="P59" s="107">
        <f>SUMIFS('caseload data'!R:R,'caseload data'!$D:$D,"PO",'caseload data'!$C:$C,'custody caseload'!$B$57,'caseload data'!$B:$B,"custody")</f>
        <v>0</v>
      </c>
      <c r="Q59" s="107">
        <f>SUMIFS('caseload data'!S:S,'caseload data'!$D:$D,"PO",'caseload data'!$C:$C,'custody caseload'!$B$57,'caseload data'!$B:$B,"custody")</f>
        <v>0</v>
      </c>
      <c r="R59" s="107">
        <f>SUMIFS('caseload data'!T:T,'caseload data'!$D:$D,"PO",'caseload data'!$C:$C,'custody caseload'!$B$57,'caseload data'!$B:$B,"custody")</f>
        <v>0</v>
      </c>
      <c r="S59" s="76"/>
      <c r="T59" s="109" t="s">
        <v>1037</v>
      </c>
      <c r="U59" s="107">
        <f>SUMIFS('caseload data'!E:E,'caseload data'!$D:$D,"PO",'caseload data'!$C:$C,'custody caseload'!$T$57,'caseload data'!$B:$B,"custody")</f>
        <v>0</v>
      </c>
      <c r="V59" s="107">
        <f>SUMIFS('caseload data'!F:F,'caseload data'!$D:$D,"PO",'caseload data'!$C:$C,'custody caseload'!$T$57,'caseload data'!$B:$B,"custody")</f>
        <v>0</v>
      </c>
      <c r="W59" s="107">
        <f>SUMIFS('caseload data'!G:G,'caseload data'!$D:$D,"PO",'caseload data'!$C:$C,'custody caseload'!$T$57,'caseload data'!$B:$B,"custody")</f>
        <v>0</v>
      </c>
      <c r="X59" s="107">
        <f>SUMIFS('caseload data'!H:H,'caseload data'!$D:$D,"PO",'caseload data'!$C:$C,'custody caseload'!$T$57,'caseload data'!$B:$B,"custody")</f>
        <v>0</v>
      </c>
      <c r="Y59" s="107">
        <f>SUMIFS('caseload data'!I:I,'caseload data'!$D:$D,"PO",'caseload data'!$C:$C,'custody caseload'!$T$57,'caseload data'!$B:$B,"custody")</f>
        <v>0</v>
      </c>
      <c r="Z59" s="107">
        <f>SUMIFS('caseload data'!J:J,'caseload data'!$D:$D,"PO",'caseload data'!$C:$C,'custody caseload'!$T$57,'caseload data'!$B:$B,"custody")</f>
        <v>0</v>
      </c>
      <c r="AA59" s="107">
        <f>SUMIFS('caseload data'!K:K,'caseload data'!$D:$D,"PO",'caseload data'!$C:$C,'custody caseload'!$T$57,'caseload data'!$B:$B,"custody")</f>
        <v>0</v>
      </c>
      <c r="AB59" s="107">
        <f>SUMIFS('caseload data'!L:L,'caseload data'!$D:$D,"PO",'caseload data'!$C:$C,'custody caseload'!$T$57,'caseload data'!$B:$B,"custody")</f>
        <v>0</v>
      </c>
      <c r="AC59" s="107">
        <f>SUMIFS('caseload data'!M:M,'caseload data'!$D:$D,"PO",'caseload data'!$C:$C,'custody caseload'!$T$57,'caseload data'!$B:$B,"custody")</f>
        <v>0</v>
      </c>
      <c r="AD59" s="107">
        <f>SUMIFS('caseload data'!N:N,'caseload data'!$D:$D,"PO",'caseload data'!$C:$C,'custody caseload'!$T$57,'caseload data'!$B:$B,"custody")</f>
        <v>0</v>
      </c>
      <c r="AE59" s="107">
        <f>SUMIFS('caseload data'!O:O,'caseload data'!$D:$D,"PO",'caseload data'!$C:$C,'custody caseload'!$T$57,'caseload data'!$B:$B,"custody")</f>
        <v>0</v>
      </c>
      <c r="AF59" s="107">
        <f>SUMIFS('caseload data'!P:P,'caseload data'!$D:$D,"PO",'caseload data'!$C:$C,'custody caseload'!$T$57,'caseload data'!$B:$B,"custody")</f>
        <v>0</v>
      </c>
      <c r="AG59" s="107">
        <f>SUMIFS('caseload data'!Q:Q,'caseload data'!$D:$D,"PO",'caseload data'!$C:$C,'custody caseload'!$T$57,'caseload data'!$B:$B,"custody")</f>
        <v>0</v>
      </c>
      <c r="AH59" s="107">
        <f>SUMIFS('caseload data'!R:R,'caseload data'!$D:$D,"PO",'caseload data'!$C:$C,'custody caseload'!$T$57,'caseload data'!$B:$B,"custody")</f>
        <v>0</v>
      </c>
      <c r="AI59" s="107">
        <f>SUMIFS('caseload data'!S:S,'caseload data'!$D:$D,"PO",'caseload data'!$C:$C,'custody caseload'!$T$57,'caseload data'!$B:$B,"custody")</f>
        <v>0</v>
      </c>
      <c r="AJ59" s="107">
        <f>SUMIFS('caseload data'!T:T,'caseload data'!$D:$D,"PO",'caseload data'!$C:$C,'custody caseload'!$T$57,'caseload data'!$B:$B,"custody")</f>
        <v>0</v>
      </c>
    </row>
    <row r="60" spans="2:36" ht="15" x14ac:dyDescent="0.2">
      <c r="B60" s="110" t="s">
        <v>1038</v>
      </c>
      <c r="C60" s="165">
        <f>SUMIFS('caseload data'!E:E,'caseload data'!$D:$D,"PSO",'caseload data'!$C:$C,'custody caseload'!$B$57,'caseload data'!$B:$B,"custody")</f>
        <v>0</v>
      </c>
      <c r="D60" s="165">
        <f>SUMIFS('caseload data'!F:F,'caseload data'!$D:$D,"PSO",'caseload data'!$C:$C,'custody caseload'!$B$57,'caseload data'!$B:$B,"custody")</f>
        <v>0</v>
      </c>
      <c r="E60" s="165">
        <f>SUMIFS('caseload data'!G:G,'caseload data'!$D:$D,"PSO",'caseload data'!$C:$C,'custody caseload'!$B$57,'caseload data'!$B:$B,"custody")</f>
        <v>0</v>
      </c>
      <c r="F60" s="165">
        <f>SUMIFS('caseload data'!H:H,'caseload data'!$D:$D,"PSO",'caseload data'!$C:$C,'custody caseload'!$B$57,'caseload data'!$B:$B,"custody")</f>
        <v>0</v>
      </c>
      <c r="G60" s="165">
        <f>SUMIFS('caseload data'!I:I,'caseload data'!$D:$D,"PSO",'caseload data'!$C:$C,'custody caseload'!$B$57,'caseload data'!$B:$B,"custody")</f>
        <v>0</v>
      </c>
      <c r="H60" s="165">
        <f>SUMIFS('caseload data'!J:J,'caseload data'!$D:$D,"PSO",'caseload data'!$C:$C,'custody caseload'!$B$57,'caseload data'!$B:$B,"custody")</f>
        <v>0</v>
      </c>
      <c r="I60" s="165">
        <f>SUMIFS('caseload data'!K:K,'caseload data'!$D:$D,"PSO",'caseload data'!$C:$C,'custody caseload'!$B$57,'caseload data'!$B:$B,"custody")</f>
        <v>0</v>
      </c>
      <c r="J60" s="165">
        <f>SUMIFS('caseload data'!L:L,'caseload data'!$D:$D,"PSO",'caseload data'!$C:$C,'custody caseload'!$B$57,'caseload data'!$B:$B,"custody")</f>
        <v>0</v>
      </c>
      <c r="K60" s="107">
        <f>SUMIFS('caseload data'!M:M,'caseload data'!$D:$D,"PSO",'caseload data'!$C:$C,'custody caseload'!$B$57,'caseload data'!$B:$B,"custody")</f>
        <v>0</v>
      </c>
      <c r="L60" s="107">
        <f>SUMIFS('caseload data'!N:N,'caseload data'!$D:$D,"PSO",'caseload data'!$C:$C,'custody caseload'!$B$57,'caseload data'!$B:$B,"custody")</f>
        <v>0</v>
      </c>
      <c r="M60" s="107">
        <f>SUMIFS('caseload data'!O:O,'caseload data'!$D:$D,"PSO",'caseload data'!$C:$C,'custody caseload'!$B$57,'caseload data'!$B:$B,"custody")</f>
        <v>0</v>
      </c>
      <c r="N60" s="107">
        <f>SUMIFS('caseload data'!P:P,'caseload data'!$D:$D,"PSO",'caseload data'!$C:$C,'custody caseload'!$B$57,'caseload data'!$B:$B,"custody")</f>
        <v>0</v>
      </c>
      <c r="O60" s="107">
        <f>SUMIFS('caseload data'!Q:Q,'caseload data'!$D:$D,"PSO",'caseload data'!$C:$C,'custody caseload'!$B$57,'caseload data'!$B:$B,"custody")</f>
        <v>0</v>
      </c>
      <c r="P60" s="107">
        <f>SUMIFS('caseload data'!R:R,'caseload data'!$D:$D,"PSO",'caseload data'!$C:$C,'custody caseload'!$B$57,'caseload data'!$B:$B,"custody")</f>
        <v>0</v>
      </c>
      <c r="Q60" s="107">
        <f>SUMIFS('caseload data'!S:S,'caseload data'!$D:$D,"PSO",'caseload data'!$C:$C,'custody caseload'!$B$57,'caseload data'!$B:$B,"custody")</f>
        <v>0</v>
      </c>
      <c r="R60" s="107">
        <f>SUMIFS('caseload data'!T:T,'caseload data'!$D:$D,"PSO",'caseload data'!$C:$C,'custody caseload'!$B$57,'caseload data'!$B:$B,"custody")</f>
        <v>0</v>
      </c>
      <c r="S60" s="76"/>
      <c r="T60" s="110" t="s">
        <v>1038</v>
      </c>
      <c r="U60" s="165">
        <f>SUMIFS('caseload data'!E:E,'caseload data'!$D:$D,"PSO",'caseload data'!$C:$C,'custody caseload'!$T$57,'caseload data'!$B:$B,"custody")</f>
        <v>0</v>
      </c>
      <c r="V60" s="165">
        <f>SUMIFS('caseload data'!F:F,'caseload data'!$D:$D,"PSO",'caseload data'!$C:$C,'custody caseload'!$T$57,'caseload data'!$B:$B,"custody")</f>
        <v>0</v>
      </c>
      <c r="W60" s="165">
        <f>SUMIFS('caseload data'!G:G,'caseload data'!$D:$D,"PSO",'caseload data'!$C:$C,'custody caseload'!$T$57,'caseload data'!$B:$B,"custody")</f>
        <v>0</v>
      </c>
      <c r="X60" s="165">
        <f>SUMIFS('caseload data'!H:H,'caseload data'!$D:$D,"PSO",'caseload data'!$C:$C,'custody caseload'!$T$57,'caseload data'!$B:$B,"custody")</f>
        <v>0</v>
      </c>
      <c r="Y60" s="165">
        <f>SUMIFS('caseload data'!I:I,'caseload data'!$D:$D,"PSO",'caseload data'!$C:$C,'custody caseload'!$T$57,'caseload data'!$B:$B,"custody")</f>
        <v>0</v>
      </c>
      <c r="Z60" s="165">
        <f>SUMIFS('caseload data'!J:J,'caseload data'!$D:$D,"PSO",'caseload data'!$C:$C,'custody caseload'!$T$57,'caseload data'!$B:$B,"custody")</f>
        <v>0</v>
      </c>
      <c r="AA60" s="165">
        <f>SUMIFS('caseload data'!K:K,'caseload data'!$D:$D,"PSO",'caseload data'!$C:$C,'custody caseload'!$T$57,'caseload data'!$B:$B,"custody")</f>
        <v>0</v>
      </c>
      <c r="AB60" s="165">
        <f>SUMIFS('caseload data'!L:L,'caseload data'!$D:$D,"PSO",'caseload data'!$C:$C,'custody caseload'!$T$57,'caseload data'!$B:$B,"custody")</f>
        <v>0</v>
      </c>
      <c r="AC60" s="107">
        <f>SUMIFS('caseload data'!M:M,'caseload data'!$D:$D,"PSO",'caseload data'!$C:$C,'custody caseload'!$T$57,'caseload data'!$B:$B,"custody")</f>
        <v>0</v>
      </c>
      <c r="AD60" s="107">
        <f>SUMIFS('caseload data'!N:N,'caseload data'!$D:$D,"PSO",'caseload data'!$C:$C,'custody caseload'!$T$57,'caseload data'!$B:$B,"custody")</f>
        <v>0</v>
      </c>
      <c r="AE60" s="107">
        <f>SUMIFS('caseload data'!O:O,'caseload data'!$D:$D,"PSO",'caseload data'!$C:$C,'custody caseload'!$T$57,'caseload data'!$B:$B,"custody")</f>
        <v>0</v>
      </c>
      <c r="AF60" s="107">
        <f>SUMIFS('caseload data'!P:P,'caseload data'!$D:$D,"PSO",'caseload data'!$C:$C,'custody caseload'!$T$57,'caseload data'!$B:$B,"custody")</f>
        <v>0</v>
      </c>
      <c r="AG60" s="107">
        <f>SUMIFS('caseload data'!Q:Q,'caseload data'!$D:$D,"PSO",'caseload data'!$C:$C,'custody caseload'!$T$57,'caseload data'!$B:$B,"custody")</f>
        <v>0</v>
      </c>
      <c r="AH60" s="107">
        <f>SUMIFS('caseload data'!R:R,'caseload data'!$D:$D,"PSO",'caseload data'!$C:$C,'custody caseload'!$T$57,'caseload data'!$B:$B,"custody")</f>
        <v>0</v>
      </c>
      <c r="AI60" s="107">
        <f>SUMIFS('caseload data'!S:S,'caseload data'!$D:$D,"PSO",'caseload data'!$C:$C,'custody caseload'!$T$57,'caseload data'!$B:$B,"custody")</f>
        <v>0</v>
      </c>
      <c r="AJ60" s="107">
        <f>SUMIFS('caseload data'!T:T,'caseload data'!$D:$D,"PSO",'caseload data'!$C:$C,'custody caseload'!$T$57,'caseload data'!$B:$B,"custody")</f>
        <v>0</v>
      </c>
    </row>
    <row r="61" spans="2:36" ht="15" x14ac:dyDescent="0.2">
      <c r="B61" s="110" t="s">
        <v>1039</v>
      </c>
      <c r="C61" s="165">
        <f>SUMIFS('caseload data'!E:E,'caseload data'!$D:$D,"TPO",'caseload data'!$C:$C,'custody caseload'!$B$57,'caseload data'!$B:$B,"custody")</f>
        <v>0</v>
      </c>
      <c r="D61" s="165">
        <f>SUMIFS('caseload data'!F:F,'caseload data'!$D:$D,"TPO",'caseload data'!$C:$C,'custody caseload'!$B$57,'caseload data'!$B:$B,"custody")</f>
        <v>0</v>
      </c>
      <c r="E61" s="165">
        <f>SUMIFS('caseload data'!G:G,'caseload data'!$D:$D,"TPO",'caseload data'!$C:$C,'custody caseload'!$B$57,'caseload data'!$B:$B,"custody")</f>
        <v>0</v>
      </c>
      <c r="F61" s="165">
        <f>SUMIFS('caseload data'!H:H,'caseload data'!$D:$D,"TPO",'caseload data'!$C:$C,'custody caseload'!$B$57,'caseload data'!$B:$B,"custody")</f>
        <v>0</v>
      </c>
      <c r="G61" s="165">
        <f>SUMIFS('caseload data'!I:I,'caseload data'!$D:$D,"TPO",'caseload data'!$C:$C,'custody caseload'!$B$57,'caseload data'!$B:$B,"custody")</f>
        <v>0</v>
      </c>
      <c r="H61" s="165">
        <f>SUMIFS('caseload data'!J:J,'caseload data'!$D:$D,"TPO",'caseload data'!$C:$C,'custody caseload'!$B$57,'caseload data'!$B:$B,"custody")</f>
        <v>0</v>
      </c>
      <c r="I61" s="165">
        <f>SUMIFS('caseload data'!K:K,'caseload data'!$D:$D,"TPO",'caseload data'!$C:$C,'custody caseload'!$B$57,'caseload data'!$B:$B,"custody")</f>
        <v>0</v>
      </c>
      <c r="J61" s="165">
        <f>SUMIFS('caseload data'!L:L,'caseload data'!$D:$D,"TPO",'caseload data'!$C:$C,'custody caseload'!$B$57,'caseload data'!$B:$B,"custody")</f>
        <v>0</v>
      </c>
      <c r="K61" s="107">
        <f>SUMIFS('caseload data'!M:M,'caseload data'!$D:$D,"TPO",'caseload data'!$C:$C,'custody caseload'!$B$57,'caseload data'!$B:$B,"custody")</f>
        <v>0</v>
      </c>
      <c r="L61" s="107">
        <f>SUMIFS('caseload data'!N:N,'caseload data'!$D:$D,"TPO",'caseload data'!$C:$C,'custody caseload'!$B$57,'caseload data'!$B:$B,"custody")</f>
        <v>0</v>
      </c>
      <c r="M61" s="107">
        <f>SUMIFS('caseload data'!O:O,'caseload data'!$D:$D,"TPO",'caseload data'!$C:$C,'custody caseload'!$B$57,'caseload data'!$B:$B,"custody")</f>
        <v>0</v>
      </c>
      <c r="N61" s="107">
        <f>SUMIFS('caseload data'!P:P,'caseload data'!$D:$D,"TPO",'caseload data'!$C:$C,'custody caseload'!$B$57,'caseload data'!$B:$B,"custody")</f>
        <v>0</v>
      </c>
      <c r="O61" s="107">
        <f>SUMIFS('caseload data'!Q:Q,'caseload data'!$D:$D,"TPO",'caseload data'!$C:$C,'custody caseload'!$B$57,'caseload data'!$B:$B,"custody")</f>
        <v>0</v>
      </c>
      <c r="P61" s="107">
        <f>SUMIFS('caseload data'!R:R,'caseload data'!$D:$D,"TPO",'caseload data'!$C:$C,'custody caseload'!$B$57,'caseload data'!$B:$B,"custody")</f>
        <v>0</v>
      </c>
      <c r="Q61" s="107">
        <f>SUMIFS('caseload data'!S:S,'caseload data'!$D:$D,"TPO",'caseload data'!$C:$C,'custody caseload'!$B$57,'caseload data'!$B:$B,"custody")</f>
        <v>0</v>
      </c>
      <c r="R61" s="107">
        <f>SUMIFS('caseload data'!T:T,'caseload data'!$D:$D,"TPO",'caseload data'!$C:$C,'custody caseload'!$B$57,'caseload data'!$B:$B,"custody")</f>
        <v>0</v>
      </c>
      <c r="S61" s="76"/>
      <c r="T61" s="110" t="s">
        <v>1039</v>
      </c>
      <c r="U61" s="165">
        <f>SUMIFS('caseload data'!E:E,'caseload data'!$D:$D,"TPO",'caseload data'!$C:$C,'custody caseload'!$T$57,'caseload data'!$B:$B,"custody")</f>
        <v>0</v>
      </c>
      <c r="V61" s="165">
        <f>SUMIFS('caseload data'!F:F,'caseload data'!$D:$D,"TPO",'caseload data'!$C:$C,'custody caseload'!$T$57,'caseload data'!$B:$B,"custody")</f>
        <v>0</v>
      </c>
      <c r="W61" s="165">
        <f>SUMIFS('caseload data'!G:G,'caseload data'!$D:$D,"TPO",'caseload data'!$C:$C,'custody caseload'!$T$57,'caseload data'!$B:$B,"custody")</f>
        <v>0</v>
      </c>
      <c r="X61" s="165">
        <f>SUMIFS('caseload data'!H:H,'caseload data'!$D:$D,"TPO",'caseload data'!$C:$C,'custody caseload'!$T$57,'caseload data'!$B:$B,"custody")</f>
        <v>0</v>
      </c>
      <c r="Y61" s="165">
        <f>SUMIFS('caseload data'!I:I,'caseload data'!$D:$D,"TPO",'caseload data'!$C:$C,'custody caseload'!$T$57,'caseload data'!$B:$B,"custody")</f>
        <v>0</v>
      </c>
      <c r="Z61" s="165">
        <f>SUMIFS('caseload data'!J:J,'caseload data'!$D:$D,"TPO",'caseload data'!$C:$C,'custody caseload'!$T$57,'caseload data'!$B:$B,"custody")</f>
        <v>0</v>
      </c>
      <c r="AA61" s="165">
        <f>SUMIFS('caseload data'!K:K,'caseload data'!$D:$D,"TPO",'caseload data'!$C:$C,'custody caseload'!$T$57,'caseload data'!$B:$B,"custody")</f>
        <v>0</v>
      </c>
      <c r="AB61" s="165">
        <f>SUMIFS('caseload data'!L:L,'caseload data'!$D:$D,"TPO",'caseload data'!$C:$C,'custody caseload'!$T$57,'caseload data'!$B:$B,"custody")</f>
        <v>0</v>
      </c>
      <c r="AC61" s="107">
        <f>SUMIFS('caseload data'!M:M,'caseload data'!$D:$D,"TPO",'caseload data'!$C:$C,'custody caseload'!$T$57,'caseload data'!$B:$B,"custody")</f>
        <v>0</v>
      </c>
      <c r="AD61" s="107">
        <f>SUMIFS('caseload data'!N:N,'caseload data'!$D:$D,"TPO",'caseload data'!$C:$C,'custody caseload'!$T$57,'caseload data'!$B:$B,"custody")</f>
        <v>0</v>
      </c>
      <c r="AE61" s="107">
        <f>SUMIFS('caseload data'!O:O,'caseload data'!$D:$D,"TPO",'caseload data'!$C:$C,'custody caseload'!$T$57,'caseload data'!$B:$B,"custody")</f>
        <v>0</v>
      </c>
      <c r="AF61" s="107">
        <f>SUMIFS('caseload data'!P:P,'caseload data'!$D:$D,"TPO",'caseload data'!$C:$C,'custody caseload'!$T$57,'caseload data'!$B:$B,"custody")</f>
        <v>0</v>
      </c>
      <c r="AG61" s="107">
        <f>SUMIFS('caseload data'!Q:Q,'caseload data'!$D:$D,"TPO",'caseload data'!$C:$C,'custody caseload'!$T$57,'caseload data'!$B:$B,"custody")</f>
        <v>0</v>
      </c>
      <c r="AH61" s="107">
        <f>SUMIFS('caseload data'!R:R,'caseload data'!$D:$D,"TPO",'caseload data'!$C:$C,'custody caseload'!$T$57,'caseload data'!$B:$B,"custody")</f>
        <v>0</v>
      </c>
      <c r="AI61" s="107">
        <f>SUMIFS('caseload data'!S:S,'caseload data'!$D:$D,"TPO",'caseload data'!$C:$C,'custody caseload'!$T$57,'caseload data'!$B:$B,"custody")</f>
        <v>0</v>
      </c>
      <c r="AJ61" s="107">
        <f>SUMIFS('caseload data'!T:T,'caseload data'!$D:$D,"TPO",'caseload data'!$C:$C,'custody caseload'!$T$57,'caseload data'!$B:$B,"custody")</f>
        <v>0</v>
      </c>
    </row>
    <row r="62" spans="2:36" x14ac:dyDescent="0.15">
      <c r="B62" s="111" t="s">
        <v>1040</v>
      </c>
      <c r="C62" s="107">
        <f>SUMIFS('caseload data'!E:E,'caseload data'!$D:$D,"SPO",'caseload data'!$C:$C,'custody caseload'!$B$57,'caseload data'!$B:$B,"custody")</f>
        <v>0</v>
      </c>
      <c r="D62" s="107">
        <f>SUMIFS('caseload data'!F:F,'caseload data'!$D:$D,"SPO",'caseload data'!$C:$C,'custody caseload'!$B$57,'caseload data'!$B:$B,"custody")</f>
        <v>0</v>
      </c>
      <c r="E62" s="107">
        <f>SUMIFS('caseload data'!G:G,'caseload data'!$D:$D,"SPO",'caseload data'!$C:$C,'custody caseload'!$B$57,'caseload data'!$B:$B,"custody")</f>
        <v>0</v>
      </c>
      <c r="F62" s="107">
        <f>SUMIFS('caseload data'!H:H,'caseload data'!$D:$D,"SPO",'caseload data'!$C:$C,'custody caseload'!$B$57,'caseload data'!$B:$B,"custody")</f>
        <v>0</v>
      </c>
      <c r="G62" s="107">
        <f>SUMIFS('caseload data'!I:I,'caseload data'!$D:$D,"SPO",'caseload data'!$C:$C,'custody caseload'!$B$57,'caseload data'!$B:$B,"custody")</f>
        <v>0</v>
      </c>
      <c r="H62" s="107">
        <f>SUMIFS('caseload data'!J:J,'caseload data'!$D:$D,"SPO",'caseload data'!$C:$C,'custody caseload'!$B$57,'caseload data'!$B:$B,"custody")</f>
        <v>0</v>
      </c>
      <c r="I62" s="107">
        <f>SUMIFS('caseload data'!K:K,'caseload data'!$D:$D,"SPO",'caseload data'!$C:$C,'custody caseload'!$B$57,'caseload data'!$B:$B,"custody")</f>
        <v>0</v>
      </c>
      <c r="J62" s="107">
        <f>SUMIFS('caseload data'!L:L,'caseload data'!$D:$D,"SPO",'caseload data'!$C:$C,'custody caseload'!$B$57,'caseload data'!$B:$B,"custody")</f>
        <v>0</v>
      </c>
      <c r="K62" s="107">
        <f>SUMIFS('caseload data'!M:M,'caseload data'!$D:$D,"SPO",'caseload data'!$C:$C,'custody caseload'!$B$57,'caseload data'!$B:$B,"custody")</f>
        <v>0</v>
      </c>
      <c r="L62" s="107">
        <f>SUMIFS('caseload data'!N:N,'caseload data'!$D:$D,"SPO",'caseload data'!$C:$C,'custody caseload'!$B$57,'caseload data'!$B:$B,"custody")</f>
        <v>0</v>
      </c>
      <c r="M62" s="107">
        <f>SUMIFS('caseload data'!O:O,'caseload data'!$D:$D,"SPO",'caseload data'!$C:$C,'custody caseload'!$B$57,'caseload data'!$B:$B,"custody")</f>
        <v>0</v>
      </c>
      <c r="N62" s="107">
        <f>SUMIFS('caseload data'!P:P,'caseload data'!$D:$D,"SPO",'caseload data'!$C:$C,'custody caseload'!$B$57,'caseload data'!$B:$B,"custody")</f>
        <v>0</v>
      </c>
      <c r="O62" s="107">
        <f>SUMIFS('caseload data'!Q:Q,'caseload data'!$D:$D,"SPO",'caseload data'!$C:$C,'custody caseload'!$B$57,'caseload data'!$B:$B,"custody")</f>
        <v>0</v>
      </c>
      <c r="P62" s="107">
        <f>SUMIFS('caseload data'!R:R,'caseload data'!$D:$D,"SPO",'caseload data'!$C:$C,'custody caseload'!$B$57,'caseload data'!$B:$B,"custody")</f>
        <v>0</v>
      </c>
      <c r="Q62" s="107">
        <f>SUMIFS('caseload data'!S:S,'caseload data'!$D:$D,"SPO",'caseload data'!$C:$C,'custody caseload'!$B$57,'caseload data'!$B:$B,"custody")</f>
        <v>0</v>
      </c>
      <c r="R62" s="107">
        <f>SUMIFS('caseload data'!T:T,'caseload data'!$D:$D,"SPO",'caseload data'!$C:$C,'custody caseload'!$B$57,'caseload data'!$B:$B,"custody")</f>
        <v>0</v>
      </c>
      <c r="S62" s="76"/>
      <c r="T62" s="111" t="s">
        <v>1040</v>
      </c>
      <c r="U62" s="107">
        <f>SUMIFS('caseload data'!E:E,'caseload data'!$D:$D,"SPO",'caseload data'!$C:$C,'custody caseload'!$T$57,'caseload data'!$B:$B,"custody")</f>
        <v>0</v>
      </c>
      <c r="V62" s="107">
        <f>SUMIFS('caseload data'!F:F,'caseload data'!$D:$D,"SPO",'caseload data'!$C:$C,'custody caseload'!$T$57,'caseload data'!$B:$B,"custody")</f>
        <v>0</v>
      </c>
      <c r="W62" s="107">
        <f>SUMIFS('caseload data'!G:G,'caseload data'!$D:$D,"SPO",'caseload data'!$C:$C,'custody caseload'!$T$57,'caseload data'!$B:$B,"custody")</f>
        <v>0</v>
      </c>
      <c r="X62" s="107">
        <f>SUMIFS('caseload data'!H:H,'caseload data'!$D:$D,"SPO",'caseload data'!$C:$C,'custody caseload'!$T$57,'caseload data'!$B:$B,"custody")</f>
        <v>0</v>
      </c>
      <c r="Y62" s="107">
        <f>SUMIFS('caseload data'!I:I,'caseload data'!$D:$D,"SPO",'caseload data'!$C:$C,'custody caseload'!$T$57,'caseload data'!$B:$B,"custody")</f>
        <v>0</v>
      </c>
      <c r="Z62" s="107">
        <f>SUMIFS('caseload data'!J:J,'caseload data'!$D:$D,"SPO",'caseload data'!$C:$C,'custody caseload'!$T$57,'caseload data'!$B:$B,"custody")</f>
        <v>0</v>
      </c>
      <c r="AA62" s="107">
        <f>SUMIFS('caseload data'!K:K,'caseload data'!$D:$D,"SPO",'caseload data'!$C:$C,'custody caseload'!$T$57,'caseload data'!$B:$B,"custody")</f>
        <v>0</v>
      </c>
      <c r="AB62" s="107">
        <f>SUMIFS('caseload data'!L:L,'caseload data'!$D:$D,"SPO",'caseload data'!$C:$C,'custody caseload'!$T$57,'caseload data'!$B:$B,"custody")</f>
        <v>0</v>
      </c>
      <c r="AC62" s="107">
        <f>SUMIFS('caseload data'!M:M,'caseload data'!$D:$D,"SPO",'caseload data'!$C:$C,'custody caseload'!$T$57,'caseload data'!$B:$B,"custody")</f>
        <v>0</v>
      </c>
      <c r="AD62" s="107">
        <f>SUMIFS('caseload data'!N:N,'caseload data'!$D:$D,"SPO",'caseload data'!$C:$C,'custody caseload'!$T$57,'caseload data'!$B:$B,"custody")</f>
        <v>0</v>
      </c>
      <c r="AE62" s="107">
        <f>SUMIFS('caseload data'!O:O,'caseload data'!$D:$D,"SPO",'caseload data'!$C:$C,'custody caseload'!$T$57,'caseload data'!$B:$B,"custody")</f>
        <v>0</v>
      </c>
      <c r="AF62" s="107">
        <f>SUMIFS('caseload data'!P:P,'caseload data'!$D:$D,"SPO",'caseload data'!$C:$C,'custody caseload'!$T$57,'caseload data'!$B:$B,"custody")</f>
        <v>0</v>
      </c>
      <c r="AG62" s="107">
        <f>SUMIFS('caseload data'!Q:Q,'caseload data'!$D:$D,"SPO",'caseload data'!$C:$C,'custody caseload'!$T$57,'caseload data'!$B:$B,"custody")</f>
        <v>0</v>
      </c>
      <c r="AH62" s="107">
        <f>SUMIFS('caseload data'!R:R,'caseload data'!$D:$D,"SPO",'caseload data'!$C:$C,'custody caseload'!$T$57,'caseload data'!$B:$B,"custody")</f>
        <v>0</v>
      </c>
      <c r="AI62" s="107">
        <f>SUMIFS('caseload data'!S:S,'caseload data'!$D:$D,"SPO",'caseload data'!$C:$C,'custody caseload'!$T$57,'caseload data'!$B:$B,"custody")</f>
        <v>0</v>
      </c>
      <c r="AJ62" s="107">
        <f>SUMIFS('caseload data'!T:T,'caseload data'!$D:$D,"SPO",'caseload data'!$C:$C,'custody caseload'!$T$57,'caseload data'!$B:$B,"custody")</f>
        <v>0</v>
      </c>
    </row>
    <row r="64" spans="2:36" x14ac:dyDescent="0.15">
      <c r="B64" s="162" t="str">
        <f>HLOOKUP($B$5,Region_Table,18,0)</f>
        <v>Kingston, Richmond and Hounslow</v>
      </c>
      <c r="C64" s="333" t="s">
        <v>1262</v>
      </c>
      <c r="D64" s="334"/>
      <c r="E64" s="334"/>
      <c r="F64" s="334"/>
      <c r="G64" s="334"/>
      <c r="H64" s="334"/>
      <c r="I64" s="334"/>
      <c r="J64" s="334"/>
      <c r="K64" s="334"/>
      <c r="L64" s="334"/>
      <c r="M64" s="343"/>
      <c r="N64" s="343"/>
      <c r="O64" s="344"/>
      <c r="P64" s="337">
        <f>SUMIFS('caseload data'!V:V,'caseload data'!B:B,"custody",'caseload data'!$C:$C,'custody caseload'!B64)</f>
        <v>0</v>
      </c>
      <c r="Q64" s="345"/>
      <c r="R64" s="346"/>
      <c r="S64" s="76"/>
      <c r="T64" s="162" t="str">
        <f>HLOOKUP($B$5,Region_Table,19,0)</f>
        <v>Lambeth - N07</v>
      </c>
      <c r="U64" s="333" t="s">
        <v>1262</v>
      </c>
      <c r="V64" s="334"/>
      <c r="W64" s="334"/>
      <c r="X64" s="334"/>
      <c r="Y64" s="334"/>
      <c r="Z64" s="334"/>
      <c r="AA64" s="334"/>
      <c r="AB64" s="334"/>
      <c r="AC64" s="334"/>
      <c r="AD64" s="334"/>
      <c r="AE64" s="343"/>
      <c r="AF64" s="343"/>
      <c r="AG64" s="344"/>
      <c r="AH64" s="337">
        <f>SUMIFS('caseload data'!V:V,'caseload data'!B:B,"custody",'caseload data'!$C:$C,'custody caseload'!T64)</f>
        <v>0</v>
      </c>
      <c r="AI64" s="345"/>
      <c r="AJ64" s="346"/>
    </row>
    <row r="65" spans="2:36" x14ac:dyDescent="0.15">
      <c r="B65" s="108" t="s">
        <v>1199</v>
      </c>
      <c r="C65" s="42" t="s">
        <v>1019</v>
      </c>
      <c r="D65" s="42" t="s">
        <v>1020</v>
      </c>
      <c r="E65" s="42" t="s">
        <v>1021</v>
      </c>
      <c r="F65" s="42" t="s">
        <v>1022</v>
      </c>
      <c r="G65" s="42" t="s">
        <v>1023</v>
      </c>
      <c r="H65" s="42" t="s">
        <v>1024</v>
      </c>
      <c r="I65" s="42" t="s">
        <v>1025</v>
      </c>
      <c r="J65" s="42" t="s">
        <v>1026</v>
      </c>
      <c r="K65" s="42" t="s">
        <v>1027</v>
      </c>
      <c r="L65" s="42" t="s">
        <v>1028</v>
      </c>
      <c r="M65" s="42" t="s">
        <v>1029</v>
      </c>
      <c r="N65" s="42" t="s">
        <v>1030</v>
      </c>
      <c r="O65" s="42" t="s">
        <v>1031</v>
      </c>
      <c r="P65" s="42" t="s">
        <v>1032</v>
      </c>
      <c r="Q65" s="42" t="s">
        <v>1033</v>
      </c>
      <c r="R65" s="42" t="s">
        <v>1034</v>
      </c>
      <c r="S65" s="76"/>
      <c r="T65" s="108" t="s">
        <v>1199</v>
      </c>
      <c r="U65" s="42" t="s">
        <v>1019</v>
      </c>
      <c r="V65" s="42" t="s">
        <v>1020</v>
      </c>
      <c r="W65" s="42" t="s">
        <v>1021</v>
      </c>
      <c r="X65" s="42" t="s">
        <v>1022</v>
      </c>
      <c r="Y65" s="42" t="s">
        <v>1023</v>
      </c>
      <c r="Z65" s="42" t="s">
        <v>1024</v>
      </c>
      <c r="AA65" s="42" t="s">
        <v>1025</v>
      </c>
      <c r="AB65" s="42" t="s">
        <v>1026</v>
      </c>
      <c r="AC65" s="42" t="s">
        <v>1027</v>
      </c>
      <c r="AD65" s="42" t="s">
        <v>1028</v>
      </c>
      <c r="AE65" s="42" t="s">
        <v>1029</v>
      </c>
      <c r="AF65" s="42" t="s">
        <v>1030</v>
      </c>
      <c r="AG65" s="42" t="s">
        <v>1031</v>
      </c>
      <c r="AH65" s="42" t="s">
        <v>1032</v>
      </c>
      <c r="AI65" s="42" t="s">
        <v>1033</v>
      </c>
      <c r="AJ65" s="42" t="s">
        <v>1034</v>
      </c>
    </row>
    <row r="66" spans="2:36" x14ac:dyDescent="0.15">
      <c r="B66" s="109" t="s">
        <v>1037</v>
      </c>
      <c r="C66" s="107">
        <f>SUMIFS('caseload data'!E:E,'caseload data'!$D:$D,"PO",'caseload data'!$C:$C,'custody caseload'!$B$64,'caseload data'!$B:$B,"custody")</f>
        <v>0</v>
      </c>
      <c r="D66" s="107">
        <f>SUMIFS('caseload data'!F:F,'caseload data'!$D:$D,"PO",'caseload data'!$C:$C,'custody caseload'!$B$64,'caseload data'!$B:$B,"custody")</f>
        <v>0</v>
      </c>
      <c r="E66" s="107">
        <f>SUMIFS('caseload data'!G:G,'caseload data'!$D:$D,"PO",'caseload data'!$C:$C,'custody caseload'!$B$64,'caseload data'!$B:$B,"custody")</f>
        <v>0</v>
      </c>
      <c r="F66" s="107">
        <f>SUMIFS('caseload data'!H:H,'caseload data'!$D:$D,"PO",'caseload data'!$C:$C,'custody caseload'!$B$64,'caseload data'!$B:$B,"custody")</f>
        <v>0</v>
      </c>
      <c r="G66" s="107">
        <f>SUMIFS('caseload data'!I:I,'caseload data'!$D:$D,"PO",'caseload data'!$C:$C,'custody caseload'!$B$64,'caseload data'!$B:$B,"custody")</f>
        <v>0</v>
      </c>
      <c r="H66" s="107">
        <f>SUMIFS('caseload data'!J:J,'caseload data'!$D:$D,"PO",'caseload data'!$C:$C,'custody caseload'!$B$64,'caseload data'!$B:$B,"custody")</f>
        <v>0</v>
      </c>
      <c r="I66" s="107">
        <f>SUMIFS('caseload data'!K:K,'caseload data'!$D:$D,"PO",'caseload data'!$C:$C,'custody caseload'!$B$64,'caseload data'!$B:$B,"custody")</f>
        <v>0</v>
      </c>
      <c r="J66" s="107">
        <f>SUMIFS('caseload data'!L:L,'caseload data'!$D:$D,"PO",'caseload data'!$C:$C,'custody caseload'!$B$64,'caseload data'!$B:$B,"custody")</f>
        <v>0</v>
      </c>
      <c r="K66" s="107">
        <f>SUMIFS('caseload data'!M:M,'caseload data'!$D:$D,"PO",'caseload data'!$C:$C,'custody caseload'!$B$64,'caseload data'!$B:$B,"custody")</f>
        <v>0</v>
      </c>
      <c r="L66" s="107">
        <f>SUMIFS('caseload data'!N:N,'caseload data'!$D:$D,"PO",'caseload data'!$C:$C,'custody caseload'!$B$64,'caseload data'!$B:$B,"custody")</f>
        <v>0</v>
      </c>
      <c r="M66" s="107">
        <f>SUMIFS('caseload data'!O:O,'caseload data'!$D:$D,"PO",'caseload data'!$C:$C,'custody caseload'!$B$64,'caseload data'!$B:$B,"custody")</f>
        <v>0</v>
      </c>
      <c r="N66" s="107">
        <f>SUMIFS('caseload data'!P:P,'caseload data'!$D:$D,"PO",'caseload data'!$C:$C,'custody caseload'!$B$64,'caseload data'!$B:$B,"custody")</f>
        <v>0</v>
      </c>
      <c r="O66" s="107">
        <f>SUMIFS('caseload data'!Q:Q,'caseload data'!$D:$D,"PO",'caseload data'!$C:$C,'custody caseload'!$B$64,'caseload data'!$B:$B,"custody")</f>
        <v>0</v>
      </c>
      <c r="P66" s="107">
        <f>SUMIFS('caseload data'!R:R,'caseload data'!$D:$D,"PO",'caseload data'!$C:$C,'custody caseload'!$B$64,'caseload data'!$B:$B,"custody")</f>
        <v>0</v>
      </c>
      <c r="Q66" s="107">
        <f>SUMIFS('caseload data'!S:S,'caseload data'!$D:$D,"PO",'caseload data'!$C:$C,'custody caseload'!$B$64,'caseload data'!$B:$B,"custody")</f>
        <v>0</v>
      </c>
      <c r="R66" s="107">
        <f>SUMIFS('caseload data'!T:T,'caseload data'!$D:$D,"PO",'caseload data'!$C:$C,'custody caseload'!$B$64,'caseload data'!$B:$B,"custody")</f>
        <v>0</v>
      </c>
      <c r="S66" s="76"/>
      <c r="T66" s="109" t="s">
        <v>1037</v>
      </c>
      <c r="U66" s="107">
        <f>SUMIFS('caseload data'!E:E,'caseload data'!$D:$D,"PO",'caseload data'!$C:$C,'custody caseload'!$T$64,'caseload data'!$B:$B,"custody")</f>
        <v>0</v>
      </c>
      <c r="V66" s="107">
        <f>SUMIFS('caseload data'!F:F,'caseload data'!$D:$D,"PO",'caseload data'!$C:$C,'custody caseload'!$T$64,'caseload data'!$B:$B,"custody")</f>
        <v>0</v>
      </c>
      <c r="W66" s="107">
        <f>SUMIFS('caseload data'!G:G,'caseload data'!$D:$D,"PO",'caseload data'!$C:$C,'custody caseload'!$T$64,'caseload data'!$B:$B,"custody")</f>
        <v>0</v>
      </c>
      <c r="X66" s="107">
        <f>SUMIFS('caseload data'!H:H,'caseload data'!$D:$D,"PO",'caseload data'!$C:$C,'custody caseload'!$T$64,'caseload data'!$B:$B,"custody")</f>
        <v>0</v>
      </c>
      <c r="Y66" s="107">
        <f>SUMIFS('caseload data'!I:I,'caseload data'!$D:$D,"PO",'caseload data'!$C:$C,'custody caseload'!$T$64,'caseload data'!$B:$B,"custody")</f>
        <v>0</v>
      </c>
      <c r="Z66" s="107">
        <f>SUMIFS('caseload data'!J:J,'caseload data'!$D:$D,"PO",'caseload data'!$C:$C,'custody caseload'!$T$64,'caseload data'!$B:$B,"custody")</f>
        <v>0</v>
      </c>
      <c r="AA66" s="107">
        <f>SUMIFS('caseload data'!K:K,'caseload data'!$D:$D,"PO",'caseload data'!$C:$C,'custody caseload'!$T$64,'caseload data'!$B:$B,"custody")</f>
        <v>0</v>
      </c>
      <c r="AB66" s="107">
        <f>SUMIFS('caseload data'!L:L,'caseload data'!$D:$D,"PO",'caseload data'!$C:$C,'custody caseload'!$T$64,'caseload data'!$B:$B,"custody")</f>
        <v>0</v>
      </c>
      <c r="AC66" s="107">
        <f>SUMIFS('caseload data'!M:M,'caseload data'!$D:$D,"PO",'caseload data'!$C:$C,'custody caseload'!$T$64,'caseload data'!$B:$B,"custody")</f>
        <v>0</v>
      </c>
      <c r="AD66" s="107">
        <f>SUMIFS('caseload data'!N:N,'caseload data'!$D:$D,"PO",'caseload data'!$C:$C,'custody caseload'!$T$64,'caseload data'!$B:$B,"custody")</f>
        <v>0</v>
      </c>
      <c r="AE66" s="107">
        <f>SUMIFS('caseload data'!O:O,'caseload data'!$D:$D,"PO",'caseload data'!$C:$C,'custody caseload'!$T$64,'caseload data'!$B:$B,"custody")</f>
        <v>0</v>
      </c>
      <c r="AF66" s="107">
        <f>SUMIFS('caseload data'!P:P,'caseload data'!$D:$D,"PO",'caseload data'!$C:$C,'custody caseload'!$T$64,'caseload data'!$B:$B,"custody")</f>
        <v>0</v>
      </c>
      <c r="AG66" s="107">
        <f>SUMIFS('caseload data'!Q:Q,'caseload data'!$D:$D,"PO",'caseload data'!$C:$C,'custody caseload'!$T$64,'caseload data'!$B:$B,"custody")</f>
        <v>0</v>
      </c>
      <c r="AH66" s="107">
        <f>SUMIFS('caseload data'!R:R,'caseload data'!$D:$D,"PO",'caseload data'!$C:$C,'custody caseload'!$T$64,'caseload data'!$B:$B,"custody")</f>
        <v>0</v>
      </c>
      <c r="AI66" s="107">
        <f>SUMIFS('caseload data'!S:S,'caseload data'!$D:$D,"PO",'caseload data'!$C:$C,'custody caseload'!$T$64,'caseload data'!$B:$B,"custody")</f>
        <v>0</v>
      </c>
      <c r="AJ66" s="107">
        <f>SUMIFS('caseload data'!T:T,'caseload data'!$D:$D,"PO",'caseload data'!$C:$C,'custody caseload'!$T$64,'caseload data'!$B:$B,"custody")</f>
        <v>0</v>
      </c>
    </row>
    <row r="67" spans="2:36" ht="15" x14ac:dyDescent="0.2">
      <c r="B67" s="110" t="s">
        <v>1038</v>
      </c>
      <c r="C67" s="165">
        <f>SUMIFS('caseload data'!E:E,'caseload data'!$D:$D,"PSO",'caseload data'!$C:$C,'custody caseload'!$B$64,'caseload data'!$B:$B,"custody")</f>
        <v>0</v>
      </c>
      <c r="D67" s="165">
        <f>SUMIFS('caseload data'!F:F,'caseload data'!$D:$D,"PSO",'caseload data'!$C:$C,'custody caseload'!$B$64,'caseload data'!$B:$B,"custody")</f>
        <v>0</v>
      </c>
      <c r="E67" s="165">
        <f>SUMIFS('caseload data'!G:G,'caseload data'!$D:$D,"PSO",'caseload data'!$C:$C,'custody caseload'!$B$64,'caseload data'!$B:$B,"custody")</f>
        <v>0</v>
      </c>
      <c r="F67" s="165">
        <f>SUMIFS('caseload data'!H:H,'caseload data'!$D:$D,"PSO",'caseload data'!$C:$C,'custody caseload'!$B$64,'caseload data'!$B:$B,"custody")</f>
        <v>0</v>
      </c>
      <c r="G67" s="165">
        <f>SUMIFS('caseload data'!I:I,'caseload data'!$D:$D,"PSO",'caseload data'!$C:$C,'custody caseload'!$B$64,'caseload data'!$B:$B,"custody")</f>
        <v>0</v>
      </c>
      <c r="H67" s="165">
        <f>SUMIFS('caseload data'!J:J,'caseload data'!$D:$D,"PSO",'caseload data'!$C:$C,'custody caseload'!$B$64,'caseload data'!$B:$B,"custody")</f>
        <v>0</v>
      </c>
      <c r="I67" s="165">
        <f>SUMIFS('caseload data'!K:K,'caseload data'!$D:$D,"PSO",'caseload data'!$C:$C,'custody caseload'!$B$64,'caseload data'!$B:$B,"custody")</f>
        <v>0</v>
      </c>
      <c r="J67" s="165">
        <f>SUMIFS('caseload data'!L:L,'caseload data'!$D:$D,"PSO",'caseload data'!$C:$C,'custody caseload'!$B$64,'caseload data'!$B:$B,"custody")</f>
        <v>0</v>
      </c>
      <c r="K67" s="107">
        <f>SUMIFS('caseload data'!M:M,'caseload data'!$D:$D,"PSO",'caseload data'!$C:$C,'custody caseload'!$B$64,'caseload data'!$B:$B,"custody")</f>
        <v>0</v>
      </c>
      <c r="L67" s="107">
        <f>SUMIFS('caseload data'!N:N,'caseload data'!$D:$D,"PSO",'caseload data'!$C:$C,'custody caseload'!$B$64,'caseload data'!$B:$B,"custody")</f>
        <v>0</v>
      </c>
      <c r="M67" s="107">
        <f>SUMIFS('caseload data'!O:O,'caseload data'!$D:$D,"PSO",'caseload data'!$C:$C,'custody caseload'!$B$64,'caseload data'!$B:$B,"custody")</f>
        <v>0</v>
      </c>
      <c r="N67" s="107">
        <f>SUMIFS('caseload data'!P:P,'caseload data'!$D:$D,"PSO",'caseload data'!$C:$C,'custody caseload'!$B$64,'caseload data'!$B:$B,"custody")</f>
        <v>0</v>
      </c>
      <c r="O67" s="107">
        <f>SUMIFS('caseload data'!Q:Q,'caseload data'!$D:$D,"PSO",'caseload data'!$C:$C,'custody caseload'!$B$64,'caseload data'!$B:$B,"custody")</f>
        <v>0</v>
      </c>
      <c r="P67" s="107">
        <f>SUMIFS('caseload data'!R:R,'caseload data'!$D:$D,"PSO",'caseload data'!$C:$C,'custody caseload'!$B$64,'caseload data'!$B:$B,"custody")</f>
        <v>0</v>
      </c>
      <c r="Q67" s="107">
        <f>SUMIFS('caseload data'!S:S,'caseload data'!$D:$D,"PSO",'caseload data'!$C:$C,'custody caseload'!$B$64,'caseload data'!$B:$B,"custody")</f>
        <v>0</v>
      </c>
      <c r="R67" s="107">
        <f>SUMIFS('caseload data'!T:T,'caseload data'!$D:$D,"PSO",'caseload data'!$C:$C,'custody caseload'!$B$64,'caseload data'!$B:$B,"custody")</f>
        <v>0</v>
      </c>
      <c r="S67" s="76"/>
      <c r="T67" s="110" t="s">
        <v>1038</v>
      </c>
      <c r="U67" s="165">
        <f>SUMIFS('caseload data'!E:E,'caseload data'!$D:$D,"PSO",'caseload data'!$C:$C,'custody caseload'!$T$64,'caseload data'!$B:$B,"custody")</f>
        <v>0</v>
      </c>
      <c r="V67" s="165">
        <f>SUMIFS('caseload data'!F:F,'caseload data'!$D:$D,"PSO",'caseload data'!$C:$C,'custody caseload'!$T$64,'caseload data'!$B:$B,"custody")</f>
        <v>0</v>
      </c>
      <c r="W67" s="165">
        <f>SUMIFS('caseload data'!G:G,'caseload data'!$D:$D,"PSO",'caseload data'!$C:$C,'custody caseload'!$T$64,'caseload data'!$B:$B,"custody")</f>
        <v>0</v>
      </c>
      <c r="X67" s="165">
        <f>SUMIFS('caseload data'!H:H,'caseload data'!$D:$D,"PSO",'caseload data'!$C:$C,'custody caseload'!$T$64,'caseload data'!$B:$B,"custody")</f>
        <v>0</v>
      </c>
      <c r="Y67" s="165">
        <f>SUMIFS('caseload data'!I:I,'caseload data'!$D:$D,"PSO",'caseload data'!$C:$C,'custody caseload'!$T$64,'caseload data'!$B:$B,"custody")</f>
        <v>0</v>
      </c>
      <c r="Z67" s="165">
        <f>SUMIFS('caseload data'!J:J,'caseload data'!$D:$D,"PSO",'caseload data'!$C:$C,'custody caseload'!$T$64,'caseload data'!$B:$B,"custody")</f>
        <v>0</v>
      </c>
      <c r="AA67" s="165">
        <f>SUMIFS('caseload data'!K:K,'caseload data'!$D:$D,"PSO",'caseload data'!$C:$C,'custody caseload'!$T$64,'caseload data'!$B:$B,"custody")</f>
        <v>0</v>
      </c>
      <c r="AB67" s="165">
        <f>SUMIFS('caseload data'!L:L,'caseload data'!$D:$D,"PSO",'caseload data'!$C:$C,'custody caseload'!$T$64,'caseload data'!$B:$B,"custody")</f>
        <v>0</v>
      </c>
      <c r="AC67" s="107">
        <f>SUMIFS('caseload data'!M:M,'caseload data'!$D:$D,"PSO",'caseload data'!$C:$C,'custody caseload'!$T$64,'caseload data'!$B:$B,"custody")</f>
        <v>0</v>
      </c>
      <c r="AD67" s="107">
        <f>SUMIFS('caseload data'!N:N,'caseload data'!$D:$D,"PSO",'caseload data'!$C:$C,'custody caseload'!$T$64,'caseload data'!$B:$B,"custody")</f>
        <v>0</v>
      </c>
      <c r="AE67" s="107">
        <f>SUMIFS('caseload data'!O:O,'caseload data'!$D:$D,"PSO",'caseload data'!$C:$C,'custody caseload'!$T$64,'caseload data'!$B:$B,"custody")</f>
        <v>0</v>
      </c>
      <c r="AF67" s="107">
        <f>SUMIFS('caseload data'!P:P,'caseload data'!$D:$D,"PSO",'caseload data'!$C:$C,'custody caseload'!$T$64,'caseload data'!$B:$B,"custody")</f>
        <v>0</v>
      </c>
      <c r="AG67" s="107">
        <f>SUMIFS('caseload data'!Q:Q,'caseload data'!$D:$D,"PSO",'caseload data'!$C:$C,'custody caseload'!$T$64,'caseload data'!$B:$B,"custody")</f>
        <v>0</v>
      </c>
      <c r="AH67" s="107">
        <f>SUMIFS('caseload data'!R:R,'caseload data'!$D:$D,"PSO",'caseload data'!$C:$C,'custody caseload'!$T$64,'caseload data'!$B:$B,"custody")</f>
        <v>0</v>
      </c>
      <c r="AI67" s="107">
        <f>SUMIFS('caseload data'!S:S,'caseload data'!$D:$D,"PSO",'caseload data'!$C:$C,'custody caseload'!$T$64,'caseload data'!$B:$B,"custody")</f>
        <v>0</v>
      </c>
      <c r="AJ67" s="107">
        <f>SUMIFS('caseload data'!T:T,'caseload data'!$D:$D,"PSO",'caseload data'!$C:$C,'custody caseload'!$T$64,'caseload data'!$B:$B,"custody")</f>
        <v>0</v>
      </c>
    </row>
    <row r="68" spans="2:36" ht="15" x14ac:dyDescent="0.2">
      <c r="B68" s="110" t="s">
        <v>1039</v>
      </c>
      <c r="C68" s="165">
        <f>SUMIFS('caseload data'!E:E,'caseload data'!$D:$D,"TPO",'caseload data'!$C:$C,'custody caseload'!$B$64,'caseload data'!$B:$B,"custody")</f>
        <v>0</v>
      </c>
      <c r="D68" s="165">
        <f>SUMIFS('caseload data'!F:F,'caseload data'!$D:$D,"TPO",'caseload data'!$C:$C,'custody caseload'!$B$64,'caseload data'!$B:$B,"custody")</f>
        <v>0</v>
      </c>
      <c r="E68" s="165">
        <f>SUMIFS('caseload data'!G:G,'caseload data'!$D:$D,"TPO",'caseload data'!$C:$C,'custody caseload'!$B$64,'caseload data'!$B:$B,"custody")</f>
        <v>0</v>
      </c>
      <c r="F68" s="165">
        <f>SUMIFS('caseload data'!H:H,'caseload data'!$D:$D,"TPO",'caseload data'!$C:$C,'custody caseload'!$B$64,'caseload data'!$B:$B,"custody")</f>
        <v>0</v>
      </c>
      <c r="G68" s="165">
        <f>SUMIFS('caseload data'!I:I,'caseload data'!$D:$D,"TPO",'caseload data'!$C:$C,'custody caseload'!$B$64,'caseload data'!$B:$B,"custody")</f>
        <v>0</v>
      </c>
      <c r="H68" s="165">
        <f>SUMIFS('caseload data'!J:J,'caseload data'!$D:$D,"TPO",'caseload data'!$C:$C,'custody caseload'!$B$64,'caseload data'!$B:$B,"custody")</f>
        <v>0</v>
      </c>
      <c r="I68" s="165">
        <f>SUMIFS('caseload data'!K:K,'caseload data'!$D:$D,"TPO",'caseload data'!$C:$C,'custody caseload'!$B$64,'caseload data'!$B:$B,"custody")</f>
        <v>0</v>
      </c>
      <c r="J68" s="165">
        <f>SUMIFS('caseload data'!L:L,'caseload data'!$D:$D,"TPO",'caseload data'!$C:$C,'custody caseload'!$B$64,'caseload data'!$B:$B,"custody")</f>
        <v>0</v>
      </c>
      <c r="K68" s="107">
        <f>SUMIFS('caseload data'!M:M,'caseload data'!$D:$D,"TPO",'caseload data'!$C:$C,'custody caseload'!$B$64,'caseload data'!$B:$B,"custody")</f>
        <v>0</v>
      </c>
      <c r="L68" s="107">
        <f>SUMIFS('caseload data'!N:N,'caseload data'!$D:$D,"TPO",'caseload data'!$C:$C,'custody caseload'!$B$64,'caseload data'!$B:$B,"custody")</f>
        <v>0</v>
      </c>
      <c r="M68" s="107">
        <f>SUMIFS('caseload data'!O:O,'caseload data'!$D:$D,"TPO",'caseload data'!$C:$C,'custody caseload'!$B$64,'caseload data'!$B:$B,"custody")</f>
        <v>0</v>
      </c>
      <c r="N68" s="107">
        <f>SUMIFS('caseload data'!P:P,'caseload data'!$D:$D,"TPO",'caseload data'!$C:$C,'custody caseload'!$B$64,'caseload data'!$B:$B,"custody")</f>
        <v>0</v>
      </c>
      <c r="O68" s="107">
        <f>SUMIFS('caseload data'!Q:Q,'caseload data'!$D:$D,"TPO",'caseload data'!$C:$C,'custody caseload'!$B$64,'caseload data'!$B:$B,"custody")</f>
        <v>0</v>
      </c>
      <c r="P68" s="107">
        <f>SUMIFS('caseload data'!R:R,'caseload data'!$D:$D,"TPO",'caseload data'!$C:$C,'custody caseload'!$B$64,'caseload data'!$B:$B,"custody")</f>
        <v>0</v>
      </c>
      <c r="Q68" s="107">
        <f>SUMIFS('caseload data'!S:S,'caseload data'!$D:$D,"TPO",'caseload data'!$C:$C,'custody caseload'!$B$64,'caseload data'!$B:$B,"custody")</f>
        <v>0</v>
      </c>
      <c r="R68" s="107">
        <f>SUMIFS('caseload data'!T:T,'caseload data'!$D:$D,"TPO",'caseload data'!$C:$C,'custody caseload'!$B$64,'caseload data'!$B:$B,"custody")</f>
        <v>0</v>
      </c>
      <c r="S68" s="76"/>
      <c r="T68" s="110" t="s">
        <v>1039</v>
      </c>
      <c r="U68" s="165">
        <f>SUMIFS('caseload data'!E:E,'caseload data'!$D:$D,"TPO",'caseload data'!$C:$C,'custody caseload'!$T$64,'caseload data'!$B:$B,"custody")</f>
        <v>0</v>
      </c>
      <c r="V68" s="165">
        <f>SUMIFS('caseload data'!F:F,'caseload data'!$D:$D,"TPO",'caseload data'!$C:$C,'custody caseload'!$T$64,'caseload data'!$B:$B,"custody")</f>
        <v>0</v>
      </c>
      <c r="W68" s="165">
        <f>SUMIFS('caseload data'!G:G,'caseload data'!$D:$D,"TPO",'caseload data'!$C:$C,'custody caseload'!$T$64,'caseload data'!$B:$B,"custody")</f>
        <v>0</v>
      </c>
      <c r="X68" s="165">
        <f>SUMIFS('caseload data'!H:H,'caseload data'!$D:$D,"TPO",'caseload data'!$C:$C,'custody caseload'!$T$64,'caseload data'!$B:$B,"custody")</f>
        <v>0</v>
      </c>
      <c r="Y68" s="165">
        <f>SUMIFS('caseload data'!I:I,'caseload data'!$D:$D,"TPO",'caseload data'!$C:$C,'custody caseload'!$T$64,'caseload data'!$B:$B,"custody")</f>
        <v>0</v>
      </c>
      <c r="Z68" s="165">
        <f>SUMIFS('caseload data'!J:J,'caseload data'!$D:$D,"TPO",'caseload data'!$C:$C,'custody caseload'!$T$64,'caseload data'!$B:$B,"custody")</f>
        <v>0</v>
      </c>
      <c r="AA68" s="165">
        <f>SUMIFS('caseload data'!K:K,'caseload data'!$D:$D,"TPO",'caseload data'!$C:$C,'custody caseload'!$T$64,'caseload data'!$B:$B,"custody")</f>
        <v>0</v>
      </c>
      <c r="AB68" s="165">
        <f>SUMIFS('caseload data'!L:L,'caseload data'!$D:$D,"TPO",'caseload data'!$C:$C,'custody caseload'!$T$64,'caseload data'!$B:$B,"custody")</f>
        <v>0</v>
      </c>
      <c r="AC68" s="107">
        <f>SUMIFS('caseload data'!M:M,'caseload data'!$D:$D,"TPO",'caseload data'!$C:$C,'custody caseload'!$T$64,'caseload data'!$B:$B,"custody")</f>
        <v>0</v>
      </c>
      <c r="AD68" s="107">
        <f>SUMIFS('caseload data'!N:N,'caseload data'!$D:$D,"TPO",'caseload data'!$C:$C,'custody caseload'!$T$64,'caseload data'!$B:$B,"custody")</f>
        <v>0</v>
      </c>
      <c r="AE68" s="107">
        <f>SUMIFS('caseload data'!O:O,'caseload data'!$D:$D,"TPO",'caseload data'!$C:$C,'custody caseload'!$T$64,'caseload data'!$B:$B,"custody")</f>
        <v>0</v>
      </c>
      <c r="AF68" s="107">
        <f>SUMIFS('caseload data'!P:P,'caseload data'!$D:$D,"TPO",'caseload data'!$C:$C,'custody caseload'!$T$64,'caseload data'!$B:$B,"custody")</f>
        <v>0</v>
      </c>
      <c r="AG68" s="107">
        <f>SUMIFS('caseload data'!Q:Q,'caseload data'!$D:$D,"TPO",'caseload data'!$C:$C,'custody caseload'!$T$64,'caseload data'!$B:$B,"custody")</f>
        <v>0</v>
      </c>
      <c r="AH68" s="107">
        <f>SUMIFS('caseload data'!R:R,'caseload data'!$D:$D,"TPO",'caseload data'!$C:$C,'custody caseload'!$T$64,'caseload data'!$B:$B,"custody")</f>
        <v>0</v>
      </c>
      <c r="AI68" s="107">
        <f>SUMIFS('caseload data'!S:S,'caseload data'!$D:$D,"TPO",'caseload data'!$C:$C,'custody caseload'!$T$64,'caseload data'!$B:$B,"custody")</f>
        <v>0</v>
      </c>
      <c r="AJ68" s="107">
        <f>SUMIFS('caseload data'!T:T,'caseload data'!$D:$D,"TPO",'caseload data'!$C:$C,'custody caseload'!$T$64,'caseload data'!$B:$B,"custody")</f>
        <v>0</v>
      </c>
    </row>
    <row r="69" spans="2:36" x14ac:dyDescent="0.15">
      <c r="B69" s="111" t="s">
        <v>1040</v>
      </c>
      <c r="C69" s="107">
        <f>SUMIFS('caseload data'!E:E,'caseload data'!$D:$D,"SPO",'caseload data'!$C:$C,'custody caseload'!$B$64,'caseload data'!$B:$B,"custody")</f>
        <v>0</v>
      </c>
      <c r="D69" s="107">
        <f>SUMIFS('caseload data'!F:F,'caseload data'!$D:$D,"SPO",'caseload data'!$C:$C,'custody caseload'!$B$64,'caseload data'!$B:$B,"custody")</f>
        <v>0</v>
      </c>
      <c r="E69" s="107">
        <f>SUMIFS('caseload data'!G:G,'caseload data'!$D:$D,"SPO",'caseload data'!$C:$C,'custody caseload'!$B$64,'caseload data'!$B:$B,"custody")</f>
        <v>0</v>
      </c>
      <c r="F69" s="107">
        <f>SUMIFS('caseload data'!H:H,'caseload data'!$D:$D,"SPO",'caseload data'!$C:$C,'custody caseload'!$B$64,'caseload data'!$B:$B,"custody")</f>
        <v>0</v>
      </c>
      <c r="G69" s="107">
        <f>SUMIFS('caseload data'!I:I,'caseload data'!$D:$D,"SPO",'caseload data'!$C:$C,'custody caseload'!$B$64,'caseload data'!$B:$B,"custody")</f>
        <v>0</v>
      </c>
      <c r="H69" s="107">
        <f>SUMIFS('caseload data'!J:J,'caseload data'!$D:$D,"SPO",'caseload data'!$C:$C,'custody caseload'!$B$64,'caseload data'!$B:$B,"custody")</f>
        <v>0</v>
      </c>
      <c r="I69" s="107">
        <f>SUMIFS('caseload data'!K:K,'caseload data'!$D:$D,"SPO",'caseload data'!$C:$C,'custody caseload'!$B$64,'caseload data'!$B:$B,"custody")</f>
        <v>0</v>
      </c>
      <c r="J69" s="107">
        <f>SUMIFS('caseload data'!L:L,'caseload data'!$D:$D,"SPO",'caseload data'!$C:$C,'custody caseload'!$B$64,'caseload data'!$B:$B,"custody")</f>
        <v>0</v>
      </c>
      <c r="K69" s="107">
        <f>SUMIFS('caseload data'!M:M,'caseload data'!$D:$D,"SPO",'caseload data'!$C:$C,'custody caseload'!$B$64,'caseload data'!$B:$B,"custody")</f>
        <v>0</v>
      </c>
      <c r="L69" s="107">
        <f>SUMIFS('caseload data'!N:N,'caseload data'!$D:$D,"SPO",'caseload data'!$C:$C,'custody caseload'!$B$64,'caseload data'!$B:$B,"custody")</f>
        <v>0</v>
      </c>
      <c r="M69" s="107">
        <f>SUMIFS('caseload data'!O:O,'caseload data'!$D:$D,"SPO",'caseload data'!$C:$C,'custody caseload'!$B$64,'caseload data'!$B:$B,"custody")</f>
        <v>0</v>
      </c>
      <c r="N69" s="107">
        <f>SUMIFS('caseload data'!P:P,'caseload data'!$D:$D,"SPO",'caseload data'!$C:$C,'custody caseload'!$B$64,'caseload data'!$B:$B,"custody")</f>
        <v>0</v>
      </c>
      <c r="O69" s="107">
        <f>SUMIFS('caseload data'!Q:Q,'caseload data'!$D:$D,"SPO",'caseload data'!$C:$C,'custody caseload'!$B$64,'caseload data'!$B:$B,"custody")</f>
        <v>0</v>
      </c>
      <c r="P69" s="107">
        <f>SUMIFS('caseload data'!R:R,'caseload data'!$D:$D,"SPO",'caseload data'!$C:$C,'custody caseload'!$B$64,'caseload data'!$B:$B,"custody")</f>
        <v>0</v>
      </c>
      <c r="Q69" s="107">
        <f>SUMIFS('caseload data'!S:S,'caseload data'!$D:$D,"SPO",'caseload data'!$C:$C,'custody caseload'!$B$64,'caseload data'!$B:$B,"custody")</f>
        <v>0</v>
      </c>
      <c r="R69" s="107">
        <f>SUMIFS('caseload data'!T:T,'caseload data'!$D:$D,"SPO",'caseload data'!$C:$C,'custody caseload'!$B$64,'caseload data'!$B:$B,"custody")</f>
        <v>0</v>
      </c>
      <c r="S69" s="76"/>
      <c r="T69" s="111" t="s">
        <v>1040</v>
      </c>
      <c r="U69" s="107">
        <f>SUMIFS('caseload data'!E:E,'caseload data'!$D:$D,"SPO",'caseload data'!$C:$C,'custody caseload'!$T$64,'caseload data'!$B:$B,"custody")</f>
        <v>0</v>
      </c>
      <c r="V69" s="107">
        <f>SUMIFS('caseload data'!F:F,'caseload data'!$D:$D,"SPO",'caseload data'!$C:$C,'custody caseload'!$T$64,'caseload data'!$B:$B,"custody")</f>
        <v>0</v>
      </c>
      <c r="W69" s="107">
        <f>SUMIFS('caseload data'!G:G,'caseload data'!$D:$D,"SPO",'caseload data'!$C:$C,'custody caseload'!$T$64,'caseload data'!$B:$B,"custody")</f>
        <v>0</v>
      </c>
      <c r="X69" s="107">
        <f>SUMIFS('caseload data'!H:H,'caseload data'!$D:$D,"SPO",'caseload data'!$C:$C,'custody caseload'!$T$64,'caseload data'!$B:$B,"custody")</f>
        <v>0</v>
      </c>
      <c r="Y69" s="107">
        <f>SUMIFS('caseload data'!I:I,'caseload data'!$D:$D,"SPO",'caseload data'!$C:$C,'custody caseload'!$T$64,'caseload data'!$B:$B,"custody")</f>
        <v>0</v>
      </c>
      <c r="Z69" s="107">
        <f>SUMIFS('caseload data'!J:J,'caseload data'!$D:$D,"SPO",'caseload data'!$C:$C,'custody caseload'!$T$64,'caseload data'!$B:$B,"custody")</f>
        <v>0</v>
      </c>
      <c r="AA69" s="107">
        <f>SUMIFS('caseload data'!K:K,'caseload data'!$D:$D,"SPO",'caseload data'!$C:$C,'custody caseload'!$T$64,'caseload data'!$B:$B,"custody")</f>
        <v>0</v>
      </c>
      <c r="AB69" s="107">
        <f>SUMIFS('caseload data'!L:L,'caseload data'!$D:$D,"SPO",'caseload data'!$C:$C,'custody caseload'!$T$64,'caseload data'!$B:$B,"custody")</f>
        <v>0</v>
      </c>
      <c r="AC69" s="107">
        <f>SUMIFS('caseload data'!M:M,'caseload data'!$D:$D,"SPO",'caseload data'!$C:$C,'custody caseload'!$T$64,'caseload data'!$B:$B,"custody")</f>
        <v>0</v>
      </c>
      <c r="AD69" s="107">
        <f>SUMIFS('caseload data'!N:N,'caseload data'!$D:$D,"SPO",'caseload data'!$C:$C,'custody caseload'!$T$64,'caseload data'!$B:$B,"custody")</f>
        <v>0</v>
      </c>
      <c r="AE69" s="107">
        <f>SUMIFS('caseload data'!O:O,'caseload data'!$D:$D,"SPO",'caseload data'!$C:$C,'custody caseload'!$T$64,'caseload data'!$B:$B,"custody")</f>
        <v>0</v>
      </c>
      <c r="AF69" s="107">
        <f>SUMIFS('caseload data'!P:P,'caseload data'!$D:$D,"SPO",'caseload data'!$C:$C,'custody caseload'!$T$64,'caseload data'!$B:$B,"custody")</f>
        <v>0</v>
      </c>
      <c r="AG69" s="107">
        <f>SUMIFS('caseload data'!Q:Q,'caseload data'!$D:$D,"SPO",'caseload data'!$C:$C,'custody caseload'!$T$64,'caseload data'!$B:$B,"custody")</f>
        <v>0</v>
      </c>
      <c r="AH69" s="107">
        <f>SUMIFS('caseload data'!R:R,'caseload data'!$D:$D,"SPO",'caseload data'!$C:$C,'custody caseload'!$T$64,'caseload data'!$B:$B,"custody")</f>
        <v>0</v>
      </c>
      <c r="AI69" s="107">
        <f>SUMIFS('caseload data'!S:S,'caseload data'!$D:$D,"SPO",'caseload data'!$C:$C,'custody caseload'!$T$64,'caseload data'!$B:$B,"custody")</f>
        <v>0</v>
      </c>
      <c r="AJ69" s="107">
        <f>SUMIFS('caseload data'!T:T,'caseload data'!$D:$D,"SPO",'caseload data'!$C:$C,'custody caseload'!$T$64,'caseload data'!$B:$B,"custody")</f>
        <v>0</v>
      </c>
    </row>
    <row r="71" spans="2:36" x14ac:dyDescent="0.15">
      <c r="B71" s="162" t="str">
        <f>HLOOKUP($B$5,Region_Table,20,0)</f>
        <v>Lewisham and Bromley</v>
      </c>
      <c r="C71" s="333" t="s">
        <v>1262</v>
      </c>
      <c r="D71" s="334"/>
      <c r="E71" s="334"/>
      <c r="F71" s="334"/>
      <c r="G71" s="334"/>
      <c r="H71" s="334"/>
      <c r="I71" s="334"/>
      <c r="J71" s="334"/>
      <c r="K71" s="334"/>
      <c r="L71" s="334"/>
      <c r="M71" s="343"/>
      <c r="N71" s="343"/>
      <c r="O71" s="344"/>
      <c r="P71" s="337">
        <f>SUMIFS('caseload data'!V:V,'caseload data'!B:B,"custody",'caseload data'!$C:$C,'custody caseload'!B71)</f>
        <v>0</v>
      </c>
      <c r="Q71" s="345"/>
      <c r="R71" s="346"/>
    </row>
    <row r="72" spans="2:36" x14ac:dyDescent="0.15">
      <c r="B72" s="108" t="s">
        <v>1199</v>
      </c>
      <c r="C72" s="42" t="s">
        <v>1019</v>
      </c>
      <c r="D72" s="42" t="s">
        <v>1020</v>
      </c>
      <c r="E72" s="42" t="s">
        <v>1021</v>
      </c>
      <c r="F72" s="42" t="s">
        <v>1022</v>
      </c>
      <c r="G72" s="42" t="s">
        <v>1023</v>
      </c>
      <c r="H72" s="42" t="s">
        <v>1024</v>
      </c>
      <c r="I72" s="42" t="s">
        <v>1025</v>
      </c>
      <c r="J72" s="42" t="s">
        <v>1026</v>
      </c>
      <c r="K72" s="42" t="s">
        <v>1027</v>
      </c>
      <c r="L72" s="42" t="s">
        <v>1028</v>
      </c>
      <c r="M72" s="42" t="s">
        <v>1029</v>
      </c>
      <c r="N72" s="42" t="s">
        <v>1030</v>
      </c>
      <c r="O72" s="42" t="s">
        <v>1031</v>
      </c>
      <c r="P72" s="42" t="s">
        <v>1032</v>
      </c>
      <c r="Q72" s="42" t="s">
        <v>1033</v>
      </c>
      <c r="R72" s="42" t="s">
        <v>1034</v>
      </c>
    </row>
    <row r="73" spans="2:36" x14ac:dyDescent="0.15">
      <c r="B73" s="109" t="s">
        <v>1037</v>
      </c>
      <c r="C73" s="107">
        <f>SUMIFS('caseload data'!E:E,'caseload data'!$D:$D,"PO",'caseload data'!$C:$C,'custody caseload'!$B$64,'caseload data'!$B:$B,"custody")</f>
        <v>0</v>
      </c>
      <c r="D73" s="107">
        <f>SUMIFS('caseload data'!F:F,'caseload data'!$D:$D,"PO",'caseload data'!$C:$C,'custody caseload'!$B$64,'caseload data'!$B:$B,"custody")</f>
        <v>0</v>
      </c>
      <c r="E73" s="107">
        <f>SUMIFS('caseload data'!G:G,'caseload data'!$D:$D,"PO",'caseload data'!$C:$C,'custody caseload'!$B$64,'caseload data'!$B:$B,"custody")</f>
        <v>0</v>
      </c>
      <c r="F73" s="107">
        <f>SUMIFS('caseload data'!H:H,'caseload data'!$D:$D,"PO",'caseload data'!$C:$C,'custody caseload'!$B$64,'caseload data'!$B:$B,"custody")</f>
        <v>0</v>
      </c>
      <c r="G73" s="107">
        <f>SUMIFS('caseload data'!I:I,'caseload data'!$D:$D,"PO",'caseload data'!$C:$C,'custody caseload'!$B$64,'caseload data'!$B:$B,"custody")</f>
        <v>0</v>
      </c>
      <c r="H73" s="107">
        <f>SUMIFS('caseload data'!J:J,'caseload data'!$D:$D,"PO",'caseload data'!$C:$C,'custody caseload'!$B$64,'caseload data'!$B:$B,"custody")</f>
        <v>0</v>
      </c>
      <c r="I73" s="107">
        <f>SUMIFS('caseload data'!K:K,'caseload data'!$D:$D,"PO",'caseload data'!$C:$C,'custody caseload'!$B$64,'caseload data'!$B:$B,"custody")</f>
        <v>0</v>
      </c>
      <c r="J73" s="107">
        <f>SUMIFS('caseload data'!L:L,'caseload data'!$D:$D,"PO",'caseload data'!$C:$C,'custody caseload'!$B$64,'caseload data'!$B:$B,"custody")</f>
        <v>0</v>
      </c>
      <c r="K73" s="107">
        <f>SUMIFS('caseload data'!M:M,'caseload data'!$D:$D,"PO",'caseload data'!$C:$C,'custody caseload'!$B$64,'caseload data'!$B:$B,"custody")</f>
        <v>0</v>
      </c>
      <c r="L73" s="107">
        <f>SUMIFS('caseload data'!N:N,'caseload data'!$D:$D,"PO",'caseload data'!$C:$C,'custody caseload'!$B$64,'caseload data'!$B:$B,"custody")</f>
        <v>0</v>
      </c>
      <c r="M73" s="107">
        <f>SUMIFS('caseload data'!O:O,'caseload data'!$D:$D,"PO",'caseload data'!$C:$C,'custody caseload'!$B$64,'caseload data'!$B:$B,"custody")</f>
        <v>0</v>
      </c>
      <c r="N73" s="107">
        <f>SUMIFS('caseload data'!P:P,'caseload data'!$D:$D,"PO",'caseload data'!$C:$C,'custody caseload'!$B$64,'caseload data'!$B:$B,"custody")</f>
        <v>0</v>
      </c>
      <c r="O73" s="107">
        <f>SUMIFS('caseload data'!Q:Q,'caseload data'!$D:$D,"PO",'caseload data'!$C:$C,'custody caseload'!$B$64,'caseload data'!$B:$B,"custody")</f>
        <v>0</v>
      </c>
      <c r="P73" s="107">
        <f>SUMIFS('caseload data'!R:R,'caseload data'!$D:$D,"PO",'caseload data'!$C:$C,'custody caseload'!$B$64,'caseload data'!$B:$B,"custody")</f>
        <v>0</v>
      </c>
      <c r="Q73" s="107">
        <f>SUMIFS('caseload data'!S:S,'caseload data'!$D:$D,"PO",'caseload data'!$C:$C,'custody caseload'!$B$64,'caseload data'!$B:$B,"custody")</f>
        <v>0</v>
      </c>
      <c r="R73" s="107">
        <f>SUMIFS('caseload data'!T:T,'caseload data'!$D:$D,"PO",'caseload data'!$C:$C,'custody caseload'!$B$64,'caseload data'!$B:$B,"custody")</f>
        <v>0</v>
      </c>
    </row>
    <row r="74" spans="2:36" ht="15" x14ac:dyDescent="0.2">
      <c r="B74" s="110" t="s">
        <v>1038</v>
      </c>
      <c r="C74" s="165">
        <f>SUMIFS('caseload data'!E:E,'caseload data'!$D:$D,"PSO",'caseload data'!$C:$C,'custody caseload'!$B$64,'caseload data'!$B:$B,"custody")</f>
        <v>0</v>
      </c>
      <c r="D74" s="165">
        <f>SUMIFS('caseload data'!F:F,'caseload data'!$D:$D,"PSO",'caseload data'!$C:$C,'custody caseload'!$B$64,'caseload data'!$B:$B,"custody")</f>
        <v>0</v>
      </c>
      <c r="E74" s="165">
        <f>SUMIFS('caseload data'!G:G,'caseload data'!$D:$D,"PSO",'caseload data'!$C:$C,'custody caseload'!$B$64,'caseload data'!$B:$B,"custody")</f>
        <v>0</v>
      </c>
      <c r="F74" s="165">
        <f>SUMIFS('caseload data'!H:H,'caseload data'!$D:$D,"PSO",'caseload data'!$C:$C,'custody caseload'!$B$64,'caseload data'!$B:$B,"custody")</f>
        <v>0</v>
      </c>
      <c r="G74" s="165">
        <f>SUMIFS('caseload data'!I:I,'caseload data'!$D:$D,"PSO",'caseload data'!$C:$C,'custody caseload'!$B$64,'caseload data'!$B:$B,"custody")</f>
        <v>0</v>
      </c>
      <c r="H74" s="165">
        <f>SUMIFS('caseload data'!J:J,'caseload data'!$D:$D,"PSO",'caseload data'!$C:$C,'custody caseload'!$B$64,'caseload data'!$B:$B,"custody")</f>
        <v>0</v>
      </c>
      <c r="I74" s="165">
        <f>SUMIFS('caseload data'!K:K,'caseload data'!$D:$D,"PSO",'caseload data'!$C:$C,'custody caseload'!$B$64,'caseload data'!$B:$B,"custody")</f>
        <v>0</v>
      </c>
      <c r="J74" s="165">
        <f>SUMIFS('caseload data'!L:L,'caseload data'!$D:$D,"PSO",'caseload data'!$C:$C,'custody caseload'!$B$64,'caseload data'!$B:$B,"custody")</f>
        <v>0</v>
      </c>
      <c r="K74" s="107">
        <f>SUMIFS('caseload data'!M:M,'caseload data'!$D:$D,"PSO",'caseload data'!$C:$C,'custody caseload'!$B$64,'caseload data'!$B:$B,"custody")</f>
        <v>0</v>
      </c>
      <c r="L74" s="107">
        <f>SUMIFS('caseload data'!N:N,'caseload data'!$D:$D,"PSO",'caseload data'!$C:$C,'custody caseload'!$B$64,'caseload data'!$B:$B,"custody")</f>
        <v>0</v>
      </c>
      <c r="M74" s="107">
        <f>SUMIFS('caseload data'!O:O,'caseload data'!$D:$D,"PSO",'caseload data'!$C:$C,'custody caseload'!$B$64,'caseload data'!$B:$B,"custody")</f>
        <v>0</v>
      </c>
      <c r="N74" s="107">
        <f>SUMIFS('caseload data'!P:P,'caseload data'!$D:$D,"PSO",'caseload data'!$C:$C,'custody caseload'!$B$64,'caseload data'!$B:$B,"custody")</f>
        <v>0</v>
      </c>
      <c r="O74" s="107">
        <f>SUMIFS('caseload data'!Q:Q,'caseload data'!$D:$D,"PSO",'caseload data'!$C:$C,'custody caseload'!$B$64,'caseload data'!$B:$B,"custody")</f>
        <v>0</v>
      </c>
      <c r="P74" s="107">
        <f>SUMIFS('caseload data'!R:R,'caseload data'!$D:$D,"PSO",'caseload data'!$C:$C,'custody caseload'!$B$64,'caseload data'!$B:$B,"custody")</f>
        <v>0</v>
      </c>
      <c r="Q74" s="107">
        <f>SUMIFS('caseload data'!S:S,'caseload data'!$D:$D,"PSO",'caseload data'!$C:$C,'custody caseload'!$B$64,'caseload data'!$B:$B,"custody")</f>
        <v>0</v>
      </c>
      <c r="R74" s="107">
        <f>SUMIFS('caseload data'!T:T,'caseload data'!$D:$D,"PSO",'caseload data'!$C:$C,'custody caseload'!$B$64,'caseload data'!$B:$B,"custody")</f>
        <v>0</v>
      </c>
    </row>
    <row r="75" spans="2:36" ht="15" x14ac:dyDescent="0.2">
      <c r="B75" s="110" t="s">
        <v>1039</v>
      </c>
      <c r="C75" s="165">
        <f>SUMIFS('caseload data'!E:E,'caseload data'!$D:$D,"TPO",'caseload data'!$C:$C,'custody caseload'!$B$64,'caseload data'!$B:$B,"custody")</f>
        <v>0</v>
      </c>
      <c r="D75" s="165">
        <f>SUMIFS('caseload data'!F:F,'caseload data'!$D:$D,"TPO",'caseload data'!$C:$C,'custody caseload'!$B$64,'caseload data'!$B:$B,"custody")</f>
        <v>0</v>
      </c>
      <c r="E75" s="165">
        <f>SUMIFS('caseload data'!G:G,'caseload data'!$D:$D,"TPO",'caseload data'!$C:$C,'custody caseload'!$B$64,'caseload data'!$B:$B,"custody")</f>
        <v>0</v>
      </c>
      <c r="F75" s="165">
        <f>SUMIFS('caseload data'!H:H,'caseload data'!$D:$D,"TPO",'caseload data'!$C:$C,'custody caseload'!$B$64,'caseload data'!$B:$B,"custody")</f>
        <v>0</v>
      </c>
      <c r="G75" s="165">
        <f>SUMIFS('caseload data'!I:I,'caseload data'!$D:$D,"TPO",'caseload data'!$C:$C,'custody caseload'!$B$64,'caseload data'!$B:$B,"custody")</f>
        <v>0</v>
      </c>
      <c r="H75" s="165">
        <f>SUMIFS('caseload data'!J:J,'caseload data'!$D:$D,"TPO",'caseload data'!$C:$C,'custody caseload'!$B$64,'caseload data'!$B:$B,"custody")</f>
        <v>0</v>
      </c>
      <c r="I75" s="165">
        <f>SUMIFS('caseload data'!K:K,'caseload data'!$D:$D,"TPO",'caseload data'!$C:$C,'custody caseload'!$B$64,'caseload data'!$B:$B,"custody")</f>
        <v>0</v>
      </c>
      <c r="J75" s="165">
        <f>SUMIFS('caseload data'!L:L,'caseload data'!$D:$D,"TPO",'caseload data'!$C:$C,'custody caseload'!$B$64,'caseload data'!$B:$B,"custody")</f>
        <v>0</v>
      </c>
      <c r="K75" s="107">
        <f>SUMIFS('caseload data'!M:M,'caseload data'!$D:$D,"TPO",'caseload data'!$C:$C,'custody caseload'!$B$64,'caseload data'!$B:$B,"custody")</f>
        <v>0</v>
      </c>
      <c r="L75" s="107">
        <f>SUMIFS('caseload data'!N:N,'caseload data'!$D:$D,"TPO",'caseload data'!$C:$C,'custody caseload'!$B$64,'caseload data'!$B:$B,"custody")</f>
        <v>0</v>
      </c>
      <c r="M75" s="107">
        <f>SUMIFS('caseload data'!O:O,'caseload data'!$D:$D,"TPO",'caseload data'!$C:$C,'custody caseload'!$B$64,'caseload data'!$B:$B,"custody")</f>
        <v>0</v>
      </c>
      <c r="N75" s="107">
        <f>SUMIFS('caseload data'!P:P,'caseload data'!$D:$D,"TPO",'caseload data'!$C:$C,'custody caseload'!$B$64,'caseload data'!$B:$B,"custody")</f>
        <v>0</v>
      </c>
      <c r="O75" s="107">
        <f>SUMIFS('caseload data'!Q:Q,'caseload data'!$D:$D,"TPO",'caseload data'!$C:$C,'custody caseload'!$B$64,'caseload data'!$B:$B,"custody")</f>
        <v>0</v>
      </c>
      <c r="P75" s="107">
        <f>SUMIFS('caseload data'!R:R,'caseload data'!$D:$D,"TPO",'caseload data'!$C:$C,'custody caseload'!$B$64,'caseload data'!$B:$B,"custody")</f>
        <v>0</v>
      </c>
      <c r="Q75" s="107">
        <f>SUMIFS('caseload data'!S:S,'caseload data'!$D:$D,"TPO",'caseload data'!$C:$C,'custody caseload'!$B$64,'caseload data'!$B:$B,"custody")</f>
        <v>0</v>
      </c>
      <c r="R75" s="107">
        <f>SUMIFS('caseload data'!T:T,'caseload data'!$D:$D,"TPO",'caseload data'!$C:$C,'custody caseload'!$B$64,'caseload data'!$B:$B,"custody")</f>
        <v>0</v>
      </c>
    </row>
    <row r="76" spans="2:36" x14ac:dyDescent="0.15">
      <c r="B76" s="111" t="s">
        <v>1040</v>
      </c>
      <c r="C76" s="107">
        <f>SUMIFS('caseload data'!E:E,'caseload data'!$D:$D,"SPO",'caseload data'!$C:$C,'custody caseload'!$B$64,'caseload data'!$B:$B,"custody")</f>
        <v>0</v>
      </c>
      <c r="D76" s="107">
        <f>SUMIFS('caseload data'!F:F,'caseload data'!$D:$D,"SPO",'caseload data'!$C:$C,'custody caseload'!$B$64,'caseload data'!$B:$B,"custody")</f>
        <v>0</v>
      </c>
      <c r="E76" s="107">
        <f>SUMIFS('caseload data'!G:G,'caseload data'!$D:$D,"SPO",'caseload data'!$C:$C,'custody caseload'!$B$64,'caseload data'!$B:$B,"custody")</f>
        <v>0</v>
      </c>
      <c r="F76" s="107">
        <f>SUMIFS('caseload data'!H:H,'caseload data'!$D:$D,"SPO",'caseload data'!$C:$C,'custody caseload'!$B$64,'caseload data'!$B:$B,"custody")</f>
        <v>0</v>
      </c>
      <c r="G76" s="107">
        <f>SUMIFS('caseload data'!I:I,'caseload data'!$D:$D,"SPO",'caseload data'!$C:$C,'custody caseload'!$B$64,'caseload data'!$B:$B,"custody")</f>
        <v>0</v>
      </c>
      <c r="H76" s="107">
        <f>SUMIFS('caseload data'!J:J,'caseload data'!$D:$D,"SPO",'caseload data'!$C:$C,'custody caseload'!$B$64,'caseload data'!$B:$B,"custody")</f>
        <v>0</v>
      </c>
      <c r="I76" s="107">
        <f>SUMIFS('caseload data'!K:K,'caseload data'!$D:$D,"SPO",'caseload data'!$C:$C,'custody caseload'!$B$64,'caseload data'!$B:$B,"custody")</f>
        <v>0</v>
      </c>
      <c r="J76" s="107">
        <f>SUMIFS('caseload data'!L:L,'caseload data'!$D:$D,"SPO",'caseload data'!$C:$C,'custody caseload'!$B$64,'caseload data'!$B:$B,"custody")</f>
        <v>0</v>
      </c>
      <c r="K76" s="107">
        <f>SUMIFS('caseload data'!M:M,'caseload data'!$D:$D,"SPO",'caseload data'!$C:$C,'custody caseload'!$B$64,'caseload data'!$B:$B,"custody")</f>
        <v>0</v>
      </c>
      <c r="L76" s="107">
        <f>SUMIFS('caseload data'!N:N,'caseload data'!$D:$D,"SPO",'caseload data'!$C:$C,'custody caseload'!$B$64,'caseload data'!$B:$B,"custody")</f>
        <v>0</v>
      </c>
      <c r="M76" s="107">
        <f>SUMIFS('caseload data'!O:O,'caseload data'!$D:$D,"SPO",'caseload data'!$C:$C,'custody caseload'!$B$64,'caseload data'!$B:$B,"custody")</f>
        <v>0</v>
      </c>
      <c r="N76" s="107">
        <f>SUMIFS('caseload data'!P:P,'caseload data'!$D:$D,"SPO",'caseload data'!$C:$C,'custody caseload'!$B$64,'caseload data'!$B:$B,"custody")</f>
        <v>0</v>
      </c>
      <c r="O76" s="107">
        <f>SUMIFS('caseload data'!Q:Q,'caseload data'!$D:$D,"SPO",'caseload data'!$C:$C,'custody caseload'!$B$64,'caseload data'!$B:$B,"custody")</f>
        <v>0</v>
      </c>
      <c r="P76" s="107">
        <f>SUMIFS('caseload data'!R:R,'caseload data'!$D:$D,"SPO",'caseload data'!$C:$C,'custody caseload'!$B$64,'caseload data'!$B:$B,"custody")</f>
        <v>0</v>
      </c>
      <c r="Q76" s="107">
        <f>SUMIFS('caseload data'!S:S,'caseload data'!$D:$D,"SPO",'caseload data'!$C:$C,'custody caseload'!$B$64,'caseload data'!$B:$B,"custody")</f>
        <v>0</v>
      </c>
      <c r="R76" s="107">
        <f>SUMIFS('caseload data'!T:T,'caseload data'!$D:$D,"SPO",'caseload data'!$C:$C,'custody caseload'!$B$64,'caseload data'!$B:$B,"custody")</f>
        <v>0</v>
      </c>
    </row>
  </sheetData>
  <mergeCells count="40">
    <mergeCell ref="C71:O71"/>
    <mergeCell ref="P71:R71"/>
    <mergeCell ref="C64:O64"/>
    <mergeCell ref="P64:R64"/>
    <mergeCell ref="U64:AG64"/>
    <mergeCell ref="AH64:AJ64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  <mergeCell ref="C29:O29"/>
    <mergeCell ref="P29:R29"/>
    <mergeCell ref="U29:AG29"/>
    <mergeCell ref="AH29:AJ29"/>
    <mergeCell ref="C36:O36"/>
    <mergeCell ref="P36:R36"/>
    <mergeCell ref="U36:AG36"/>
    <mergeCell ref="AH36:AJ36"/>
    <mergeCell ref="C15:O15"/>
    <mergeCell ref="P15:R15"/>
    <mergeCell ref="U15:AG15"/>
    <mergeCell ref="AH15:AJ15"/>
    <mergeCell ref="C22:O22"/>
    <mergeCell ref="P22:R22"/>
    <mergeCell ref="U22:AG22"/>
    <mergeCell ref="AH22:AJ22"/>
    <mergeCell ref="C8:O8"/>
    <mergeCell ref="P8:R8"/>
    <mergeCell ref="U8:AG8"/>
    <mergeCell ref="AH8:AJ8"/>
    <mergeCell ref="A1:AX1"/>
    <mergeCell ref="A2:AX2"/>
  </mergeCells>
  <conditionalFormatting sqref="C11:C12">
    <cfRule type="cellIs" dxfId="2133" priority="609" operator="equal">
      <formula>0</formula>
    </cfRule>
    <cfRule type="cellIs" dxfId="2132" priority="610" operator="notEqual">
      <formula>0</formula>
    </cfRule>
  </conditionalFormatting>
  <conditionalFormatting sqref="D11:D12">
    <cfRule type="cellIs" dxfId="2131" priority="607" operator="equal">
      <formula>0</formula>
    </cfRule>
    <cfRule type="cellIs" dxfId="2130" priority="608" operator="notEqual">
      <formula>0</formula>
    </cfRule>
  </conditionalFormatting>
  <conditionalFormatting sqref="E11:E12">
    <cfRule type="cellIs" dxfId="2129" priority="605" operator="equal">
      <formula>0</formula>
    </cfRule>
    <cfRule type="cellIs" dxfId="2128" priority="606" operator="notEqual">
      <formula>0</formula>
    </cfRule>
  </conditionalFormatting>
  <conditionalFormatting sqref="F11:F12">
    <cfRule type="cellIs" dxfId="2127" priority="603" operator="equal">
      <formula>0</formula>
    </cfRule>
    <cfRule type="cellIs" dxfId="2126" priority="604" operator="notEqual">
      <formula>0</formula>
    </cfRule>
  </conditionalFormatting>
  <conditionalFormatting sqref="G11:G12">
    <cfRule type="cellIs" dxfId="2125" priority="599" operator="equal">
      <formula>0</formula>
    </cfRule>
    <cfRule type="cellIs" dxfId="2124" priority="600" operator="notEqual">
      <formula>0</formula>
    </cfRule>
  </conditionalFormatting>
  <conditionalFormatting sqref="H11:H12">
    <cfRule type="cellIs" dxfId="2123" priority="597" operator="equal">
      <formula>0</formula>
    </cfRule>
    <cfRule type="cellIs" dxfId="2122" priority="598" operator="notEqual">
      <formula>0</formula>
    </cfRule>
  </conditionalFormatting>
  <conditionalFormatting sqref="I11:I12">
    <cfRule type="cellIs" dxfId="2121" priority="595" operator="equal">
      <formula>0</formula>
    </cfRule>
    <cfRule type="cellIs" dxfId="2120" priority="596" operator="notEqual">
      <formula>0</formula>
    </cfRule>
  </conditionalFormatting>
  <conditionalFormatting sqref="J11:J12">
    <cfRule type="cellIs" dxfId="2119" priority="593" operator="equal">
      <formula>0</formula>
    </cfRule>
    <cfRule type="cellIs" dxfId="2118" priority="594" operator="notEqual">
      <formula>0</formula>
    </cfRule>
  </conditionalFormatting>
  <conditionalFormatting sqref="O10">
    <cfRule type="cellIs" dxfId="2117" priority="591" operator="equal">
      <formula>0</formula>
    </cfRule>
    <cfRule type="cellIs" dxfId="2116" priority="592" operator="notEqual">
      <formula>0</formula>
    </cfRule>
  </conditionalFormatting>
  <conditionalFormatting sqref="O13">
    <cfRule type="cellIs" dxfId="2115" priority="589" operator="equal">
      <formula>0</formula>
    </cfRule>
    <cfRule type="cellIs" dxfId="2114" priority="590" operator="notEqual">
      <formula>0</formula>
    </cfRule>
  </conditionalFormatting>
  <conditionalFormatting sqref="P10">
    <cfRule type="cellIs" dxfId="2113" priority="587" operator="equal">
      <formula>0</formula>
    </cfRule>
    <cfRule type="cellIs" dxfId="2112" priority="588" operator="notEqual">
      <formula>0</formula>
    </cfRule>
  </conditionalFormatting>
  <conditionalFormatting sqref="P13">
    <cfRule type="cellIs" dxfId="2111" priority="585" operator="equal">
      <formula>0</formula>
    </cfRule>
    <cfRule type="cellIs" dxfId="2110" priority="586" operator="notEqual">
      <formula>0</formula>
    </cfRule>
  </conditionalFormatting>
  <conditionalFormatting sqref="Q10">
    <cfRule type="cellIs" dxfId="2109" priority="583" operator="equal">
      <formula>0</formula>
    </cfRule>
    <cfRule type="cellIs" dxfId="2108" priority="584" operator="notEqual">
      <formula>0</formula>
    </cfRule>
  </conditionalFormatting>
  <conditionalFormatting sqref="Q13">
    <cfRule type="cellIs" dxfId="2107" priority="581" operator="equal">
      <formula>0</formula>
    </cfRule>
    <cfRule type="cellIs" dxfId="2106" priority="582" operator="notEqual">
      <formula>0</formula>
    </cfRule>
  </conditionalFormatting>
  <conditionalFormatting sqref="R10">
    <cfRule type="cellIs" dxfId="2105" priority="579" operator="equal">
      <formula>0</formula>
    </cfRule>
    <cfRule type="cellIs" dxfId="2104" priority="580" operator="notEqual">
      <formula>0</formula>
    </cfRule>
  </conditionalFormatting>
  <conditionalFormatting sqref="R13">
    <cfRule type="cellIs" dxfId="2103" priority="577" operator="equal">
      <formula>0</formula>
    </cfRule>
    <cfRule type="cellIs" dxfId="2102" priority="578" operator="notEqual">
      <formula>0</formula>
    </cfRule>
  </conditionalFormatting>
  <conditionalFormatting sqref="C18:C19">
    <cfRule type="cellIs" dxfId="2101" priority="575" operator="equal">
      <formula>0</formula>
    </cfRule>
    <cfRule type="cellIs" dxfId="2100" priority="576" operator="notEqual">
      <formula>0</formula>
    </cfRule>
  </conditionalFormatting>
  <conditionalFormatting sqref="D18:D19">
    <cfRule type="cellIs" dxfId="2099" priority="573" operator="equal">
      <formula>0</formula>
    </cfRule>
    <cfRule type="cellIs" dxfId="2098" priority="574" operator="notEqual">
      <formula>0</formula>
    </cfRule>
  </conditionalFormatting>
  <conditionalFormatting sqref="E18:E19">
    <cfRule type="cellIs" dxfId="2097" priority="571" operator="equal">
      <formula>0</formula>
    </cfRule>
    <cfRule type="cellIs" dxfId="2096" priority="572" operator="notEqual">
      <formula>0</formula>
    </cfRule>
  </conditionalFormatting>
  <conditionalFormatting sqref="F18:F19">
    <cfRule type="cellIs" dxfId="2095" priority="569" operator="equal">
      <formula>0</formula>
    </cfRule>
    <cfRule type="cellIs" dxfId="2094" priority="570" operator="notEqual">
      <formula>0</formula>
    </cfRule>
  </conditionalFormatting>
  <conditionalFormatting sqref="G18:G19">
    <cfRule type="cellIs" dxfId="2093" priority="567" operator="equal">
      <formula>0</formula>
    </cfRule>
    <cfRule type="cellIs" dxfId="2092" priority="568" operator="notEqual">
      <formula>0</formula>
    </cfRule>
  </conditionalFormatting>
  <conditionalFormatting sqref="H18:H19">
    <cfRule type="cellIs" dxfId="2091" priority="565" operator="equal">
      <formula>0</formula>
    </cfRule>
    <cfRule type="cellIs" dxfId="2090" priority="566" operator="notEqual">
      <formula>0</formula>
    </cfRule>
  </conditionalFormatting>
  <conditionalFormatting sqref="I18:I19">
    <cfRule type="cellIs" dxfId="2089" priority="563" operator="equal">
      <formula>0</formula>
    </cfRule>
    <cfRule type="cellIs" dxfId="2088" priority="564" operator="notEqual">
      <formula>0</formula>
    </cfRule>
  </conditionalFormatting>
  <conditionalFormatting sqref="J18:J19">
    <cfRule type="cellIs" dxfId="2087" priority="561" operator="equal">
      <formula>0</formula>
    </cfRule>
    <cfRule type="cellIs" dxfId="2086" priority="562" operator="notEqual">
      <formula>0</formula>
    </cfRule>
  </conditionalFormatting>
  <conditionalFormatting sqref="O17">
    <cfRule type="cellIs" dxfId="2085" priority="559" operator="equal">
      <formula>0</formula>
    </cfRule>
    <cfRule type="cellIs" dxfId="2084" priority="560" operator="notEqual">
      <formula>0</formula>
    </cfRule>
  </conditionalFormatting>
  <conditionalFormatting sqref="O20">
    <cfRule type="cellIs" dxfId="2083" priority="557" operator="equal">
      <formula>0</formula>
    </cfRule>
    <cfRule type="cellIs" dxfId="2082" priority="558" operator="notEqual">
      <formula>0</formula>
    </cfRule>
  </conditionalFormatting>
  <conditionalFormatting sqref="P17">
    <cfRule type="cellIs" dxfId="2081" priority="555" operator="equal">
      <formula>0</formula>
    </cfRule>
    <cfRule type="cellIs" dxfId="2080" priority="556" operator="notEqual">
      <formula>0</formula>
    </cfRule>
  </conditionalFormatting>
  <conditionalFormatting sqref="P20">
    <cfRule type="cellIs" dxfId="2079" priority="553" operator="equal">
      <formula>0</formula>
    </cfRule>
    <cfRule type="cellIs" dxfId="2078" priority="554" operator="notEqual">
      <formula>0</formula>
    </cfRule>
  </conditionalFormatting>
  <conditionalFormatting sqref="Q17">
    <cfRule type="cellIs" dxfId="2077" priority="551" operator="equal">
      <formula>0</formula>
    </cfRule>
    <cfRule type="cellIs" dxfId="2076" priority="552" operator="notEqual">
      <formula>0</formula>
    </cfRule>
  </conditionalFormatting>
  <conditionalFormatting sqref="Q20">
    <cfRule type="cellIs" dxfId="2075" priority="549" operator="equal">
      <formula>0</formula>
    </cfRule>
    <cfRule type="cellIs" dxfId="2074" priority="550" operator="notEqual">
      <formula>0</formula>
    </cfRule>
  </conditionalFormatting>
  <conditionalFormatting sqref="R17">
    <cfRule type="cellIs" dxfId="2073" priority="547" operator="equal">
      <formula>0</formula>
    </cfRule>
    <cfRule type="cellIs" dxfId="2072" priority="548" operator="notEqual">
      <formula>0</formula>
    </cfRule>
  </conditionalFormatting>
  <conditionalFormatting sqref="R20">
    <cfRule type="cellIs" dxfId="2071" priority="545" operator="equal">
      <formula>0</formula>
    </cfRule>
    <cfRule type="cellIs" dxfId="2070" priority="546" operator="notEqual">
      <formula>0</formula>
    </cfRule>
  </conditionalFormatting>
  <conditionalFormatting sqref="C25:C26">
    <cfRule type="cellIs" dxfId="2069" priority="543" operator="equal">
      <formula>0</formula>
    </cfRule>
    <cfRule type="cellIs" dxfId="2068" priority="544" operator="notEqual">
      <formula>0</formula>
    </cfRule>
  </conditionalFormatting>
  <conditionalFormatting sqref="D25:D26">
    <cfRule type="cellIs" dxfId="2067" priority="541" operator="equal">
      <formula>0</formula>
    </cfRule>
    <cfRule type="cellIs" dxfId="2066" priority="542" operator="notEqual">
      <formula>0</formula>
    </cfRule>
  </conditionalFormatting>
  <conditionalFormatting sqref="E25:E26">
    <cfRule type="cellIs" dxfId="2065" priority="539" operator="equal">
      <formula>0</formula>
    </cfRule>
    <cfRule type="cellIs" dxfId="2064" priority="540" operator="notEqual">
      <formula>0</formula>
    </cfRule>
  </conditionalFormatting>
  <conditionalFormatting sqref="F25:F26">
    <cfRule type="cellIs" dxfId="2063" priority="537" operator="equal">
      <formula>0</formula>
    </cfRule>
    <cfRule type="cellIs" dxfId="2062" priority="538" operator="notEqual">
      <formula>0</formula>
    </cfRule>
  </conditionalFormatting>
  <conditionalFormatting sqref="G25:G26">
    <cfRule type="cellIs" dxfId="2061" priority="535" operator="equal">
      <formula>0</formula>
    </cfRule>
    <cfRule type="cellIs" dxfId="2060" priority="536" operator="notEqual">
      <formula>0</formula>
    </cfRule>
  </conditionalFormatting>
  <conditionalFormatting sqref="H25:H26">
    <cfRule type="cellIs" dxfId="2059" priority="533" operator="equal">
      <formula>0</formula>
    </cfRule>
    <cfRule type="cellIs" dxfId="2058" priority="534" operator="notEqual">
      <formula>0</formula>
    </cfRule>
  </conditionalFormatting>
  <conditionalFormatting sqref="I25:I26">
    <cfRule type="cellIs" dxfId="2057" priority="531" operator="equal">
      <formula>0</formula>
    </cfRule>
    <cfRule type="cellIs" dxfId="2056" priority="532" operator="notEqual">
      <formula>0</formula>
    </cfRule>
  </conditionalFormatting>
  <conditionalFormatting sqref="J25:J26">
    <cfRule type="cellIs" dxfId="2055" priority="529" operator="equal">
      <formula>0</formula>
    </cfRule>
    <cfRule type="cellIs" dxfId="2054" priority="530" operator="notEqual">
      <formula>0</formula>
    </cfRule>
  </conditionalFormatting>
  <conditionalFormatting sqref="O24">
    <cfRule type="cellIs" dxfId="2053" priority="527" operator="equal">
      <formula>0</formula>
    </cfRule>
    <cfRule type="cellIs" dxfId="2052" priority="528" operator="notEqual">
      <formula>0</formula>
    </cfRule>
  </conditionalFormatting>
  <conditionalFormatting sqref="O27">
    <cfRule type="cellIs" dxfId="2051" priority="525" operator="equal">
      <formula>0</formula>
    </cfRule>
    <cfRule type="cellIs" dxfId="2050" priority="526" operator="notEqual">
      <formula>0</formula>
    </cfRule>
  </conditionalFormatting>
  <conditionalFormatting sqref="P24">
    <cfRule type="cellIs" dxfId="2049" priority="523" operator="equal">
      <formula>0</formula>
    </cfRule>
    <cfRule type="cellIs" dxfId="2048" priority="524" operator="notEqual">
      <formula>0</formula>
    </cfRule>
  </conditionalFormatting>
  <conditionalFormatting sqref="P27">
    <cfRule type="cellIs" dxfId="2047" priority="521" operator="equal">
      <formula>0</formula>
    </cfRule>
    <cfRule type="cellIs" dxfId="2046" priority="522" operator="notEqual">
      <formula>0</formula>
    </cfRule>
  </conditionalFormatting>
  <conditionalFormatting sqref="Q24">
    <cfRule type="cellIs" dxfId="2045" priority="519" operator="equal">
      <formula>0</formula>
    </cfRule>
    <cfRule type="cellIs" dxfId="2044" priority="520" operator="notEqual">
      <formula>0</formula>
    </cfRule>
  </conditionalFormatting>
  <conditionalFormatting sqref="Q27">
    <cfRule type="cellIs" dxfId="2043" priority="517" operator="equal">
      <formula>0</formula>
    </cfRule>
    <cfRule type="cellIs" dxfId="2042" priority="518" operator="notEqual">
      <formula>0</formula>
    </cfRule>
  </conditionalFormatting>
  <conditionalFormatting sqref="R24">
    <cfRule type="cellIs" dxfId="2041" priority="515" operator="equal">
      <formula>0</formula>
    </cfRule>
    <cfRule type="cellIs" dxfId="2040" priority="516" operator="notEqual">
      <formula>0</formula>
    </cfRule>
  </conditionalFormatting>
  <conditionalFormatting sqref="R27">
    <cfRule type="cellIs" dxfId="2039" priority="513" operator="equal">
      <formula>0</formula>
    </cfRule>
    <cfRule type="cellIs" dxfId="2038" priority="514" operator="notEqual">
      <formula>0</formula>
    </cfRule>
  </conditionalFormatting>
  <conditionalFormatting sqref="C32:C33">
    <cfRule type="cellIs" dxfId="2037" priority="511" operator="equal">
      <formula>0</formula>
    </cfRule>
    <cfRule type="cellIs" dxfId="2036" priority="512" operator="notEqual">
      <formula>0</formula>
    </cfRule>
  </conditionalFormatting>
  <conditionalFormatting sqref="D32:D33">
    <cfRule type="cellIs" dxfId="2035" priority="509" operator="equal">
      <formula>0</formula>
    </cfRule>
    <cfRule type="cellIs" dxfId="2034" priority="510" operator="notEqual">
      <formula>0</formula>
    </cfRule>
  </conditionalFormatting>
  <conditionalFormatting sqref="E32:E33">
    <cfRule type="cellIs" dxfId="2033" priority="507" operator="equal">
      <formula>0</formula>
    </cfRule>
    <cfRule type="cellIs" dxfId="2032" priority="508" operator="notEqual">
      <formula>0</formula>
    </cfRule>
  </conditionalFormatting>
  <conditionalFormatting sqref="F32:F33">
    <cfRule type="cellIs" dxfId="2031" priority="505" operator="equal">
      <formula>0</formula>
    </cfRule>
    <cfRule type="cellIs" dxfId="2030" priority="506" operator="notEqual">
      <formula>0</formula>
    </cfRule>
  </conditionalFormatting>
  <conditionalFormatting sqref="G32:G33">
    <cfRule type="cellIs" dxfId="2029" priority="503" operator="equal">
      <formula>0</formula>
    </cfRule>
    <cfRule type="cellIs" dxfId="2028" priority="504" operator="notEqual">
      <formula>0</formula>
    </cfRule>
  </conditionalFormatting>
  <conditionalFormatting sqref="H32:H33">
    <cfRule type="cellIs" dxfId="2027" priority="501" operator="equal">
      <formula>0</formula>
    </cfRule>
    <cfRule type="cellIs" dxfId="2026" priority="502" operator="notEqual">
      <formula>0</formula>
    </cfRule>
  </conditionalFormatting>
  <conditionalFormatting sqref="I32:I33">
    <cfRule type="cellIs" dxfId="2025" priority="499" operator="equal">
      <formula>0</formula>
    </cfRule>
    <cfRule type="cellIs" dxfId="2024" priority="500" operator="notEqual">
      <formula>0</formula>
    </cfRule>
  </conditionalFormatting>
  <conditionalFormatting sqref="J32:J33">
    <cfRule type="cellIs" dxfId="2023" priority="497" operator="equal">
      <formula>0</formula>
    </cfRule>
    <cfRule type="cellIs" dxfId="2022" priority="498" operator="notEqual">
      <formula>0</formula>
    </cfRule>
  </conditionalFormatting>
  <conditionalFormatting sqref="O31">
    <cfRule type="cellIs" dxfId="2021" priority="495" operator="equal">
      <formula>0</formula>
    </cfRule>
    <cfRule type="cellIs" dxfId="2020" priority="496" operator="notEqual">
      <formula>0</formula>
    </cfRule>
  </conditionalFormatting>
  <conditionalFormatting sqref="O34">
    <cfRule type="cellIs" dxfId="2019" priority="493" operator="equal">
      <formula>0</formula>
    </cfRule>
    <cfRule type="cellIs" dxfId="2018" priority="494" operator="notEqual">
      <formula>0</formula>
    </cfRule>
  </conditionalFormatting>
  <conditionalFormatting sqref="P31">
    <cfRule type="cellIs" dxfId="2017" priority="491" operator="equal">
      <formula>0</formula>
    </cfRule>
    <cfRule type="cellIs" dxfId="2016" priority="492" operator="notEqual">
      <formula>0</formula>
    </cfRule>
  </conditionalFormatting>
  <conditionalFormatting sqref="P34">
    <cfRule type="cellIs" dxfId="2015" priority="489" operator="equal">
      <formula>0</formula>
    </cfRule>
    <cfRule type="cellIs" dxfId="2014" priority="490" operator="notEqual">
      <formula>0</formula>
    </cfRule>
  </conditionalFormatting>
  <conditionalFormatting sqref="Q31">
    <cfRule type="cellIs" dxfId="2013" priority="487" operator="equal">
      <formula>0</formula>
    </cfRule>
    <cfRule type="cellIs" dxfId="2012" priority="488" operator="notEqual">
      <formula>0</formula>
    </cfRule>
  </conditionalFormatting>
  <conditionalFormatting sqref="Q34">
    <cfRule type="cellIs" dxfId="2011" priority="485" operator="equal">
      <formula>0</formula>
    </cfRule>
    <cfRule type="cellIs" dxfId="2010" priority="486" operator="notEqual">
      <formula>0</formula>
    </cfRule>
  </conditionalFormatting>
  <conditionalFormatting sqref="R31">
    <cfRule type="cellIs" dxfId="2009" priority="483" operator="equal">
      <formula>0</formula>
    </cfRule>
    <cfRule type="cellIs" dxfId="2008" priority="484" operator="notEqual">
      <formula>0</formula>
    </cfRule>
  </conditionalFormatting>
  <conditionalFormatting sqref="R34">
    <cfRule type="cellIs" dxfId="2007" priority="481" operator="equal">
      <formula>0</formula>
    </cfRule>
    <cfRule type="cellIs" dxfId="2006" priority="482" operator="notEqual">
      <formula>0</formula>
    </cfRule>
  </conditionalFormatting>
  <conditionalFormatting sqref="C39:C40">
    <cfRule type="cellIs" dxfId="2005" priority="479" operator="equal">
      <formula>0</formula>
    </cfRule>
    <cfRule type="cellIs" dxfId="2004" priority="480" operator="notEqual">
      <formula>0</formula>
    </cfRule>
  </conditionalFormatting>
  <conditionalFormatting sqref="D39:D40">
    <cfRule type="cellIs" dxfId="2003" priority="477" operator="equal">
      <formula>0</formula>
    </cfRule>
    <cfRule type="cellIs" dxfId="2002" priority="478" operator="notEqual">
      <formula>0</formula>
    </cfRule>
  </conditionalFormatting>
  <conditionalFormatting sqref="E39:E40">
    <cfRule type="cellIs" dxfId="2001" priority="475" operator="equal">
      <formula>0</formula>
    </cfRule>
    <cfRule type="cellIs" dxfId="2000" priority="476" operator="notEqual">
      <formula>0</formula>
    </cfRule>
  </conditionalFormatting>
  <conditionalFormatting sqref="F39:F40">
    <cfRule type="cellIs" dxfId="1999" priority="473" operator="equal">
      <formula>0</formula>
    </cfRule>
    <cfRule type="cellIs" dxfId="1998" priority="474" operator="notEqual">
      <formula>0</formula>
    </cfRule>
  </conditionalFormatting>
  <conditionalFormatting sqref="G39:G40">
    <cfRule type="cellIs" dxfId="1997" priority="471" operator="equal">
      <formula>0</formula>
    </cfRule>
    <cfRule type="cellIs" dxfId="1996" priority="472" operator="notEqual">
      <formula>0</formula>
    </cfRule>
  </conditionalFormatting>
  <conditionalFormatting sqref="H39:H40">
    <cfRule type="cellIs" dxfId="1995" priority="469" operator="equal">
      <formula>0</formula>
    </cfRule>
    <cfRule type="cellIs" dxfId="1994" priority="470" operator="notEqual">
      <formula>0</formula>
    </cfRule>
  </conditionalFormatting>
  <conditionalFormatting sqref="I39:I40">
    <cfRule type="cellIs" dxfId="1993" priority="467" operator="equal">
      <formula>0</formula>
    </cfRule>
    <cfRule type="cellIs" dxfId="1992" priority="468" operator="notEqual">
      <formula>0</formula>
    </cfRule>
  </conditionalFormatting>
  <conditionalFormatting sqref="J39:J40">
    <cfRule type="cellIs" dxfId="1991" priority="465" operator="equal">
      <formula>0</formula>
    </cfRule>
    <cfRule type="cellIs" dxfId="1990" priority="466" operator="notEqual">
      <formula>0</formula>
    </cfRule>
  </conditionalFormatting>
  <conditionalFormatting sqref="O38">
    <cfRule type="cellIs" dxfId="1989" priority="463" operator="equal">
      <formula>0</formula>
    </cfRule>
    <cfRule type="cellIs" dxfId="1988" priority="464" operator="notEqual">
      <formula>0</formula>
    </cfRule>
  </conditionalFormatting>
  <conditionalFormatting sqref="O41">
    <cfRule type="cellIs" dxfId="1987" priority="461" operator="equal">
      <formula>0</formula>
    </cfRule>
    <cfRule type="cellIs" dxfId="1986" priority="462" operator="notEqual">
      <formula>0</formula>
    </cfRule>
  </conditionalFormatting>
  <conditionalFormatting sqref="P38">
    <cfRule type="cellIs" dxfId="1985" priority="459" operator="equal">
      <formula>0</formula>
    </cfRule>
    <cfRule type="cellIs" dxfId="1984" priority="460" operator="notEqual">
      <formula>0</formula>
    </cfRule>
  </conditionalFormatting>
  <conditionalFormatting sqref="P41">
    <cfRule type="cellIs" dxfId="1983" priority="457" operator="equal">
      <formula>0</formula>
    </cfRule>
    <cfRule type="cellIs" dxfId="1982" priority="458" operator="notEqual">
      <formula>0</formula>
    </cfRule>
  </conditionalFormatting>
  <conditionalFormatting sqref="Q38">
    <cfRule type="cellIs" dxfId="1981" priority="455" operator="equal">
      <formula>0</formula>
    </cfRule>
    <cfRule type="cellIs" dxfId="1980" priority="456" operator="notEqual">
      <formula>0</formula>
    </cfRule>
  </conditionalFormatting>
  <conditionalFormatting sqref="Q41">
    <cfRule type="cellIs" dxfId="1979" priority="453" operator="equal">
      <formula>0</formula>
    </cfRule>
    <cfRule type="cellIs" dxfId="1978" priority="454" operator="notEqual">
      <formula>0</formula>
    </cfRule>
  </conditionalFormatting>
  <conditionalFormatting sqref="R38">
    <cfRule type="cellIs" dxfId="1977" priority="451" operator="equal">
      <formula>0</formula>
    </cfRule>
    <cfRule type="cellIs" dxfId="1976" priority="452" operator="notEqual">
      <formula>0</formula>
    </cfRule>
  </conditionalFormatting>
  <conditionalFormatting sqref="R41">
    <cfRule type="cellIs" dxfId="1975" priority="449" operator="equal">
      <formula>0</formula>
    </cfRule>
    <cfRule type="cellIs" dxfId="1974" priority="450" operator="notEqual">
      <formula>0</formula>
    </cfRule>
  </conditionalFormatting>
  <conditionalFormatting sqref="C46:C47">
    <cfRule type="cellIs" dxfId="1973" priority="447" operator="equal">
      <formula>0</formula>
    </cfRule>
    <cfRule type="cellIs" dxfId="1972" priority="448" operator="notEqual">
      <formula>0</formula>
    </cfRule>
  </conditionalFormatting>
  <conditionalFormatting sqref="D46:D47">
    <cfRule type="cellIs" dxfId="1971" priority="445" operator="equal">
      <formula>0</formula>
    </cfRule>
    <cfRule type="cellIs" dxfId="1970" priority="446" operator="notEqual">
      <formula>0</formula>
    </cfRule>
  </conditionalFormatting>
  <conditionalFormatting sqref="E46:E47">
    <cfRule type="cellIs" dxfId="1969" priority="443" operator="equal">
      <formula>0</formula>
    </cfRule>
    <cfRule type="cellIs" dxfId="1968" priority="444" operator="notEqual">
      <formula>0</formula>
    </cfRule>
  </conditionalFormatting>
  <conditionalFormatting sqref="F46:F47">
    <cfRule type="cellIs" dxfId="1967" priority="441" operator="equal">
      <formula>0</formula>
    </cfRule>
    <cfRule type="cellIs" dxfId="1966" priority="442" operator="notEqual">
      <formula>0</formula>
    </cfRule>
  </conditionalFormatting>
  <conditionalFormatting sqref="G46:G47">
    <cfRule type="cellIs" dxfId="1965" priority="439" operator="equal">
      <formula>0</formula>
    </cfRule>
    <cfRule type="cellIs" dxfId="1964" priority="440" operator="notEqual">
      <formula>0</formula>
    </cfRule>
  </conditionalFormatting>
  <conditionalFormatting sqref="H46:H47">
    <cfRule type="cellIs" dxfId="1963" priority="437" operator="equal">
      <formula>0</formula>
    </cfRule>
    <cfRule type="cellIs" dxfId="1962" priority="438" operator="notEqual">
      <formula>0</formula>
    </cfRule>
  </conditionalFormatting>
  <conditionalFormatting sqref="I46:I47">
    <cfRule type="cellIs" dxfId="1961" priority="435" operator="equal">
      <formula>0</formula>
    </cfRule>
    <cfRule type="cellIs" dxfId="1960" priority="436" operator="notEqual">
      <formula>0</formula>
    </cfRule>
  </conditionalFormatting>
  <conditionalFormatting sqref="J46:J47">
    <cfRule type="cellIs" dxfId="1959" priority="433" operator="equal">
      <formula>0</formula>
    </cfRule>
    <cfRule type="cellIs" dxfId="1958" priority="434" operator="notEqual">
      <formula>0</formula>
    </cfRule>
  </conditionalFormatting>
  <conditionalFormatting sqref="O45">
    <cfRule type="cellIs" dxfId="1957" priority="431" operator="equal">
      <formula>0</formula>
    </cfRule>
    <cfRule type="cellIs" dxfId="1956" priority="432" operator="notEqual">
      <formula>0</formula>
    </cfRule>
  </conditionalFormatting>
  <conditionalFormatting sqref="O48">
    <cfRule type="cellIs" dxfId="1955" priority="429" operator="equal">
      <formula>0</formula>
    </cfRule>
    <cfRule type="cellIs" dxfId="1954" priority="430" operator="notEqual">
      <formula>0</formula>
    </cfRule>
  </conditionalFormatting>
  <conditionalFormatting sqref="P45">
    <cfRule type="cellIs" dxfId="1953" priority="427" operator="equal">
      <formula>0</formula>
    </cfRule>
    <cfRule type="cellIs" dxfId="1952" priority="428" operator="notEqual">
      <formula>0</formula>
    </cfRule>
  </conditionalFormatting>
  <conditionalFormatting sqref="P48">
    <cfRule type="cellIs" dxfId="1951" priority="425" operator="equal">
      <formula>0</formula>
    </cfRule>
    <cfRule type="cellIs" dxfId="1950" priority="426" operator="notEqual">
      <formula>0</formula>
    </cfRule>
  </conditionalFormatting>
  <conditionalFormatting sqref="Q45">
    <cfRule type="cellIs" dxfId="1949" priority="423" operator="equal">
      <formula>0</formula>
    </cfRule>
    <cfRule type="cellIs" dxfId="1948" priority="424" operator="notEqual">
      <formula>0</formula>
    </cfRule>
  </conditionalFormatting>
  <conditionalFormatting sqref="Q48">
    <cfRule type="cellIs" dxfId="1947" priority="421" operator="equal">
      <formula>0</formula>
    </cfRule>
    <cfRule type="cellIs" dxfId="1946" priority="422" operator="notEqual">
      <formula>0</formula>
    </cfRule>
  </conditionalFormatting>
  <conditionalFormatting sqref="R45">
    <cfRule type="cellIs" dxfId="1945" priority="419" operator="equal">
      <formula>0</formula>
    </cfRule>
    <cfRule type="cellIs" dxfId="1944" priority="420" operator="notEqual">
      <formula>0</formula>
    </cfRule>
  </conditionalFormatting>
  <conditionalFormatting sqref="R48">
    <cfRule type="cellIs" dxfId="1943" priority="417" operator="equal">
      <formula>0</formula>
    </cfRule>
    <cfRule type="cellIs" dxfId="1942" priority="418" operator="notEqual">
      <formula>0</formula>
    </cfRule>
  </conditionalFormatting>
  <conditionalFormatting sqref="C53:C54">
    <cfRule type="cellIs" dxfId="1941" priority="415" operator="equal">
      <formula>0</formula>
    </cfRule>
    <cfRule type="cellIs" dxfId="1940" priority="416" operator="notEqual">
      <formula>0</formula>
    </cfRule>
  </conditionalFormatting>
  <conditionalFormatting sqref="D53:D54">
    <cfRule type="cellIs" dxfId="1939" priority="413" operator="equal">
      <formula>0</formula>
    </cfRule>
    <cfRule type="cellIs" dxfId="1938" priority="414" operator="notEqual">
      <formula>0</formula>
    </cfRule>
  </conditionalFormatting>
  <conditionalFormatting sqref="E53:E54">
    <cfRule type="cellIs" dxfId="1937" priority="411" operator="equal">
      <formula>0</formula>
    </cfRule>
    <cfRule type="cellIs" dxfId="1936" priority="412" operator="notEqual">
      <formula>0</formula>
    </cfRule>
  </conditionalFormatting>
  <conditionalFormatting sqref="F53:F54">
    <cfRule type="cellIs" dxfId="1935" priority="409" operator="equal">
      <formula>0</formula>
    </cfRule>
    <cfRule type="cellIs" dxfId="1934" priority="410" operator="notEqual">
      <formula>0</formula>
    </cfRule>
  </conditionalFormatting>
  <conditionalFormatting sqref="G53:G54">
    <cfRule type="cellIs" dxfId="1933" priority="407" operator="equal">
      <formula>0</formula>
    </cfRule>
    <cfRule type="cellIs" dxfId="1932" priority="408" operator="notEqual">
      <formula>0</formula>
    </cfRule>
  </conditionalFormatting>
  <conditionalFormatting sqref="H53:H54">
    <cfRule type="cellIs" dxfId="1931" priority="405" operator="equal">
      <formula>0</formula>
    </cfRule>
    <cfRule type="cellIs" dxfId="1930" priority="406" operator="notEqual">
      <formula>0</formula>
    </cfRule>
  </conditionalFormatting>
  <conditionalFormatting sqref="I53:I54">
    <cfRule type="cellIs" dxfId="1929" priority="403" operator="equal">
      <formula>0</formula>
    </cfRule>
    <cfRule type="cellIs" dxfId="1928" priority="404" operator="notEqual">
      <formula>0</formula>
    </cfRule>
  </conditionalFormatting>
  <conditionalFormatting sqref="J53:J54">
    <cfRule type="cellIs" dxfId="1927" priority="401" operator="equal">
      <formula>0</formula>
    </cfRule>
    <cfRule type="cellIs" dxfId="1926" priority="402" operator="notEqual">
      <formula>0</formula>
    </cfRule>
  </conditionalFormatting>
  <conditionalFormatting sqref="O52">
    <cfRule type="cellIs" dxfId="1925" priority="399" operator="equal">
      <formula>0</formula>
    </cfRule>
    <cfRule type="cellIs" dxfId="1924" priority="400" operator="notEqual">
      <formula>0</formula>
    </cfRule>
  </conditionalFormatting>
  <conditionalFormatting sqref="O55">
    <cfRule type="cellIs" dxfId="1923" priority="397" operator="equal">
      <formula>0</formula>
    </cfRule>
    <cfRule type="cellIs" dxfId="1922" priority="398" operator="notEqual">
      <formula>0</formula>
    </cfRule>
  </conditionalFormatting>
  <conditionalFormatting sqref="P52">
    <cfRule type="cellIs" dxfId="1921" priority="395" operator="equal">
      <formula>0</formula>
    </cfRule>
    <cfRule type="cellIs" dxfId="1920" priority="396" operator="notEqual">
      <formula>0</formula>
    </cfRule>
  </conditionalFormatting>
  <conditionalFormatting sqref="P55">
    <cfRule type="cellIs" dxfId="1919" priority="393" operator="equal">
      <formula>0</formula>
    </cfRule>
    <cfRule type="cellIs" dxfId="1918" priority="394" operator="notEqual">
      <formula>0</formula>
    </cfRule>
  </conditionalFormatting>
  <conditionalFormatting sqref="Q52">
    <cfRule type="cellIs" dxfId="1917" priority="391" operator="equal">
      <formula>0</formula>
    </cfRule>
    <cfRule type="cellIs" dxfId="1916" priority="392" operator="notEqual">
      <formula>0</formula>
    </cfRule>
  </conditionalFormatting>
  <conditionalFormatting sqref="Q55">
    <cfRule type="cellIs" dxfId="1915" priority="389" operator="equal">
      <formula>0</formula>
    </cfRule>
    <cfRule type="cellIs" dxfId="1914" priority="390" operator="notEqual">
      <formula>0</formula>
    </cfRule>
  </conditionalFormatting>
  <conditionalFormatting sqref="R52">
    <cfRule type="cellIs" dxfId="1913" priority="387" operator="equal">
      <formula>0</formula>
    </cfRule>
    <cfRule type="cellIs" dxfId="1912" priority="388" operator="notEqual">
      <formula>0</formula>
    </cfRule>
  </conditionalFormatting>
  <conditionalFormatting sqref="R55">
    <cfRule type="cellIs" dxfId="1911" priority="385" operator="equal">
      <formula>0</formula>
    </cfRule>
    <cfRule type="cellIs" dxfId="1910" priority="386" operator="notEqual">
      <formula>0</formula>
    </cfRule>
  </conditionalFormatting>
  <conditionalFormatting sqref="C60:C61">
    <cfRule type="cellIs" dxfId="1909" priority="383" operator="equal">
      <formula>0</formula>
    </cfRule>
    <cfRule type="cellIs" dxfId="1908" priority="384" operator="notEqual">
      <formula>0</formula>
    </cfRule>
  </conditionalFormatting>
  <conditionalFormatting sqref="D60:D61">
    <cfRule type="cellIs" dxfId="1907" priority="381" operator="equal">
      <formula>0</formula>
    </cfRule>
    <cfRule type="cellIs" dxfId="1906" priority="382" operator="notEqual">
      <formula>0</formula>
    </cfRule>
  </conditionalFormatting>
  <conditionalFormatting sqref="E60:E61">
    <cfRule type="cellIs" dxfId="1905" priority="379" operator="equal">
      <formula>0</formula>
    </cfRule>
    <cfRule type="cellIs" dxfId="1904" priority="380" operator="notEqual">
      <formula>0</formula>
    </cfRule>
  </conditionalFormatting>
  <conditionalFormatting sqref="F60:F61">
    <cfRule type="cellIs" dxfId="1903" priority="377" operator="equal">
      <formula>0</formula>
    </cfRule>
    <cfRule type="cellIs" dxfId="1902" priority="378" operator="notEqual">
      <formula>0</formula>
    </cfRule>
  </conditionalFormatting>
  <conditionalFormatting sqref="G60:G61">
    <cfRule type="cellIs" dxfId="1901" priority="375" operator="equal">
      <formula>0</formula>
    </cfRule>
    <cfRule type="cellIs" dxfId="1900" priority="376" operator="notEqual">
      <formula>0</formula>
    </cfRule>
  </conditionalFormatting>
  <conditionalFormatting sqref="H60:H61">
    <cfRule type="cellIs" dxfId="1899" priority="373" operator="equal">
      <formula>0</formula>
    </cfRule>
    <cfRule type="cellIs" dxfId="1898" priority="374" operator="notEqual">
      <formula>0</formula>
    </cfRule>
  </conditionalFormatting>
  <conditionalFormatting sqref="I60:I61">
    <cfRule type="cellIs" dxfId="1897" priority="371" operator="equal">
      <formula>0</formula>
    </cfRule>
    <cfRule type="cellIs" dxfId="1896" priority="372" operator="notEqual">
      <formula>0</formula>
    </cfRule>
  </conditionalFormatting>
  <conditionalFormatting sqref="J60:J61">
    <cfRule type="cellIs" dxfId="1895" priority="369" operator="equal">
      <formula>0</formula>
    </cfRule>
    <cfRule type="cellIs" dxfId="1894" priority="370" operator="notEqual">
      <formula>0</formula>
    </cfRule>
  </conditionalFormatting>
  <conditionalFormatting sqref="O59">
    <cfRule type="cellIs" dxfId="1893" priority="367" operator="equal">
      <formula>0</formula>
    </cfRule>
    <cfRule type="cellIs" dxfId="1892" priority="368" operator="notEqual">
      <formula>0</formula>
    </cfRule>
  </conditionalFormatting>
  <conditionalFormatting sqref="O62">
    <cfRule type="cellIs" dxfId="1891" priority="365" operator="equal">
      <formula>0</formula>
    </cfRule>
    <cfRule type="cellIs" dxfId="1890" priority="366" operator="notEqual">
      <formula>0</formula>
    </cfRule>
  </conditionalFormatting>
  <conditionalFormatting sqref="P59">
    <cfRule type="cellIs" dxfId="1889" priority="363" operator="equal">
      <formula>0</formula>
    </cfRule>
    <cfRule type="cellIs" dxfId="1888" priority="364" operator="notEqual">
      <formula>0</formula>
    </cfRule>
  </conditionalFormatting>
  <conditionalFormatting sqref="P62">
    <cfRule type="cellIs" dxfId="1887" priority="361" operator="equal">
      <formula>0</formula>
    </cfRule>
    <cfRule type="cellIs" dxfId="1886" priority="362" operator="notEqual">
      <formula>0</formula>
    </cfRule>
  </conditionalFormatting>
  <conditionalFormatting sqref="Q59">
    <cfRule type="cellIs" dxfId="1885" priority="359" operator="equal">
      <formula>0</formula>
    </cfRule>
    <cfRule type="cellIs" dxfId="1884" priority="360" operator="notEqual">
      <formula>0</formula>
    </cfRule>
  </conditionalFormatting>
  <conditionalFormatting sqref="Q62">
    <cfRule type="cellIs" dxfId="1883" priority="357" operator="equal">
      <formula>0</formula>
    </cfRule>
    <cfRule type="cellIs" dxfId="1882" priority="358" operator="notEqual">
      <formula>0</formula>
    </cfRule>
  </conditionalFormatting>
  <conditionalFormatting sqref="R59">
    <cfRule type="cellIs" dxfId="1881" priority="355" operator="equal">
      <formula>0</formula>
    </cfRule>
    <cfRule type="cellIs" dxfId="1880" priority="356" operator="notEqual">
      <formula>0</formula>
    </cfRule>
  </conditionalFormatting>
  <conditionalFormatting sqref="R62">
    <cfRule type="cellIs" dxfId="1879" priority="353" operator="equal">
      <formula>0</formula>
    </cfRule>
    <cfRule type="cellIs" dxfId="1878" priority="354" operator="notEqual">
      <formula>0</formula>
    </cfRule>
  </conditionalFormatting>
  <conditionalFormatting sqref="C67:C68">
    <cfRule type="cellIs" dxfId="1877" priority="351" operator="equal">
      <formula>0</formula>
    </cfRule>
    <cfRule type="cellIs" dxfId="1876" priority="352" operator="notEqual">
      <formula>0</formula>
    </cfRule>
  </conditionalFormatting>
  <conditionalFormatting sqref="D67:D68">
    <cfRule type="cellIs" dxfId="1875" priority="349" operator="equal">
      <formula>0</formula>
    </cfRule>
    <cfRule type="cellIs" dxfId="1874" priority="350" operator="notEqual">
      <formula>0</formula>
    </cfRule>
  </conditionalFormatting>
  <conditionalFormatting sqref="E67:E68">
    <cfRule type="cellIs" dxfId="1873" priority="347" operator="equal">
      <formula>0</formula>
    </cfRule>
    <cfRule type="cellIs" dxfId="1872" priority="348" operator="notEqual">
      <formula>0</formula>
    </cfRule>
  </conditionalFormatting>
  <conditionalFormatting sqref="F67:F68">
    <cfRule type="cellIs" dxfId="1871" priority="345" operator="equal">
      <formula>0</formula>
    </cfRule>
    <cfRule type="cellIs" dxfId="1870" priority="346" operator="notEqual">
      <formula>0</formula>
    </cfRule>
  </conditionalFormatting>
  <conditionalFormatting sqref="G67:G68">
    <cfRule type="cellIs" dxfId="1869" priority="343" operator="equal">
      <formula>0</formula>
    </cfRule>
    <cfRule type="cellIs" dxfId="1868" priority="344" operator="notEqual">
      <formula>0</formula>
    </cfRule>
  </conditionalFormatting>
  <conditionalFormatting sqref="H67:H68">
    <cfRule type="cellIs" dxfId="1867" priority="341" operator="equal">
      <formula>0</formula>
    </cfRule>
    <cfRule type="cellIs" dxfId="1866" priority="342" operator="notEqual">
      <formula>0</formula>
    </cfRule>
  </conditionalFormatting>
  <conditionalFormatting sqref="I67:I68">
    <cfRule type="cellIs" dxfId="1865" priority="339" operator="equal">
      <formula>0</formula>
    </cfRule>
    <cfRule type="cellIs" dxfId="1864" priority="340" operator="notEqual">
      <formula>0</formula>
    </cfRule>
  </conditionalFormatting>
  <conditionalFormatting sqref="J67:J68">
    <cfRule type="cellIs" dxfId="1863" priority="337" operator="equal">
      <formula>0</formula>
    </cfRule>
    <cfRule type="cellIs" dxfId="1862" priority="338" operator="notEqual">
      <formula>0</formula>
    </cfRule>
  </conditionalFormatting>
  <conditionalFormatting sqref="O66">
    <cfRule type="cellIs" dxfId="1861" priority="335" operator="equal">
      <formula>0</formula>
    </cfRule>
    <cfRule type="cellIs" dxfId="1860" priority="336" operator="notEqual">
      <formula>0</formula>
    </cfRule>
  </conditionalFormatting>
  <conditionalFormatting sqref="O69">
    <cfRule type="cellIs" dxfId="1859" priority="333" operator="equal">
      <formula>0</formula>
    </cfRule>
    <cfRule type="cellIs" dxfId="1858" priority="334" operator="notEqual">
      <formula>0</formula>
    </cfRule>
  </conditionalFormatting>
  <conditionalFormatting sqref="P66">
    <cfRule type="cellIs" dxfId="1857" priority="331" operator="equal">
      <formula>0</formula>
    </cfRule>
    <cfRule type="cellIs" dxfId="1856" priority="332" operator="notEqual">
      <formula>0</formula>
    </cfRule>
  </conditionalFormatting>
  <conditionalFormatting sqref="P69">
    <cfRule type="cellIs" dxfId="1855" priority="329" operator="equal">
      <formula>0</formula>
    </cfRule>
    <cfRule type="cellIs" dxfId="1854" priority="330" operator="notEqual">
      <formula>0</formula>
    </cfRule>
  </conditionalFormatting>
  <conditionalFormatting sqref="Q66">
    <cfRule type="cellIs" dxfId="1853" priority="327" operator="equal">
      <formula>0</formula>
    </cfRule>
    <cfRule type="cellIs" dxfId="1852" priority="328" operator="notEqual">
      <formula>0</formula>
    </cfRule>
  </conditionalFormatting>
  <conditionalFormatting sqref="Q69">
    <cfRule type="cellIs" dxfId="1851" priority="325" operator="equal">
      <formula>0</formula>
    </cfRule>
    <cfRule type="cellIs" dxfId="1850" priority="326" operator="notEqual">
      <formula>0</formula>
    </cfRule>
  </conditionalFormatting>
  <conditionalFormatting sqref="R66">
    <cfRule type="cellIs" dxfId="1849" priority="323" operator="equal">
      <formula>0</formula>
    </cfRule>
    <cfRule type="cellIs" dxfId="1848" priority="324" operator="notEqual">
      <formula>0</formula>
    </cfRule>
  </conditionalFormatting>
  <conditionalFormatting sqref="R69">
    <cfRule type="cellIs" dxfId="1847" priority="321" operator="equal">
      <formula>0</formula>
    </cfRule>
    <cfRule type="cellIs" dxfId="1846" priority="322" operator="notEqual">
      <formula>0</formula>
    </cfRule>
  </conditionalFormatting>
  <conditionalFormatting sqref="C74:C75">
    <cfRule type="cellIs" dxfId="1845" priority="319" operator="equal">
      <formula>0</formula>
    </cfRule>
    <cfRule type="cellIs" dxfId="1844" priority="320" operator="notEqual">
      <formula>0</formula>
    </cfRule>
  </conditionalFormatting>
  <conditionalFormatting sqref="D74:D75">
    <cfRule type="cellIs" dxfId="1843" priority="317" operator="equal">
      <formula>0</formula>
    </cfRule>
    <cfRule type="cellIs" dxfId="1842" priority="318" operator="notEqual">
      <formula>0</formula>
    </cfRule>
  </conditionalFormatting>
  <conditionalFormatting sqref="E74:E75">
    <cfRule type="cellIs" dxfId="1841" priority="315" operator="equal">
      <formula>0</formula>
    </cfRule>
    <cfRule type="cellIs" dxfId="1840" priority="316" operator="notEqual">
      <formula>0</formula>
    </cfRule>
  </conditionalFormatting>
  <conditionalFormatting sqref="F74:F75">
    <cfRule type="cellIs" dxfId="1839" priority="313" operator="equal">
      <formula>0</formula>
    </cfRule>
    <cfRule type="cellIs" dxfId="1838" priority="314" operator="notEqual">
      <formula>0</formula>
    </cfRule>
  </conditionalFormatting>
  <conditionalFormatting sqref="G74:G75">
    <cfRule type="cellIs" dxfId="1837" priority="311" operator="equal">
      <formula>0</formula>
    </cfRule>
    <cfRule type="cellIs" dxfId="1836" priority="312" operator="notEqual">
      <formula>0</formula>
    </cfRule>
  </conditionalFormatting>
  <conditionalFormatting sqref="H74:H75">
    <cfRule type="cellIs" dxfId="1835" priority="309" operator="equal">
      <formula>0</formula>
    </cfRule>
    <cfRule type="cellIs" dxfId="1834" priority="310" operator="notEqual">
      <formula>0</formula>
    </cfRule>
  </conditionalFormatting>
  <conditionalFormatting sqref="I74:I75">
    <cfRule type="cellIs" dxfId="1833" priority="307" operator="equal">
      <formula>0</formula>
    </cfRule>
    <cfRule type="cellIs" dxfId="1832" priority="308" operator="notEqual">
      <formula>0</formula>
    </cfRule>
  </conditionalFormatting>
  <conditionalFormatting sqref="J74:J75">
    <cfRule type="cellIs" dxfId="1831" priority="305" operator="equal">
      <formula>0</formula>
    </cfRule>
    <cfRule type="cellIs" dxfId="1830" priority="306" operator="notEqual">
      <formula>0</formula>
    </cfRule>
  </conditionalFormatting>
  <conditionalFormatting sqref="O73">
    <cfRule type="cellIs" dxfId="1829" priority="303" operator="equal">
      <formula>0</formula>
    </cfRule>
    <cfRule type="cellIs" dxfId="1828" priority="304" operator="notEqual">
      <formula>0</formula>
    </cfRule>
  </conditionalFormatting>
  <conditionalFormatting sqref="O76">
    <cfRule type="cellIs" dxfId="1827" priority="301" operator="equal">
      <formula>0</formula>
    </cfRule>
    <cfRule type="cellIs" dxfId="1826" priority="302" operator="notEqual">
      <formula>0</formula>
    </cfRule>
  </conditionalFormatting>
  <conditionalFormatting sqref="P73">
    <cfRule type="cellIs" dxfId="1825" priority="299" operator="equal">
      <formula>0</formula>
    </cfRule>
    <cfRule type="cellIs" dxfId="1824" priority="300" operator="notEqual">
      <formula>0</formula>
    </cfRule>
  </conditionalFormatting>
  <conditionalFormatting sqref="P76">
    <cfRule type="cellIs" dxfId="1823" priority="297" operator="equal">
      <formula>0</formula>
    </cfRule>
    <cfRule type="cellIs" dxfId="1822" priority="298" operator="notEqual">
      <formula>0</formula>
    </cfRule>
  </conditionalFormatting>
  <conditionalFormatting sqref="Q73">
    <cfRule type="cellIs" dxfId="1821" priority="295" operator="equal">
      <formula>0</formula>
    </cfRule>
    <cfRule type="cellIs" dxfId="1820" priority="296" operator="notEqual">
      <formula>0</formula>
    </cfRule>
  </conditionalFormatting>
  <conditionalFormatting sqref="Q76">
    <cfRule type="cellIs" dxfId="1819" priority="293" operator="equal">
      <formula>0</formula>
    </cfRule>
    <cfRule type="cellIs" dxfId="1818" priority="294" operator="notEqual">
      <formula>0</formula>
    </cfRule>
  </conditionalFormatting>
  <conditionalFormatting sqref="R73">
    <cfRule type="cellIs" dxfId="1817" priority="291" operator="equal">
      <formula>0</formula>
    </cfRule>
    <cfRule type="cellIs" dxfId="1816" priority="292" operator="notEqual">
      <formula>0</formula>
    </cfRule>
  </conditionalFormatting>
  <conditionalFormatting sqref="R76">
    <cfRule type="cellIs" dxfId="1815" priority="289" operator="equal">
      <formula>0</formula>
    </cfRule>
    <cfRule type="cellIs" dxfId="1814" priority="290" operator="notEqual">
      <formula>0</formula>
    </cfRule>
  </conditionalFormatting>
  <conditionalFormatting sqref="U67:U68">
    <cfRule type="cellIs" dxfId="1813" priority="287" operator="equal">
      <formula>0</formula>
    </cfRule>
    <cfRule type="cellIs" dxfId="1812" priority="288" operator="notEqual">
      <formula>0</formula>
    </cfRule>
  </conditionalFormatting>
  <conditionalFormatting sqref="V67:V68">
    <cfRule type="cellIs" dxfId="1811" priority="285" operator="equal">
      <formula>0</formula>
    </cfRule>
    <cfRule type="cellIs" dxfId="1810" priority="286" operator="notEqual">
      <formula>0</formula>
    </cfRule>
  </conditionalFormatting>
  <conditionalFormatting sqref="W67:W68">
    <cfRule type="cellIs" dxfId="1809" priority="283" operator="equal">
      <formula>0</formula>
    </cfRule>
    <cfRule type="cellIs" dxfId="1808" priority="284" operator="notEqual">
      <formula>0</formula>
    </cfRule>
  </conditionalFormatting>
  <conditionalFormatting sqref="X67:X68">
    <cfRule type="cellIs" dxfId="1807" priority="281" operator="equal">
      <formula>0</formula>
    </cfRule>
    <cfRule type="cellIs" dxfId="1806" priority="282" operator="notEqual">
      <formula>0</formula>
    </cfRule>
  </conditionalFormatting>
  <conditionalFormatting sqref="Y67:Y68">
    <cfRule type="cellIs" dxfId="1805" priority="279" operator="equal">
      <formula>0</formula>
    </cfRule>
    <cfRule type="cellIs" dxfId="1804" priority="280" operator="notEqual">
      <formula>0</formula>
    </cfRule>
  </conditionalFormatting>
  <conditionalFormatting sqref="Z67:Z68">
    <cfRule type="cellIs" dxfId="1803" priority="277" operator="equal">
      <formula>0</formula>
    </cfRule>
    <cfRule type="cellIs" dxfId="1802" priority="278" operator="notEqual">
      <formula>0</formula>
    </cfRule>
  </conditionalFormatting>
  <conditionalFormatting sqref="AA67:AA68">
    <cfRule type="cellIs" dxfId="1801" priority="275" operator="equal">
      <formula>0</formula>
    </cfRule>
    <cfRule type="cellIs" dxfId="1800" priority="276" operator="notEqual">
      <formula>0</formula>
    </cfRule>
  </conditionalFormatting>
  <conditionalFormatting sqref="AB67:AB68">
    <cfRule type="cellIs" dxfId="1799" priority="273" operator="equal">
      <formula>0</formula>
    </cfRule>
    <cfRule type="cellIs" dxfId="1798" priority="274" operator="notEqual">
      <formula>0</formula>
    </cfRule>
  </conditionalFormatting>
  <conditionalFormatting sqref="AG66">
    <cfRule type="cellIs" dxfId="1797" priority="271" operator="equal">
      <formula>0</formula>
    </cfRule>
    <cfRule type="cellIs" dxfId="1796" priority="272" operator="notEqual">
      <formula>0</formula>
    </cfRule>
  </conditionalFormatting>
  <conditionalFormatting sqref="AG69">
    <cfRule type="cellIs" dxfId="1795" priority="269" operator="equal">
      <formula>0</formula>
    </cfRule>
    <cfRule type="cellIs" dxfId="1794" priority="270" operator="notEqual">
      <formula>0</formula>
    </cfRule>
  </conditionalFormatting>
  <conditionalFormatting sqref="AH66">
    <cfRule type="cellIs" dxfId="1793" priority="267" operator="equal">
      <formula>0</formula>
    </cfRule>
    <cfRule type="cellIs" dxfId="1792" priority="268" operator="notEqual">
      <formula>0</formula>
    </cfRule>
  </conditionalFormatting>
  <conditionalFormatting sqref="AH69">
    <cfRule type="cellIs" dxfId="1791" priority="265" operator="equal">
      <formula>0</formula>
    </cfRule>
    <cfRule type="cellIs" dxfId="1790" priority="266" operator="notEqual">
      <formula>0</formula>
    </cfRule>
  </conditionalFormatting>
  <conditionalFormatting sqref="AI66">
    <cfRule type="cellIs" dxfId="1789" priority="263" operator="equal">
      <formula>0</formula>
    </cfRule>
    <cfRule type="cellIs" dxfId="1788" priority="264" operator="notEqual">
      <formula>0</formula>
    </cfRule>
  </conditionalFormatting>
  <conditionalFormatting sqref="AI69">
    <cfRule type="cellIs" dxfId="1787" priority="261" operator="equal">
      <formula>0</formula>
    </cfRule>
    <cfRule type="cellIs" dxfId="1786" priority="262" operator="notEqual">
      <formula>0</formula>
    </cfRule>
  </conditionalFormatting>
  <conditionalFormatting sqref="AJ66">
    <cfRule type="cellIs" dxfId="1785" priority="259" operator="equal">
      <formula>0</formula>
    </cfRule>
    <cfRule type="cellIs" dxfId="1784" priority="260" operator="notEqual">
      <formula>0</formula>
    </cfRule>
  </conditionalFormatting>
  <conditionalFormatting sqref="AJ69">
    <cfRule type="cellIs" dxfId="1783" priority="257" operator="equal">
      <formula>0</formula>
    </cfRule>
    <cfRule type="cellIs" dxfId="1782" priority="258" operator="notEqual">
      <formula>0</formula>
    </cfRule>
  </conditionalFormatting>
  <conditionalFormatting sqref="U60:U61">
    <cfRule type="cellIs" dxfId="1781" priority="255" operator="equal">
      <formula>0</formula>
    </cfRule>
    <cfRule type="cellIs" dxfId="1780" priority="256" operator="notEqual">
      <formula>0</formula>
    </cfRule>
  </conditionalFormatting>
  <conditionalFormatting sqref="V60:V61">
    <cfRule type="cellIs" dxfId="1779" priority="253" operator="equal">
      <formula>0</formula>
    </cfRule>
    <cfRule type="cellIs" dxfId="1778" priority="254" operator="notEqual">
      <formula>0</formula>
    </cfRule>
  </conditionalFormatting>
  <conditionalFormatting sqref="W60:W61">
    <cfRule type="cellIs" dxfId="1777" priority="251" operator="equal">
      <formula>0</formula>
    </cfRule>
    <cfRule type="cellIs" dxfId="1776" priority="252" operator="notEqual">
      <formula>0</formula>
    </cfRule>
  </conditionalFormatting>
  <conditionalFormatting sqref="X60:X61">
    <cfRule type="cellIs" dxfId="1775" priority="249" operator="equal">
      <formula>0</formula>
    </cfRule>
    <cfRule type="cellIs" dxfId="1774" priority="250" operator="notEqual">
      <formula>0</formula>
    </cfRule>
  </conditionalFormatting>
  <conditionalFormatting sqref="Y60:Y61">
    <cfRule type="cellIs" dxfId="1773" priority="247" operator="equal">
      <formula>0</formula>
    </cfRule>
    <cfRule type="cellIs" dxfId="1772" priority="248" operator="notEqual">
      <formula>0</formula>
    </cfRule>
  </conditionalFormatting>
  <conditionalFormatting sqref="Z60:Z61">
    <cfRule type="cellIs" dxfId="1771" priority="245" operator="equal">
      <formula>0</formula>
    </cfRule>
    <cfRule type="cellIs" dxfId="1770" priority="246" operator="notEqual">
      <formula>0</formula>
    </cfRule>
  </conditionalFormatting>
  <conditionalFormatting sqref="AA60:AA61">
    <cfRule type="cellIs" dxfId="1769" priority="243" operator="equal">
      <formula>0</formula>
    </cfRule>
    <cfRule type="cellIs" dxfId="1768" priority="244" operator="notEqual">
      <formula>0</formula>
    </cfRule>
  </conditionalFormatting>
  <conditionalFormatting sqref="AB60:AB61">
    <cfRule type="cellIs" dxfId="1767" priority="241" operator="equal">
      <formula>0</formula>
    </cfRule>
    <cfRule type="cellIs" dxfId="1766" priority="242" operator="notEqual">
      <formula>0</formula>
    </cfRule>
  </conditionalFormatting>
  <conditionalFormatting sqref="AG59">
    <cfRule type="cellIs" dxfId="1765" priority="239" operator="equal">
      <formula>0</formula>
    </cfRule>
    <cfRule type="cellIs" dxfId="1764" priority="240" operator="notEqual">
      <formula>0</formula>
    </cfRule>
  </conditionalFormatting>
  <conditionalFormatting sqref="AG62">
    <cfRule type="cellIs" dxfId="1763" priority="237" operator="equal">
      <formula>0</formula>
    </cfRule>
    <cfRule type="cellIs" dxfId="1762" priority="238" operator="notEqual">
      <formula>0</formula>
    </cfRule>
  </conditionalFormatting>
  <conditionalFormatting sqref="AH59">
    <cfRule type="cellIs" dxfId="1761" priority="235" operator="equal">
      <formula>0</formula>
    </cfRule>
    <cfRule type="cellIs" dxfId="1760" priority="236" operator="notEqual">
      <formula>0</formula>
    </cfRule>
  </conditionalFormatting>
  <conditionalFormatting sqref="AH62">
    <cfRule type="cellIs" dxfId="1759" priority="233" operator="equal">
      <formula>0</formula>
    </cfRule>
    <cfRule type="cellIs" dxfId="1758" priority="234" operator="notEqual">
      <formula>0</formula>
    </cfRule>
  </conditionalFormatting>
  <conditionalFormatting sqref="AI59">
    <cfRule type="cellIs" dxfId="1757" priority="231" operator="equal">
      <formula>0</formula>
    </cfRule>
    <cfRule type="cellIs" dxfId="1756" priority="232" operator="notEqual">
      <formula>0</formula>
    </cfRule>
  </conditionalFormatting>
  <conditionalFormatting sqref="AI62">
    <cfRule type="cellIs" dxfId="1755" priority="229" operator="equal">
      <formula>0</formula>
    </cfRule>
    <cfRule type="cellIs" dxfId="1754" priority="230" operator="notEqual">
      <formula>0</formula>
    </cfRule>
  </conditionalFormatting>
  <conditionalFormatting sqref="AJ59">
    <cfRule type="cellIs" dxfId="1753" priority="227" operator="equal">
      <formula>0</formula>
    </cfRule>
    <cfRule type="cellIs" dxfId="1752" priority="228" operator="notEqual">
      <formula>0</formula>
    </cfRule>
  </conditionalFormatting>
  <conditionalFormatting sqref="AJ62">
    <cfRule type="cellIs" dxfId="1751" priority="225" operator="equal">
      <formula>0</formula>
    </cfRule>
    <cfRule type="cellIs" dxfId="1750" priority="226" operator="notEqual">
      <formula>0</formula>
    </cfRule>
  </conditionalFormatting>
  <conditionalFormatting sqref="U53:U54">
    <cfRule type="cellIs" dxfId="1749" priority="223" operator="equal">
      <formula>0</formula>
    </cfRule>
    <cfRule type="cellIs" dxfId="1748" priority="224" operator="notEqual">
      <formula>0</formula>
    </cfRule>
  </conditionalFormatting>
  <conditionalFormatting sqref="V53:V54">
    <cfRule type="cellIs" dxfId="1747" priority="221" operator="equal">
      <formula>0</formula>
    </cfRule>
    <cfRule type="cellIs" dxfId="1746" priority="222" operator="notEqual">
      <formula>0</formula>
    </cfRule>
  </conditionalFormatting>
  <conditionalFormatting sqref="W53:W54">
    <cfRule type="cellIs" dxfId="1745" priority="219" operator="equal">
      <formula>0</formula>
    </cfRule>
    <cfRule type="cellIs" dxfId="1744" priority="220" operator="notEqual">
      <formula>0</formula>
    </cfRule>
  </conditionalFormatting>
  <conditionalFormatting sqref="X53:X54">
    <cfRule type="cellIs" dxfId="1743" priority="217" operator="equal">
      <formula>0</formula>
    </cfRule>
    <cfRule type="cellIs" dxfId="1742" priority="218" operator="notEqual">
      <formula>0</formula>
    </cfRule>
  </conditionalFormatting>
  <conditionalFormatting sqref="Y53:Y54">
    <cfRule type="cellIs" dxfId="1741" priority="215" operator="equal">
      <formula>0</formula>
    </cfRule>
    <cfRule type="cellIs" dxfId="1740" priority="216" operator="notEqual">
      <formula>0</formula>
    </cfRule>
  </conditionalFormatting>
  <conditionalFormatting sqref="Z53:Z54">
    <cfRule type="cellIs" dxfId="1739" priority="213" operator="equal">
      <formula>0</formula>
    </cfRule>
    <cfRule type="cellIs" dxfId="1738" priority="214" operator="notEqual">
      <formula>0</formula>
    </cfRule>
  </conditionalFormatting>
  <conditionalFormatting sqref="AA53:AA54">
    <cfRule type="cellIs" dxfId="1737" priority="211" operator="equal">
      <formula>0</formula>
    </cfRule>
    <cfRule type="cellIs" dxfId="1736" priority="212" operator="notEqual">
      <formula>0</formula>
    </cfRule>
  </conditionalFormatting>
  <conditionalFormatting sqref="AB53:AB54">
    <cfRule type="cellIs" dxfId="1735" priority="209" operator="equal">
      <formula>0</formula>
    </cfRule>
    <cfRule type="cellIs" dxfId="1734" priority="210" operator="notEqual">
      <formula>0</formula>
    </cfRule>
  </conditionalFormatting>
  <conditionalFormatting sqref="AG52">
    <cfRule type="cellIs" dxfId="1733" priority="207" operator="equal">
      <formula>0</formula>
    </cfRule>
    <cfRule type="cellIs" dxfId="1732" priority="208" operator="notEqual">
      <formula>0</formula>
    </cfRule>
  </conditionalFormatting>
  <conditionalFormatting sqref="AG55">
    <cfRule type="cellIs" dxfId="1731" priority="205" operator="equal">
      <formula>0</formula>
    </cfRule>
    <cfRule type="cellIs" dxfId="1730" priority="206" operator="notEqual">
      <formula>0</formula>
    </cfRule>
  </conditionalFormatting>
  <conditionalFormatting sqref="AH52">
    <cfRule type="cellIs" dxfId="1729" priority="203" operator="equal">
      <formula>0</formula>
    </cfRule>
    <cfRule type="cellIs" dxfId="1728" priority="204" operator="notEqual">
      <formula>0</formula>
    </cfRule>
  </conditionalFormatting>
  <conditionalFormatting sqref="AH55">
    <cfRule type="cellIs" dxfId="1727" priority="201" operator="equal">
      <formula>0</formula>
    </cfRule>
    <cfRule type="cellIs" dxfId="1726" priority="202" operator="notEqual">
      <formula>0</formula>
    </cfRule>
  </conditionalFormatting>
  <conditionalFormatting sqref="AI52">
    <cfRule type="cellIs" dxfId="1725" priority="199" operator="equal">
      <formula>0</formula>
    </cfRule>
    <cfRule type="cellIs" dxfId="1724" priority="200" operator="notEqual">
      <formula>0</formula>
    </cfRule>
  </conditionalFormatting>
  <conditionalFormatting sqref="AI55">
    <cfRule type="cellIs" dxfId="1723" priority="197" operator="equal">
      <formula>0</formula>
    </cfRule>
    <cfRule type="cellIs" dxfId="1722" priority="198" operator="notEqual">
      <formula>0</formula>
    </cfRule>
  </conditionalFormatting>
  <conditionalFormatting sqref="AJ52">
    <cfRule type="cellIs" dxfId="1721" priority="195" operator="equal">
      <formula>0</formula>
    </cfRule>
    <cfRule type="cellIs" dxfId="1720" priority="196" operator="notEqual">
      <formula>0</formula>
    </cfRule>
  </conditionalFormatting>
  <conditionalFormatting sqref="AJ55">
    <cfRule type="cellIs" dxfId="1719" priority="193" operator="equal">
      <formula>0</formula>
    </cfRule>
    <cfRule type="cellIs" dxfId="1718" priority="194" operator="notEqual">
      <formula>0</formula>
    </cfRule>
  </conditionalFormatting>
  <conditionalFormatting sqref="U46:U47">
    <cfRule type="cellIs" dxfId="1717" priority="191" operator="equal">
      <formula>0</formula>
    </cfRule>
    <cfRule type="cellIs" dxfId="1716" priority="192" operator="notEqual">
      <formula>0</formula>
    </cfRule>
  </conditionalFormatting>
  <conditionalFormatting sqref="V46:V47">
    <cfRule type="cellIs" dxfId="1715" priority="189" operator="equal">
      <formula>0</formula>
    </cfRule>
    <cfRule type="cellIs" dxfId="1714" priority="190" operator="notEqual">
      <formula>0</formula>
    </cfRule>
  </conditionalFormatting>
  <conditionalFormatting sqref="W46:W47">
    <cfRule type="cellIs" dxfId="1713" priority="187" operator="equal">
      <formula>0</formula>
    </cfRule>
    <cfRule type="cellIs" dxfId="1712" priority="188" operator="notEqual">
      <formula>0</formula>
    </cfRule>
  </conditionalFormatting>
  <conditionalFormatting sqref="X46:X47">
    <cfRule type="cellIs" dxfId="1711" priority="185" operator="equal">
      <formula>0</formula>
    </cfRule>
    <cfRule type="cellIs" dxfId="1710" priority="186" operator="notEqual">
      <formula>0</formula>
    </cfRule>
  </conditionalFormatting>
  <conditionalFormatting sqref="Y46:Y47">
    <cfRule type="cellIs" dxfId="1709" priority="183" operator="equal">
      <formula>0</formula>
    </cfRule>
    <cfRule type="cellIs" dxfId="1708" priority="184" operator="notEqual">
      <formula>0</formula>
    </cfRule>
  </conditionalFormatting>
  <conditionalFormatting sqref="Z46:Z47">
    <cfRule type="cellIs" dxfId="1707" priority="181" operator="equal">
      <formula>0</formula>
    </cfRule>
    <cfRule type="cellIs" dxfId="1706" priority="182" operator="notEqual">
      <formula>0</formula>
    </cfRule>
  </conditionalFormatting>
  <conditionalFormatting sqref="AA46:AA47">
    <cfRule type="cellIs" dxfId="1705" priority="179" operator="equal">
      <formula>0</formula>
    </cfRule>
    <cfRule type="cellIs" dxfId="1704" priority="180" operator="notEqual">
      <formula>0</formula>
    </cfRule>
  </conditionalFormatting>
  <conditionalFormatting sqref="AB46:AB47">
    <cfRule type="cellIs" dxfId="1703" priority="177" operator="equal">
      <formula>0</formula>
    </cfRule>
    <cfRule type="cellIs" dxfId="1702" priority="178" operator="notEqual">
      <formula>0</formula>
    </cfRule>
  </conditionalFormatting>
  <conditionalFormatting sqref="AG45">
    <cfRule type="cellIs" dxfId="1701" priority="175" operator="equal">
      <formula>0</formula>
    </cfRule>
    <cfRule type="cellIs" dxfId="1700" priority="176" operator="notEqual">
      <formula>0</formula>
    </cfRule>
  </conditionalFormatting>
  <conditionalFormatting sqref="AG48">
    <cfRule type="cellIs" dxfId="1699" priority="173" operator="equal">
      <formula>0</formula>
    </cfRule>
    <cfRule type="cellIs" dxfId="1698" priority="174" operator="notEqual">
      <formula>0</formula>
    </cfRule>
  </conditionalFormatting>
  <conditionalFormatting sqref="AH45">
    <cfRule type="cellIs" dxfId="1697" priority="171" operator="equal">
      <formula>0</formula>
    </cfRule>
    <cfRule type="cellIs" dxfId="1696" priority="172" operator="notEqual">
      <formula>0</formula>
    </cfRule>
  </conditionalFormatting>
  <conditionalFormatting sqref="AH48">
    <cfRule type="cellIs" dxfId="1695" priority="169" operator="equal">
      <formula>0</formula>
    </cfRule>
    <cfRule type="cellIs" dxfId="1694" priority="170" operator="notEqual">
      <formula>0</formula>
    </cfRule>
  </conditionalFormatting>
  <conditionalFormatting sqref="AI45">
    <cfRule type="cellIs" dxfId="1693" priority="167" operator="equal">
      <formula>0</formula>
    </cfRule>
    <cfRule type="cellIs" dxfId="1692" priority="168" operator="notEqual">
      <formula>0</formula>
    </cfRule>
  </conditionalFormatting>
  <conditionalFormatting sqref="AI48">
    <cfRule type="cellIs" dxfId="1691" priority="165" operator="equal">
      <formula>0</formula>
    </cfRule>
    <cfRule type="cellIs" dxfId="1690" priority="166" operator="notEqual">
      <formula>0</formula>
    </cfRule>
  </conditionalFormatting>
  <conditionalFormatting sqref="AJ45">
    <cfRule type="cellIs" dxfId="1689" priority="163" operator="equal">
      <formula>0</formula>
    </cfRule>
    <cfRule type="cellIs" dxfId="1688" priority="164" operator="notEqual">
      <formula>0</formula>
    </cfRule>
  </conditionalFormatting>
  <conditionalFormatting sqref="AJ48">
    <cfRule type="cellIs" dxfId="1687" priority="161" operator="equal">
      <formula>0</formula>
    </cfRule>
    <cfRule type="cellIs" dxfId="1686" priority="162" operator="notEqual">
      <formula>0</formula>
    </cfRule>
  </conditionalFormatting>
  <conditionalFormatting sqref="U39:U40">
    <cfRule type="cellIs" dxfId="1685" priority="159" operator="equal">
      <formula>0</formula>
    </cfRule>
    <cfRule type="cellIs" dxfId="1684" priority="160" operator="notEqual">
      <formula>0</formula>
    </cfRule>
  </conditionalFormatting>
  <conditionalFormatting sqref="V39:V40">
    <cfRule type="cellIs" dxfId="1683" priority="157" operator="equal">
      <formula>0</formula>
    </cfRule>
    <cfRule type="cellIs" dxfId="1682" priority="158" operator="notEqual">
      <formula>0</formula>
    </cfRule>
  </conditionalFormatting>
  <conditionalFormatting sqref="W39:W40">
    <cfRule type="cellIs" dxfId="1681" priority="155" operator="equal">
      <formula>0</formula>
    </cfRule>
    <cfRule type="cellIs" dxfId="1680" priority="156" operator="notEqual">
      <formula>0</formula>
    </cfRule>
  </conditionalFormatting>
  <conditionalFormatting sqref="X39:X40">
    <cfRule type="cellIs" dxfId="1679" priority="153" operator="equal">
      <formula>0</formula>
    </cfRule>
    <cfRule type="cellIs" dxfId="1678" priority="154" operator="notEqual">
      <formula>0</formula>
    </cfRule>
  </conditionalFormatting>
  <conditionalFormatting sqref="Y39:Y40">
    <cfRule type="cellIs" dxfId="1677" priority="151" operator="equal">
      <formula>0</formula>
    </cfRule>
    <cfRule type="cellIs" dxfId="1676" priority="152" operator="notEqual">
      <formula>0</formula>
    </cfRule>
  </conditionalFormatting>
  <conditionalFormatting sqref="Z39:Z40">
    <cfRule type="cellIs" dxfId="1675" priority="149" operator="equal">
      <formula>0</formula>
    </cfRule>
    <cfRule type="cellIs" dxfId="1674" priority="150" operator="notEqual">
      <formula>0</formula>
    </cfRule>
  </conditionalFormatting>
  <conditionalFormatting sqref="AA39:AA40">
    <cfRule type="cellIs" dxfId="1673" priority="147" operator="equal">
      <formula>0</formula>
    </cfRule>
    <cfRule type="cellIs" dxfId="1672" priority="148" operator="notEqual">
      <formula>0</formula>
    </cfRule>
  </conditionalFormatting>
  <conditionalFormatting sqref="AB39:AB40">
    <cfRule type="cellIs" dxfId="1671" priority="145" operator="equal">
      <formula>0</formula>
    </cfRule>
    <cfRule type="cellIs" dxfId="1670" priority="146" operator="notEqual">
      <formula>0</formula>
    </cfRule>
  </conditionalFormatting>
  <conditionalFormatting sqref="AG38">
    <cfRule type="cellIs" dxfId="1669" priority="143" operator="equal">
      <formula>0</formula>
    </cfRule>
    <cfRule type="cellIs" dxfId="1668" priority="144" operator="notEqual">
      <formula>0</formula>
    </cfRule>
  </conditionalFormatting>
  <conditionalFormatting sqref="AG41">
    <cfRule type="cellIs" dxfId="1667" priority="141" operator="equal">
      <formula>0</formula>
    </cfRule>
    <cfRule type="cellIs" dxfId="1666" priority="142" operator="notEqual">
      <formula>0</formula>
    </cfRule>
  </conditionalFormatting>
  <conditionalFormatting sqref="AH38">
    <cfRule type="cellIs" dxfId="1665" priority="139" operator="equal">
      <formula>0</formula>
    </cfRule>
    <cfRule type="cellIs" dxfId="1664" priority="140" operator="notEqual">
      <formula>0</formula>
    </cfRule>
  </conditionalFormatting>
  <conditionalFormatting sqref="AH41">
    <cfRule type="cellIs" dxfId="1663" priority="137" operator="equal">
      <formula>0</formula>
    </cfRule>
    <cfRule type="cellIs" dxfId="1662" priority="138" operator="notEqual">
      <formula>0</formula>
    </cfRule>
  </conditionalFormatting>
  <conditionalFormatting sqref="AI38">
    <cfRule type="cellIs" dxfId="1661" priority="135" operator="equal">
      <formula>0</formula>
    </cfRule>
    <cfRule type="cellIs" dxfId="1660" priority="136" operator="notEqual">
      <formula>0</formula>
    </cfRule>
  </conditionalFormatting>
  <conditionalFormatting sqref="AI41">
    <cfRule type="cellIs" dxfId="1659" priority="133" operator="equal">
      <formula>0</formula>
    </cfRule>
    <cfRule type="cellIs" dxfId="1658" priority="134" operator="notEqual">
      <formula>0</formula>
    </cfRule>
  </conditionalFormatting>
  <conditionalFormatting sqref="AJ38">
    <cfRule type="cellIs" dxfId="1657" priority="131" operator="equal">
      <formula>0</formula>
    </cfRule>
    <cfRule type="cellIs" dxfId="1656" priority="132" operator="notEqual">
      <formula>0</formula>
    </cfRule>
  </conditionalFormatting>
  <conditionalFormatting sqref="AJ41">
    <cfRule type="cellIs" dxfId="1655" priority="129" operator="equal">
      <formula>0</formula>
    </cfRule>
    <cfRule type="cellIs" dxfId="1654" priority="130" operator="notEqual">
      <formula>0</formula>
    </cfRule>
  </conditionalFormatting>
  <conditionalFormatting sqref="U32:U33">
    <cfRule type="cellIs" dxfId="1653" priority="127" operator="equal">
      <formula>0</formula>
    </cfRule>
    <cfRule type="cellIs" dxfId="1652" priority="128" operator="notEqual">
      <formula>0</formula>
    </cfRule>
  </conditionalFormatting>
  <conditionalFormatting sqref="V32:V33">
    <cfRule type="cellIs" dxfId="1651" priority="125" operator="equal">
      <formula>0</formula>
    </cfRule>
    <cfRule type="cellIs" dxfId="1650" priority="126" operator="notEqual">
      <formula>0</formula>
    </cfRule>
  </conditionalFormatting>
  <conditionalFormatting sqref="W32:W33">
    <cfRule type="cellIs" dxfId="1649" priority="123" operator="equal">
      <formula>0</formula>
    </cfRule>
    <cfRule type="cellIs" dxfId="1648" priority="124" operator="notEqual">
      <formula>0</formula>
    </cfRule>
  </conditionalFormatting>
  <conditionalFormatting sqref="X32:X33">
    <cfRule type="cellIs" dxfId="1647" priority="121" operator="equal">
      <formula>0</formula>
    </cfRule>
    <cfRule type="cellIs" dxfId="1646" priority="122" operator="notEqual">
      <formula>0</formula>
    </cfRule>
  </conditionalFormatting>
  <conditionalFormatting sqref="Y32:Y33">
    <cfRule type="cellIs" dxfId="1645" priority="119" operator="equal">
      <formula>0</formula>
    </cfRule>
    <cfRule type="cellIs" dxfId="1644" priority="120" operator="notEqual">
      <formula>0</formula>
    </cfRule>
  </conditionalFormatting>
  <conditionalFormatting sqref="Z32:Z33">
    <cfRule type="cellIs" dxfId="1643" priority="117" operator="equal">
      <formula>0</formula>
    </cfRule>
    <cfRule type="cellIs" dxfId="1642" priority="118" operator="notEqual">
      <formula>0</formula>
    </cfRule>
  </conditionalFormatting>
  <conditionalFormatting sqref="AA32:AA33">
    <cfRule type="cellIs" dxfId="1641" priority="115" operator="equal">
      <formula>0</formula>
    </cfRule>
    <cfRule type="cellIs" dxfId="1640" priority="116" operator="notEqual">
      <formula>0</formula>
    </cfRule>
  </conditionalFormatting>
  <conditionalFormatting sqref="AB32:AB33">
    <cfRule type="cellIs" dxfId="1639" priority="113" operator="equal">
      <formula>0</formula>
    </cfRule>
    <cfRule type="cellIs" dxfId="1638" priority="114" operator="notEqual">
      <formula>0</formula>
    </cfRule>
  </conditionalFormatting>
  <conditionalFormatting sqref="AG31">
    <cfRule type="cellIs" dxfId="1637" priority="111" operator="equal">
      <formula>0</formula>
    </cfRule>
    <cfRule type="cellIs" dxfId="1636" priority="112" operator="notEqual">
      <formula>0</formula>
    </cfRule>
  </conditionalFormatting>
  <conditionalFormatting sqref="AG34">
    <cfRule type="cellIs" dxfId="1635" priority="109" operator="equal">
      <formula>0</formula>
    </cfRule>
    <cfRule type="cellIs" dxfId="1634" priority="110" operator="notEqual">
      <formula>0</formula>
    </cfRule>
  </conditionalFormatting>
  <conditionalFormatting sqref="AH31">
    <cfRule type="cellIs" dxfId="1633" priority="107" operator="equal">
      <formula>0</formula>
    </cfRule>
    <cfRule type="cellIs" dxfId="1632" priority="108" operator="notEqual">
      <formula>0</formula>
    </cfRule>
  </conditionalFormatting>
  <conditionalFormatting sqref="AH34">
    <cfRule type="cellIs" dxfId="1631" priority="105" operator="equal">
      <formula>0</formula>
    </cfRule>
    <cfRule type="cellIs" dxfId="1630" priority="106" operator="notEqual">
      <formula>0</formula>
    </cfRule>
  </conditionalFormatting>
  <conditionalFormatting sqref="AI31">
    <cfRule type="cellIs" dxfId="1629" priority="103" operator="equal">
      <formula>0</formula>
    </cfRule>
    <cfRule type="cellIs" dxfId="1628" priority="104" operator="notEqual">
      <formula>0</formula>
    </cfRule>
  </conditionalFormatting>
  <conditionalFormatting sqref="AI34">
    <cfRule type="cellIs" dxfId="1627" priority="101" operator="equal">
      <formula>0</formula>
    </cfRule>
    <cfRule type="cellIs" dxfId="1626" priority="102" operator="notEqual">
      <formula>0</formula>
    </cfRule>
  </conditionalFormatting>
  <conditionalFormatting sqref="AJ31">
    <cfRule type="cellIs" dxfId="1625" priority="99" operator="equal">
      <formula>0</formula>
    </cfRule>
    <cfRule type="cellIs" dxfId="1624" priority="100" operator="notEqual">
      <formula>0</formula>
    </cfRule>
  </conditionalFormatting>
  <conditionalFormatting sqref="AJ34">
    <cfRule type="cellIs" dxfId="1623" priority="97" operator="equal">
      <formula>0</formula>
    </cfRule>
    <cfRule type="cellIs" dxfId="1622" priority="98" operator="notEqual">
      <formula>0</formula>
    </cfRule>
  </conditionalFormatting>
  <conditionalFormatting sqref="U25:U26">
    <cfRule type="cellIs" dxfId="1621" priority="95" operator="equal">
      <formula>0</formula>
    </cfRule>
    <cfRule type="cellIs" dxfId="1620" priority="96" operator="notEqual">
      <formula>0</formula>
    </cfRule>
  </conditionalFormatting>
  <conditionalFormatting sqref="V25:V26">
    <cfRule type="cellIs" dxfId="1619" priority="93" operator="equal">
      <formula>0</formula>
    </cfRule>
    <cfRule type="cellIs" dxfId="1618" priority="94" operator="notEqual">
      <formula>0</formula>
    </cfRule>
  </conditionalFormatting>
  <conditionalFormatting sqref="W25:W26">
    <cfRule type="cellIs" dxfId="1617" priority="91" operator="equal">
      <formula>0</formula>
    </cfRule>
    <cfRule type="cellIs" dxfId="1616" priority="92" operator="notEqual">
      <formula>0</formula>
    </cfRule>
  </conditionalFormatting>
  <conditionalFormatting sqref="X25:X26">
    <cfRule type="cellIs" dxfId="1615" priority="89" operator="equal">
      <formula>0</formula>
    </cfRule>
    <cfRule type="cellIs" dxfId="1614" priority="90" operator="notEqual">
      <formula>0</formula>
    </cfRule>
  </conditionalFormatting>
  <conditionalFormatting sqref="Y25:Y26">
    <cfRule type="cellIs" dxfId="1613" priority="87" operator="equal">
      <formula>0</formula>
    </cfRule>
    <cfRule type="cellIs" dxfId="1612" priority="88" operator="notEqual">
      <formula>0</formula>
    </cfRule>
  </conditionalFormatting>
  <conditionalFormatting sqref="Z25:Z26">
    <cfRule type="cellIs" dxfId="1611" priority="85" operator="equal">
      <formula>0</formula>
    </cfRule>
    <cfRule type="cellIs" dxfId="1610" priority="86" operator="notEqual">
      <formula>0</formula>
    </cfRule>
  </conditionalFormatting>
  <conditionalFormatting sqref="AA25:AA26">
    <cfRule type="cellIs" dxfId="1609" priority="83" operator="equal">
      <formula>0</formula>
    </cfRule>
    <cfRule type="cellIs" dxfId="1608" priority="84" operator="notEqual">
      <formula>0</formula>
    </cfRule>
  </conditionalFormatting>
  <conditionalFormatting sqref="AB25:AB26">
    <cfRule type="cellIs" dxfId="1607" priority="81" operator="equal">
      <formula>0</formula>
    </cfRule>
    <cfRule type="cellIs" dxfId="1606" priority="82" operator="notEqual">
      <formula>0</formula>
    </cfRule>
  </conditionalFormatting>
  <conditionalFormatting sqref="AG24">
    <cfRule type="cellIs" dxfId="1605" priority="79" operator="equal">
      <formula>0</formula>
    </cfRule>
    <cfRule type="cellIs" dxfId="1604" priority="80" operator="notEqual">
      <formula>0</formula>
    </cfRule>
  </conditionalFormatting>
  <conditionalFormatting sqref="AG27">
    <cfRule type="cellIs" dxfId="1603" priority="77" operator="equal">
      <formula>0</formula>
    </cfRule>
    <cfRule type="cellIs" dxfId="1602" priority="78" operator="notEqual">
      <formula>0</formula>
    </cfRule>
  </conditionalFormatting>
  <conditionalFormatting sqref="AH24">
    <cfRule type="cellIs" dxfId="1601" priority="75" operator="equal">
      <formula>0</formula>
    </cfRule>
    <cfRule type="cellIs" dxfId="1600" priority="76" operator="notEqual">
      <formula>0</formula>
    </cfRule>
  </conditionalFormatting>
  <conditionalFormatting sqref="AH27">
    <cfRule type="cellIs" dxfId="1599" priority="73" operator="equal">
      <formula>0</formula>
    </cfRule>
    <cfRule type="cellIs" dxfId="1598" priority="74" operator="notEqual">
      <formula>0</formula>
    </cfRule>
  </conditionalFormatting>
  <conditionalFormatting sqref="AI24">
    <cfRule type="cellIs" dxfId="1597" priority="71" operator="equal">
      <formula>0</formula>
    </cfRule>
    <cfRule type="cellIs" dxfId="1596" priority="72" operator="notEqual">
      <formula>0</formula>
    </cfRule>
  </conditionalFormatting>
  <conditionalFormatting sqref="AI27">
    <cfRule type="cellIs" dxfId="1595" priority="69" operator="equal">
      <formula>0</formula>
    </cfRule>
    <cfRule type="cellIs" dxfId="1594" priority="70" operator="notEqual">
      <formula>0</formula>
    </cfRule>
  </conditionalFormatting>
  <conditionalFormatting sqref="AJ24">
    <cfRule type="cellIs" dxfId="1593" priority="67" operator="equal">
      <formula>0</formula>
    </cfRule>
    <cfRule type="cellIs" dxfId="1592" priority="68" operator="notEqual">
      <formula>0</formula>
    </cfRule>
  </conditionalFormatting>
  <conditionalFormatting sqref="AJ27">
    <cfRule type="cellIs" dxfId="1591" priority="65" operator="equal">
      <formula>0</formula>
    </cfRule>
    <cfRule type="cellIs" dxfId="1590" priority="66" operator="notEqual">
      <formula>0</formula>
    </cfRule>
  </conditionalFormatting>
  <conditionalFormatting sqref="U18:U19">
    <cfRule type="cellIs" dxfId="1589" priority="63" operator="equal">
      <formula>0</formula>
    </cfRule>
    <cfRule type="cellIs" dxfId="1588" priority="64" operator="notEqual">
      <formula>0</formula>
    </cfRule>
  </conditionalFormatting>
  <conditionalFormatting sqref="V18:V19">
    <cfRule type="cellIs" dxfId="1587" priority="61" operator="equal">
      <formula>0</formula>
    </cfRule>
    <cfRule type="cellIs" dxfId="1586" priority="62" operator="notEqual">
      <formula>0</formula>
    </cfRule>
  </conditionalFormatting>
  <conditionalFormatting sqref="W18:W19">
    <cfRule type="cellIs" dxfId="1585" priority="59" operator="equal">
      <formula>0</formula>
    </cfRule>
    <cfRule type="cellIs" dxfId="1584" priority="60" operator="notEqual">
      <formula>0</formula>
    </cfRule>
  </conditionalFormatting>
  <conditionalFormatting sqref="X18:X19">
    <cfRule type="cellIs" dxfId="1583" priority="57" operator="equal">
      <formula>0</formula>
    </cfRule>
    <cfRule type="cellIs" dxfId="1582" priority="58" operator="notEqual">
      <formula>0</formula>
    </cfRule>
  </conditionalFormatting>
  <conditionalFormatting sqref="Y18:Y19">
    <cfRule type="cellIs" dxfId="1581" priority="55" operator="equal">
      <formula>0</formula>
    </cfRule>
    <cfRule type="cellIs" dxfId="1580" priority="56" operator="notEqual">
      <formula>0</formula>
    </cfRule>
  </conditionalFormatting>
  <conditionalFormatting sqref="Z18:Z19">
    <cfRule type="cellIs" dxfId="1579" priority="53" operator="equal">
      <formula>0</formula>
    </cfRule>
    <cfRule type="cellIs" dxfId="1578" priority="54" operator="notEqual">
      <formula>0</formula>
    </cfRule>
  </conditionalFormatting>
  <conditionalFormatting sqref="AA18:AA19">
    <cfRule type="cellIs" dxfId="1577" priority="51" operator="equal">
      <formula>0</formula>
    </cfRule>
    <cfRule type="cellIs" dxfId="1576" priority="52" operator="notEqual">
      <formula>0</formula>
    </cfRule>
  </conditionalFormatting>
  <conditionalFormatting sqref="AB18:AB19">
    <cfRule type="cellIs" dxfId="1575" priority="49" operator="equal">
      <formula>0</formula>
    </cfRule>
    <cfRule type="cellIs" dxfId="1574" priority="50" operator="notEqual">
      <formula>0</formula>
    </cfRule>
  </conditionalFormatting>
  <conditionalFormatting sqref="AG17">
    <cfRule type="cellIs" dxfId="1573" priority="47" operator="equal">
      <formula>0</formula>
    </cfRule>
    <cfRule type="cellIs" dxfId="1572" priority="48" operator="notEqual">
      <formula>0</formula>
    </cfRule>
  </conditionalFormatting>
  <conditionalFormatting sqref="AG20">
    <cfRule type="cellIs" dxfId="1571" priority="45" operator="equal">
      <formula>0</formula>
    </cfRule>
    <cfRule type="cellIs" dxfId="1570" priority="46" operator="notEqual">
      <formula>0</formula>
    </cfRule>
  </conditionalFormatting>
  <conditionalFormatting sqref="AH17">
    <cfRule type="cellIs" dxfId="1569" priority="43" operator="equal">
      <formula>0</formula>
    </cfRule>
    <cfRule type="cellIs" dxfId="1568" priority="44" operator="notEqual">
      <formula>0</formula>
    </cfRule>
  </conditionalFormatting>
  <conditionalFormatting sqref="AH20">
    <cfRule type="cellIs" dxfId="1567" priority="41" operator="equal">
      <formula>0</formula>
    </cfRule>
    <cfRule type="cellIs" dxfId="1566" priority="42" operator="notEqual">
      <formula>0</formula>
    </cfRule>
  </conditionalFormatting>
  <conditionalFormatting sqref="AI17">
    <cfRule type="cellIs" dxfId="1565" priority="39" operator="equal">
      <formula>0</formula>
    </cfRule>
    <cfRule type="cellIs" dxfId="1564" priority="40" operator="notEqual">
      <formula>0</formula>
    </cfRule>
  </conditionalFormatting>
  <conditionalFormatting sqref="AI20">
    <cfRule type="cellIs" dxfId="1563" priority="37" operator="equal">
      <formula>0</formula>
    </cfRule>
    <cfRule type="cellIs" dxfId="1562" priority="38" operator="notEqual">
      <formula>0</formula>
    </cfRule>
  </conditionalFormatting>
  <conditionalFormatting sqref="AJ17">
    <cfRule type="cellIs" dxfId="1561" priority="35" operator="equal">
      <formula>0</formula>
    </cfRule>
    <cfRule type="cellIs" dxfId="1560" priority="36" operator="notEqual">
      <formula>0</formula>
    </cfRule>
  </conditionalFormatting>
  <conditionalFormatting sqref="AJ20">
    <cfRule type="cellIs" dxfId="1559" priority="33" operator="equal">
      <formula>0</formula>
    </cfRule>
    <cfRule type="cellIs" dxfId="1558" priority="34" operator="notEqual">
      <formula>0</formula>
    </cfRule>
  </conditionalFormatting>
  <conditionalFormatting sqref="U11:U12">
    <cfRule type="cellIs" dxfId="1557" priority="31" operator="equal">
      <formula>0</formula>
    </cfRule>
    <cfRule type="cellIs" dxfId="1556" priority="32" operator="notEqual">
      <formula>0</formula>
    </cfRule>
  </conditionalFormatting>
  <conditionalFormatting sqref="V11:V12">
    <cfRule type="cellIs" dxfId="1555" priority="29" operator="equal">
      <formula>0</formula>
    </cfRule>
    <cfRule type="cellIs" dxfId="1554" priority="30" operator="notEqual">
      <formula>0</formula>
    </cfRule>
  </conditionalFormatting>
  <conditionalFormatting sqref="W11:W12">
    <cfRule type="cellIs" dxfId="1553" priority="27" operator="equal">
      <formula>0</formula>
    </cfRule>
    <cfRule type="cellIs" dxfId="1552" priority="28" operator="notEqual">
      <formula>0</formula>
    </cfRule>
  </conditionalFormatting>
  <conditionalFormatting sqref="X11:X12">
    <cfRule type="cellIs" dxfId="1551" priority="25" operator="equal">
      <formula>0</formula>
    </cfRule>
    <cfRule type="cellIs" dxfId="1550" priority="26" operator="notEqual">
      <formula>0</formula>
    </cfRule>
  </conditionalFormatting>
  <conditionalFormatting sqref="Y11:Y12">
    <cfRule type="cellIs" dxfId="1549" priority="23" operator="equal">
      <formula>0</formula>
    </cfRule>
    <cfRule type="cellIs" dxfId="1548" priority="24" operator="notEqual">
      <formula>0</formula>
    </cfRule>
  </conditionalFormatting>
  <conditionalFormatting sqref="Z11:Z12">
    <cfRule type="cellIs" dxfId="1547" priority="21" operator="equal">
      <formula>0</formula>
    </cfRule>
    <cfRule type="cellIs" dxfId="1546" priority="22" operator="notEqual">
      <formula>0</formula>
    </cfRule>
  </conditionalFormatting>
  <conditionalFormatting sqref="AA11:AA12">
    <cfRule type="cellIs" dxfId="1545" priority="19" operator="equal">
      <formula>0</formula>
    </cfRule>
    <cfRule type="cellIs" dxfId="1544" priority="20" operator="notEqual">
      <formula>0</formula>
    </cfRule>
  </conditionalFormatting>
  <conditionalFormatting sqref="AB11:AB12">
    <cfRule type="cellIs" dxfId="1543" priority="17" operator="equal">
      <formula>0</formula>
    </cfRule>
    <cfRule type="cellIs" dxfId="1542" priority="18" operator="notEqual">
      <formula>0</formula>
    </cfRule>
  </conditionalFormatting>
  <conditionalFormatting sqref="AG10">
    <cfRule type="cellIs" dxfId="1541" priority="15" operator="equal">
      <formula>0</formula>
    </cfRule>
    <cfRule type="cellIs" dxfId="1540" priority="16" operator="notEqual">
      <formula>0</formula>
    </cfRule>
  </conditionalFormatting>
  <conditionalFormatting sqref="AG13">
    <cfRule type="cellIs" dxfId="1539" priority="13" operator="equal">
      <formula>0</formula>
    </cfRule>
    <cfRule type="cellIs" dxfId="1538" priority="14" operator="notEqual">
      <formula>0</formula>
    </cfRule>
  </conditionalFormatting>
  <conditionalFormatting sqref="AH10">
    <cfRule type="cellIs" dxfId="1537" priority="11" operator="equal">
      <formula>0</formula>
    </cfRule>
    <cfRule type="cellIs" dxfId="1536" priority="12" operator="notEqual">
      <formula>0</formula>
    </cfRule>
  </conditionalFormatting>
  <conditionalFormatting sqref="AH13">
    <cfRule type="cellIs" dxfId="1535" priority="9" operator="equal">
      <formula>0</formula>
    </cfRule>
    <cfRule type="cellIs" dxfId="1534" priority="10" operator="notEqual">
      <formula>0</formula>
    </cfRule>
  </conditionalFormatting>
  <conditionalFormatting sqref="AI10">
    <cfRule type="cellIs" dxfId="1533" priority="7" operator="equal">
      <formula>0</formula>
    </cfRule>
    <cfRule type="cellIs" dxfId="1532" priority="8" operator="notEqual">
      <formula>0</formula>
    </cfRule>
  </conditionalFormatting>
  <conditionalFormatting sqref="AI13">
    <cfRule type="cellIs" dxfId="1531" priority="5" operator="equal">
      <formula>0</formula>
    </cfRule>
    <cfRule type="cellIs" dxfId="1530" priority="6" operator="notEqual">
      <formula>0</formula>
    </cfRule>
  </conditionalFormatting>
  <conditionalFormatting sqref="AJ10">
    <cfRule type="cellIs" dxfId="1529" priority="3" operator="equal">
      <formula>0</formula>
    </cfRule>
    <cfRule type="cellIs" dxfId="1528" priority="4" operator="notEqual">
      <formula>0</formula>
    </cfRule>
  </conditionalFormatting>
  <conditionalFormatting sqref="AJ13">
    <cfRule type="cellIs" dxfId="1527" priority="1" operator="equal">
      <formula>0</formula>
    </cfRule>
    <cfRule type="cellIs" dxfId="1526" priority="2" operator="notEqual">
      <formula>0</formula>
    </cfRule>
  </conditionalFormatting>
  <dataValidations count="1">
    <dataValidation type="list" allowBlank="1" showInputMessage="1" showErrorMessage="1" sqref="B5" xr:uid="{2689B128-89B0-40E9-A0F8-E0A360005201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6"/>
  <dimension ref="A1:AW76"/>
  <sheetViews>
    <sheetView showGridLines="0" zoomScale="70" zoomScaleNormal="70" workbookViewId="0">
      <selection sqref="A1:AW1"/>
    </sheetView>
  </sheetViews>
  <sheetFormatPr baseColWidth="10" defaultColWidth="9.16406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49" ht="75" customHeight="1" x14ac:dyDescent="0.15">
      <c r="A1" s="350" t="s">
        <v>1264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  <c r="X1" s="350"/>
      <c r="Y1" s="350"/>
      <c r="Z1" s="350"/>
      <c r="AA1" s="350"/>
      <c r="AB1" s="350"/>
      <c r="AC1" s="350"/>
      <c r="AD1" s="350"/>
      <c r="AE1" s="350"/>
      <c r="AF1" s="350"/>
      <c r="AG1" s="350"/>
      <c r="AH1" s="350"/>
      <c r="AI1" s="350"/>
      <c r="AJ1" s="350"/>
      <c r="AK1" s="350"/>
      <c r="AL1" s="350"/>
      <c r="AM1" s="350"/>
      <c r="AN1" s="350"/>
      <c r="AO1" s="350"/>
      <c r="AP1" s="350"/>
      <c r="AQ1" s="350"/>
      <c r="AR1" s="350"/>
      <c r="AS1" s="350"/>
      <c r="AT1" s="350"/>
      <c r="AU1" s="350"/>
      <c r="AV1" s="350"/>
      <c r="AW1" s="350"/>
    </row>
    <row r="2" spans="1:49" ht="59.25" customHeight="1" x14ac:dyDescent="0.15">
      <c r="A2" s="351"/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  <c r="R2" s="351"/>
      <c r="S2" s="351"/>
      <c r="T2" s="351"/>
      <c r="U2" s="351"/>
      <c r="V2" s="351"/>
      <c r="W2" s="351"/>
      <c r="X2" s="351"/>
      <c r="Y2" s="351"/>
      <c r="Z2" s="351"/>
      <c r="AA2" s="351"/>
      <c r="AB2" s="351"/>
      <c r="AC2" s="351"/>
      <c r="AD2" s="351"/>
      <c r="AE2" s="351"/>
      <c r="AF2" s="351"/>
      <c r="AG2" s="351"/>
      <c r="AH2" s="351"/>
      <c r="AI2" s="351"/>
      <c r="AJ2" s="351"/>
      <c r="AK2" s="351"/>
      <c r="AL2" s="351"/>
      <c r="AM2" s="351"/>
      <c r="AN2" s="351"/>
      <c r="AO2" s="351"/>
      <c r="AP2" s="351"/>
      <c r="AQ2" s="351"/>
      <c r="AR2" s="351"/>
      <c r="AS2" s="351"/>
      <c r="AT2" s="351"/>
      <c r="AU2" s="351"/>
      <c r="AV2" s="351"/>
    </row>
    <row r="3" spans="1:49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</row>
    <row r="4" spans="1:49" ht="30" x14ac:dyDescent="0.15">
      <c r="B4" s="40" t="s">
        <v>1133</v>
      </c>
    </row>
    <row r="5" spans="1:49" ht="15" x14ac:dyDescent="0.15">
      <c r="B5" s="61" t="s">
        <v>22</v>
      </c>
      <c r="P5" s="44"/>
    </row>
    <row r="6" spans="1:49" x14ac:dyDescent="0.15">
      <c r="B6" s="53"/>
    </row>
    <row r="8" spans="1:49" ht="28.5" customHeight="1" x14ac:dyDescent="0.15">
      <c r="B8" s="162" t="str">
        <f>HLOOKUP($B$5,Region_Table,2,0)</f>
        <v>Accredited Programmes and Structured Interventions - N07</v>
      </c>
      <c r="C8" s="333" t="s">
        <v>1262</v>
      </c>
      <c r="D8" s="334"/>
      <c r="E8" s="334"/>
      <c r="F8" s="334"/>
      <c r="G8" s="334"/>
      <c r="H8" s="334"/>
      <c r="I8" s="334"/>
      <c r="J8" s="334"/>
      <c r="K8" s="334"/>
      <c r="L8" s="334"/>
      <c r="M8" s="343"/>
      <c r="N8" s="343"/>
      <c r="O8" s="344"/>
      <c r="P8" s="337">
        <f>SUMIF('caseload data'!C:C,'custody %'!B8,'caseload data'!V:V)</f>
        <v>0</v>
      </c>
      <c r="Q8" s="345"/>
      <c r="R8" s="346"/>
      <c r="S8" s="76"/>
      <c r="T8" s="162" t="str">
        <f>HLOOKUP($B$5,Region_Table,3,0)</f>
        <v>All London</v>
      </c>
      <c r="U8" s="333" t="s">
        <v>1262</v>
      </c>
      <c r="V8" s="334"/>
      <c r="W8" s="334"/>
      <c r="X8" s="334"/>
      <c r="Y8" s="334"/>
      <c r="Z8" s="334"/>
      <c r="AA8" s="334"/>
      <c r="AB8" s="334"/>
      <c r="AC8" s="343"/>
      <c r="AD8" s="343"/>
      <c r="AE8" s="344"/>
      <c r="AF8" s="337">
        <f>SUMIF('caseload data'!C:C,'custody %'!T8,'caseload data'!V:V)</f>
        <v>0</v>
      </c>
      <c r="AG8" s="345"/>
      <c r="AH8" s="346"/>
    </row>
    <row r="9" spans="1:49" x14ac:dyDescent="0.15">
      <c r="B9" s="108" t="s">
        <v>1199</v>
      </c>
      <c r="C9" s="42" t="s">
        <v>1019</v>
      </c>
      <c r="D9" s="42" t="s">
        <v>1020</v>
      </c>
      <c r="E9" s="42" t="s">
        <v>1021</v>
      </c>
      <c r="F9" s="42" t="s">
        <v>1022</v>
      </c>
      <c r="G9" s="42" t="s">
        <v>1023</v>
      </c>
      <c r="H9" s="42" t="s">
        <v>1024</v>
      </c>
      <c r="I9" s="42" t="s">
        <v>1025</v>
      </c>
      <c r="J9" s="42" t="s">
        <v>1026</v>
      </c>
      <c r="K9" s="42" t="s">
        <v>1027</v>
      </c>
      <c r="L9" s="42" t="s">
        <v>1028</v>
      </c>
      <c r="M9" s="42" t="s">
        <v>1029</v>
      </c>
      <c r="N9" s="42" t="s">
        <v>1030</v>
      </c>
      <c r="O9" s="42" t="s">
        <v>1031</v>
      </c>
      <c r="P9" s="42" t="s">
        <v>1032</v>
      </c>
      <c r="Q9" s="42" t="s">
        <v>1033</v>
      </c>
      <c r="R9" s="42" t="s">
        <v>1034</v>
      </c>
      <c r="S9" s="76"/>
      <c r="T9" s="108" t="s">
        <v>1199</v>
      </c>
      <c r="U9" s="42" t="s">
        <v>1019</v>
      </c>
      <c r="V9" s="42" t="s">
        <v>1020</v>
      </c>
      <c r="W9" s="42" t="s">
        <v>1021</v>
      </c>
      <c r="X9" s="42" t="s">
        <v>1022</v>
      </c>
      <c r="Y9" s="42" t="s">
        <v>1023</v>
      </c>
      <c r="Z9" s="42" t="s">
        <v>1024</v>
      </c>
      <c r="AA9" s="42" t="s">
        <v>1025</v>
      </c>
      <c r="AB9" s="42" t="s">
        <v>1026</v>
      </c>
      <c r="AC9" s="42" t="s">
        <v>1027</v>
      </c>
      <c r="AD9" s="42" t="s">
        <v>1028</v>
      </c>
      <c r="AE9" s="42" t="s">
        <v>1029</v>
      </c>
      <c r="AF9" s="42" t="s">
        <v>1030</v>
      </c>
      <c r="AG9" s="42" t="s">
        <v>1031</v>
      </c>
      <c r="AH9" s="42" t="s">
        <v>1032</v>
      </c>
      <c r="AI9" s="42" t="s">
        <v>1033</v>
      </c>
      <c r="AJ9" s="42" t="s">
        <v>1034</v>
      </c>
    </row>
    <row r="10" spans="1:49" x14ac:dyDescent="0.15">
      <c r="B10" s="109" t="s">
        <v>1037</v>
      </c>
      <c r="C10" s="187" t="str">
        <f>IFERROR(SUMIFS('caseload data'!E:E,'caseload data'!$C:$C,'custody %'!$B$8,'caseload data'!$D:$D,"PO",'caseload data'!$B:$B,"custody")/SUMIFS('caseload data'!E:E,'caseload data'!$B:$B,"custody",'caseload data'!$C:$C,'custody %'!$B$8),"")</f>
        <v/>
      </c>
      <c r="D10" s="187" t="str">
        <f>IFERROR(SUMIFS('caseload data'!F:F,'caseload data'!$C:$C,'custody %'!$B$8,'caseload data'!$D:$D,"PO",'caseload data'!$B:$B,"custody")/SUMIFS('caseload data'!F:F,'caseload data'!$B:$B,"custody",'caseload data'!$C:$C,'custody %'!$B$8),"")</f>
        <v/>
      </c>
      <c r="E10" s="187" t="str">
        <f>IFERROR(SUMIFS('caseload data'!G:G,'caseload data'!$C:$C,'custody %'!$B$8,'caseload data'!$D:$D,"PO",'caseload data'!$B:$B,"custody")/SUMIFS('caseload data'!G:G,'caseload data'!$B:$B,"custody",'caseload data'!$C:$C,'custody %'!$B$8),"")</f>
        <v/>
      </c>
      <c r="F10" s="187" t="str">
        <f>IFERROR(SUMIFS('caseload data'!H:H,'caseload data'!$C:$C,'custody %'!$B$8,'caseload data'!$D:$D,"PO",'caseload data'!$B:$B,"custody")/SUMIFS('caseload data'!H:H,'caseload data'!$B:$B,"custody",'caseload data'!$C:$C,'custody %'!$B$8),"")</f>
        <v/>
      </c>
      <c r="G10" s="187" t="str">
        <f>IFERROR(SUMIFS('caseload data'!I:I,'caseload data'!$C:$C,'custody %'!$B$8,'caseload data'!$D:$D,"PO",'caseload data'!$B:$B,"custody")/SUMIFS('caseload data'!I:I,'caseload data'!$B:$B,"custody",'caseload data'!$C:$C,'custody %'!$B$8),"")</f>
        <v/>
      </c>
      <c r="H10" s="187" t="str">
        <f>IFERROR(SUMIFS('caseload data'!J:J,'caseload data'!$C:$C,'custody %'!$B$8,'caseload data'!$D:$D,"PO",'caseload data'!$B:$B,"custody")/SUMIFS('caseload data'!J:J,'caseload data'!$B:$B,"custody",'caseload data'!$C:$C,'custody %'!$B$8),"")</f>
        <v/>
      </c>
      <c r="I10" s="187" t="str">
        <f>IFERROR(SUMIFS('caseload data'!K:K,'caseload data'!$C:$C,'custody %'!$B$8,'caseload data'!$D:$D,"PO",'caseload data'!$B:$B,"custody")/SUMIFS('caseload data'!K:K,'caseload data'!$B:$B,"custody",'caseload data'!$C:$C,'custody %'!$B$8),"")</f>
        <v/>
      </c>
      <c r="J10" s="187" t="str">
        <f>IFERROR(SUMIFS('caseload data'!L:L,'caseload data'!$C:$C,'custody %'!$B$8,'caseload data'!$D:$D,"PO",'caseload data'!$B:$B,"custody")/SUMIFS('caseload data'!L:L,'caseload data'!$B:$B,"custody",'caseload data'!$C:$C,'custody %'!$B$8),"")</f>
        <v/>
      </c>
      <c r="K10" s="187" t="str">
        <f>IFERROR(SUMIFS('caseload data'!M:M,'caseload data'!$C:$C,'custody %'!$B$8,'caseload data'!$D:$D,"PO",'caseload data'!$B:$B,"custody")/SUMIFS('caseload data'!M:M,'caseload data'!$B:$B,"custody",'caseload data'!$C:$C,'custody %'!$B$8),"")</f>
        <v/>
      </c>
      <c r="L10" s="187" t="str">
        <f>IFERROR(SUMIFS('caseload data'!N:N,'caseload data'!$C:$C,'custody %'!$B$8,'caseload data'!$D:$D,"PO",'caseload data'!$B:$B,"custody")/SUMIFS('caseload data'!N:N,'caseload data'!$B:$B,"custody",'caseload data'!$C:$C,'custody %'!$B$8),"")</f>
        <v/>
      </c>
      <c r="M10" s="187" t="str">
        <f>IFERROR(SUMIFS('caseload data'!O:O,'caseload data'!$C:$C,'custody %'!$B$8,'caseload data'!$D:$D,"PO",'caseload data'!$B:$B,"custody")/SUMIFS('caseload data'!O:O,'caseload data'!$B:$B,"custody",'caseload data'!$C:$C,'custody %'!$B$8),"")</f>
        <v/>
      </c>
      <c r="N10" s="187" t="str">
        <f>IFERROR(SUMIFS('caseload data'!P:P,'caseload data'!$C:$C,'custody %'!$B$8,'caseload data'!$D:$D,"PO",'caseload data'!$B:$B,"custody")/SUMIFS('caseload data'!P:P,'caseload data'!$B:$B,"custody",'caseload data'!$C:$C,'custody %'!$B$8),"")</f>
        <v/>
      </c>
      <c r="O10" s="187" t="str">
        <f>IFERROR(SUMIFS('caseload data'!Q:Q,'caseload data'!$C:$C,'custody %'!$B$8,'caseload data'!$D:$D,"PO",'caseload data'!$B:$B,"custody")/SUMIFS('caseload data'!Q:Q,'caseload data'!$B:$B,"custody",'caseload data'!$C:$C,'custody %'!$B$8),"")</f>
        <v/>
      </c>
      <c r="P10" s="187" t="str">
        <f>IFERROR(SUMIFS('caseload data'!R:R,'caseload data'!$C:$C,'custody %'!$B$8,'caseload data'!$D:$D,"PO",'caseload data'!$B:$B,"custody")/SUMIFS('caseload data'!R:R,'caseload data'!$B:$B,"custody",'caseload data'!$C:$C,'custody %'!$B$8),"")</f>
        <v/>
      </c>
      <c r="Q10" s="187" t="str">
        <f>IFERROR(SUMIFS('caseload data'!S:S,'caseload data'!$C:$C,'custody %'!$B$8,'caseload data'!$D:$D,"PO",'caseload data'!$B:$B,"custody")/SUMIFS('caseload data'!S:S,'caseload data'!$B:$B,"custody",'caseload data'!$C:$C,'custody %'!$B$8),"")</f>
        <v/>
      </c>
      <c r="R10" s="187" t="str">
        <f>IFERROR(SUMIFS('caseload data'!T:T,'caseload data'!$C:$C,'custody %'!$B$8,'caseload data'!$D:$D,"PO",'caseload data'!$B:$B,"custody")/SUMIFS('caseload data'!T:T,'caseload data'!$B:$B,"custody",'caseload data'!$C:$C,'custody %'!$B$8),"")</f>
        <v/>
      </c>
      <c r="S10" s="76"/>
      <c r="T10" s="109" t="s">
        <v>1037</v>
      </c>
      <c r="U10" s="187" t="str">
        <f>IFERROR(SUMIFS('caseload data'!E:E,'caseload data'!$C:$C,'custody %'!$T$8,'caseload data'!$D:$D,"PO",'caseload data'!$B:$B,"custody")/SUMIFS('caseload data'!E:E,'caseload data'!$B:$B,"custody",'caseload data'!$C:$C,'custody %'!$T$8),"")</f>
        <v/>
      </c>
      <c r="V10" s="187" t="str">
        <f>IFERROR(SUMIFS('caseload data'!F:F,'caseload data'!$C:$C,'custody %'!$T$8,'caseload data'!$D:$D,"PO",'caseload data'!$B:$B,"custody")/SUMIFS('caseload data'!F:F,'caseload data'!$B:$B,"custody",'caseload data'!$C:$C,'custody %'!$T$8),"")</f>
        <v/>
      </c>
      <c r="W10" s="187" t="str">
        <f>IFERROR(SUMIFS('caseload data'!G:G,'caseload data'!$C:$C,'custody %'!$T$8,'caseload data'!$D:$D,"PO",'caseload data'!$B:$B,"custody")/SUMIFS('caseload data'!G:G,'caseload data'!$B:$B,"custody",'caseload data'!$C:$C,'custody %'!$T$8),"")</f>
        <v/>
      </c>
      <c r="X10" s="187" t="str">
        <f>IFERROR(SUMIFS('caseload data'!H:H,'caseload data'!$C:$C,'custody %'!$T$8,'caseload data'!$D:$D,"PO",'caseload data'!$B:$B,"custody")/SUMIFS('caseload data'!H:H,'caseload data'!$B:$B,"custody",'caseload data'!$C:$C,'custody %'!$T$8),"")</f>
        <v/>
      </c>
      <c r="Y10" s="187" t="str">
        <f>IFERROR(SUMIFS('caseload data'!I:I,'caseload data'!$C:$C,'custody %'!$T$8,'caseload data'!$D:$D,"PO",'caseload data'!$B:$B,"custody")/SUMIFS('caseload data'!I:I,'caseload data'!$B:$B,"custody",'caseload data'!$C:$C,'custody %'!$T$8),"")</f>
        <v/>
      </c>
      <c r="Z10" s="187" t="str">
        <f>IFERROR(SUMIFS('caseload data'!J:J,'caseload data'!$C:$C,'custody %'!$T$8,'caseload data'!$D:$D,"PO",'caseload data'!$B:$B,"custody")/SUMIFS('caseload data'!J:J,'caseload data'!$B:$B,"custody",'caseload data'!$C:$C,'custody %'!$T$8),"")</f>
        <v/>
      </c>
      <c r="AA10" s="187" t="str">
        <f>IFERROR(SUMIFS('caseload data'!K:K,'caseload data'!$C:$C,'custody %'!$T$8,'caseload data'!$D:$D,"PO",'caseload data'!$B:$B,"custody")/SUMIFS('caseload data'!K:K,'caseload data'!$B:$B,"custody",'caseload data'!$C:$C,'custody %'!$T$8),"")</f>
        <v/>
      </c>
      <c r="AB10" s="187" t="str">
        <f>IFERROR(SUMIFS('caseload data'!L:L,'caseload data'!$C:$C,'custody %'!$T$8,'caseload data'!$D:$D,"PO",'caseload data'!$B:$B,"custody")/SUMIFS('caseload data'!L:L,'caseload data'!$B:$B,"custody",'caseload data'!$C:$C,'custody %'!$T$8),"")</f>
        <v/>
      </c>
      <c r="AC10" s="187" t="str">
        <f>IFERROR(SUMIFS('caseload data'!M:M,'caseload data'!$C:$C,'custody %'!$T$8,'caseload data'!$D:$D,"PO",'caseload data'!$B:$B,"custody")/SUMIFS('caseload data'!M:M,'caseload data'!$B:$B,"custody",'caseload data'!$C:$C,'custody %'!$T$8),"")</f>
        <v/>
      </c>
      <c r="AD10" s="187" t="str">
        <f>IFERROR(SUMIFS('caseload data'!N:N,'caseload data'!$C:$C,'custody %'!$T$8,'caseload data'!$D:$D,"PO",'caseload data'!$B:$B,"custody")/SUMIFS('caseload data'!N:N,'caseload data'!$B:$B,"custody",'caseload data'!$C:$C,'custody %'!$T$8),"")</f>
        <v/>
      </c>
      <c r="AE10" s="187" t="str">
        <f>IFERROR(SUMIFS('caseload data'!O:O,'caseload data'!$C:$C,'custody %'!$T$8,'caseload data'!$D:$D,"PO",'caseload data'!$B:$B,"custody")/SUMIFS('caseload data'!O:O,'caseload data'!$B:$B,"custody",'caseload data'!$C:$C,'custody %'!$T$8),"")</f>
        <v/>
      </c>
      <c r="AF10" s="187" t="str">
        <f>IFERROR(SUMIFS('caseload data'!P:P,'caseload data'!$C:$C,'custody %'!$T$8,'caseload data'!$D:$D,"PO",'caseload data'!$B:$B,"custody")/SUMIFS('caseload data'!P:P,'caseload data'!$B:$B,"custody",'caseload data'!$C:$C,'custody %'!$T$8),"")</f>
        <v/>
      </c>
      <c r="AG10" s="187" t="str">
        <f>IFERROR(SUMIFS('caseload data'!Q:Q,'caseload data'!$C:$C,'custody %'!$T$8,'caseload data'!$D:$D,"PO",'caseload data'!$B:$B,"custody")/SUMIFS('caseload data'!Q:Q,'caseload data'!$B:$B,"custody",'caseload data'!$C:$C,'custody %'!$T$8),"")</f>
        <v/>
      </c>
      <c r="AH10" s="187" t="str">
        <f>IFERROR(SUMIFS('caseload data'!R:R,'caseload data'!$C:$C,'custody %'!$T$8,'caseload data'!$D:$D,"PO",'caseload data'!$B:$B,"custody")/SUMIFS('caseload data'!R:R,'caseload data'!$B:$B,"custody",'caseload data'!$C:$C,'custody %'!$T$8),"")</f>
        <v/>
      </c>
      <c r="AI10" s="187"/>
      <c r="AJ10" s="187"/>
    </row>
    <row r="11" spans="1:49" x14ac:dyDescent="0.15">
      <c r="B11" s="110" t="s">
        <v>1038</v>
      </c>
      <c r="C11" s="187" t="str">
        <f>IFERROR(SUMIFS('caseload data'!E:E,'caseload data'!$C:$C,'custody %'!$B$8,'caseload data'!$D:$D,"PSO",'caseload data'!$B:$B,"custody")/SUMIFS('caseload data'!E:E,'caseload data'!$B:$B,"custody",'caseload data'!$C:$C,'custody %'!$B$8),"")</f>
        <v/>
      </c>
      <c r="D11" s="187" t="str">
        <f>IFERROR(SUMIFS('caseload data'!F:F,'caseload data'!$C:$C,'custody %'!$B$8,'caseload data'!$D:$D,"PSO",'caseload data'!$B:$B,"custody")/SUMIFS('caseload data'!F:F,'caseload data'!$B:$B,"custody",'caseload data'!$C:$C,'custody %'!$B$8),"")</f>
        <v/>
      </c>
      <c r="E11" s="187" t="str">
        <f>IFERROR(SUMIFS('caseload data'!G:G,'caseload data'!$C:$C,'custody %'!$B$8,'caseload data'!$D:$D,"PSO",'caseload data'!$B:$B,"custody")/SUMIFS('caseload data'!G:G,'caseload data'!$B:$B,"custody",'caseload data'!$C:$C,'custody %'!$B$8),"")</f>
        <v/>
      </c>
      <c r="F11" s="187" t="str">
        <f>IFERROR(SUMIFS('caseload data'!H:H,'caseload data'!$C:$C,'custody %'!$B$8,'caseload data'!$D:$D,"PSO",'caseload data'!$B:$B,"custody")/SUMIFS('caseload data'!H:H,'caseload data'!$B:$B,"custody",'caseload data'!$C:$C,'custody %'!$B$8),"")</f>
        <v/>
      </c>
      <c r="G11" s="187" t="str">
        <f>IFERROR(SUMIFS('caseload data'!I:I,'caseload data'!$C:$C,'custody %'!$B$8,'caseload data'!$D:$D,"PSO",'caseload data'!$B:$B,"custody")/SUMIFS('caseload data'!I:I,'caseload data'!$B:$B,"custody",'caseload data'!$C:$C,'custody %'!$B$8),"")</f>
        <v/>
      </c>
      <c r="H11" s="187" t="str">
        <f>IFERROR(SUMIFS('caseload data'!J:J,'caseload data'!$C:$C,'custody %'!$B$8,'caseload data'!$D:$D,"PSO",'caseload data'!$B:$B,"custody")/SUMIFS('caseload data'!J:J,'caseload data'!$B:$B,"custody",'caseload data'!$C:$C,'custody %'!$B$8),"")</f>
        <v/>
      </c>
      <c r="I11" s="187" t="str">
        <f>IFERROR(SUMIFS('caseload data'!K:K,'caseload data'!$C:$C,'custody %'!$B$8,'caseload data'!$D:$D,"PSO",'caseload data'!$B:$B,"custody")/SUMIFS('caseload data'!K:K,'caseload data'!$B:$B,"custody",'caseload data'!$C:$C,'custody %'!$B$8),"")</f>
        <v/>
      </c>
      <c r="J11" s="187" t="str">
        <f>IFERROR(SUMIFS('caseload data'!L:L,'caseload data'!$C:$C,'custody %'!$B$8,'caseload data'!$D:$D,"PSO",'caseload data'!$B:$B,"custody")/SUMIFS('caseload data'!L:L,'caseload data'!$B:$B,"custody",'caseload data'!$C:$C,'custody %'!$B$8),"")</f>
        <v/>
      </c>
      <c r="K11" s="187" t="str">
        <f>IFERROR(SUMIFS('caseload data'!M:M,'caseload data'!$C:$C,'custody %'!$B$8,'caseload data'!$D:$D,"PSO",'caseload data'!$B:$B,"custody")/SUMIFS('caseload data'!M:M,'caseload data'!$B:$B,"custody",'caseload data'!$C:$C,'custody %'!$B$8),"")</f>
        <v/>
      </c>
      <c r="L11" s="187" t="str">
        <f>IFERROR(SUMIFS('caseload data'!N:N,'caseload data'!$C:$C,'custody %'!$B$8,'caseload data'!$D:$D,"PSO",'caseload data'!$B:$B,"custody")/SUMIFS('caseload data'!N:N,'caseload data'!$B:$B,"custody",'caseload data'!$C:$C,'custody %'!$B$8),"")</f>
        <v/>
      </c>
      <c r="M11" s="187" t="str">
        <f>IFERROR(SUMIFS('caseload data'!O:O,'caseload data'!$C:$C,'custody %'!$B$8,'caseload data'!$D:$D,"PSO",'caseload data'!$B:$B,"custody")/SUMIFS('caseload data'!O:O,'caseload data'!$B:$B,"custody",'caseload data'!$C:$C,'custody %'!$B$8),"")</f>
        <v/>
      </c>
      <c r="N11" s="187" t="str">
        <f>IFERROR(SUMIFS('caseload data'!P:P,'caseload data'!$C:$C,'custody %'!$B$8,'caseload data'!$D:$D,"PSO",'caseload data'!$B:$B,"custody")/SUMIFS('caseload data'!P:P,'caseload data'!$B:$B,"custody",'caseload data'!$C:$C,'custody %'!$B$8),"")</f>
        <v/>
      </c>
      <c r="O11" s="187" t="str">
        <f>IFERROR(SUMIFS('caseload data'!Q:Q,'caseload data'!$C:$C,'custody %'!$B$8,'caseload data'!$D:$D,"PSO",'caseload data'!$B:$B,"custody")/SUMIFS('caseload data'!Q:Q,'caseload data'!$B:$B,"custody",'caseload data'!$C:$C,'custody %'!$B$8),"")</f>
        <v/>
      </c>
      <c r="P11" s="187" t="str">
        <f>IFERROR(SUMIFS('caseload data'!R:R,'caseload data'!$C:$C,'custody %'!$B$8,'caseload data'!$D:$D,"PSO",'caseload data'!$B:$B,"custody")/SUMIFS('caseload data'!R:R,'caseload data'!$B:$B,"custody",'caseload data'!$C:$C,'custody %'!$B$8),"")</f>
        <v/>
      </c>
      <c r="Q11" s="187" t="str">
        <f>IFERROR(SUMIFS('caseload data'!S:S,'caseload data'!$C:$C,'custody %'!$B$8,'caseload data'!$D:$D,"PSO",'caseload data'!$B:$B,"custody")/SUMIFS('caseload data'!S:S,'caseload data'!$B:$B,"custody",'caseload data'!$C:$C,'custody %'!$B$8),"")</f>
        <v/>
      </c>
      <c r="R11" s="187" t="str">
        <f>IFERROR(SUMIFS('caseload data'!T:T,'caseload data'!$C:$C,'custody %'!$B$8,'caseload data'!$D:$D,"PSO",'caseload data'!$B:$B,"custody")/SUMIFS('caseload data'!T:T,'caseload data'!$B:$B,"custody",'caseload data'!$C:$C,'custody %'!$B$8),"")</f>
        <v/>
      </c>
      <c r="S11" s="76"/>
      <c r="T11" s="110" t="s">
        <v>1038</v>
      </c>
      <c r="U11" s="187" t="str">
        <f>IFERROR(SUMIFS('caseload data'!E:E,'caseload data'!$C:$C,'custody %'!$T$8,'caseload data'!$D:$D,"PSO",'caseload data'!$B:$B,"custody")/SUMIFS('caseload data'!E:E,'caseload data'!$B:$B,"custody",'caseload data'!$C:$C,'custody %'!$T$8),"")</f>
        <v/>
      </c>
      <c r="V11" s="187" t="str">
        <f>IFERROR(SUMIFS('caseload data'!F:F,'caseload data'!$C:$C,'custody %'!$T$8,'caseload data'!$D:$D,"PSO",'caseload data'!$B:$B,"custody")/SUMIFS('caseload data'!F:F,'caseload data'!$B:$B,"custody",'caseload data'!$C:$C,'custody %'!$T$8),"")</f>
        <v/>
      </c>
      <c r="W11" s="187" t="str">
        <f>IFERROR(SUMIFS('caseload data'!G:G,'caseload data'!$C:$C,'custody %'!$T$8,'caseload data'!$D:$D,"PSO",'caseload data'!$B:$B,"custody")/SUMIFS('caseload data'!G:G,'caseload data'!$B:$B,"custody",'caseload data'!$C:$C,'custody %'!$T$8),"")</f>
        <v/>
      </c>
      <c r="X11" s="187" t="str">
        <f>IFERROR(SUMIFS('caseload data'!H:H,'caseload data'!$C:$C,'custody %'!$T$8,'caseload data'!$D:$D,"PSO",'caseload data'!$B:$B,"custody")/SUMIFS('caseload data'!H:H,'caseload data'!$B:$B,"custody",'caseload data'!$C:$C,'custody %'!$T$8),"")</f>
        <v/>
      </c>
      <c r="Y11" s="187" t="str">
        <f>IFERROR(SUMIFS('caseload data'!I:I,'caseload data'!$C:$C,'custody %'!$T$8,'caseload data'!$D:$D,"PSO",'caseload data'!$B:$B,"custody")/SUMIFS('caseload data'!I:I,'caseload data'!$B:$B,"custody",'caseload data'!$C:$C,'custody %'!$T$8),"")</f>
        <v/>
      </c>
      <c r="Z11" s="187" t="str">
        <f>IFERROR(SUMIFS('caseload data'!J:J,'caseload data'!$C:$C,'custody %'!$T$8,'caseload data'!$D:$D,"PSO",'caseload data'!$B:$B,"custody")/SUMIFS('caseload data'!J:J,'caseload data'!$B:$B,"custody",'caseload data'!$C:$C,'custody %'!$T$8),"")</f>
        <v/>
      </c>
      <c r="AA11" s="187" t="str">
        <f>IFERROR(SUMIFS('caseload data'!K:K,'caseload data'!$C:$C,'custody %'!$T$8,'caseload data'!$D:$D,"PSO",'caseload data'!$B:$B,"custody")/SUMIFS('caseload data'!K:K,'caseload data'!$B:$B,"custody",'caseload data'!$C:$C,'custody %'!$T$8),"")</f>
        <v/>
      </c>
      <c r="AB11" s="187" t="str">
        <f>IFERROR(SUMIFS('caseload data'!L:L,'caseload data'!$C:$C,'custody %'!$T$8,'caseload data'!$D:$D,"PSO",'caseload data'!$B:$B,"custody")/SUMIFS('caseload data'!L:L,'caseload data'!$B:$B,"custody",'caseload data'!$C:$C,'custody %'!$T$8),"")</f>
        <v/>
      </c>
      <c r="AC11" s="187" t="str">
        <f>IFERROR(SUMIFS('caseload data'!M:M,'caseload data'!$C:$C,'custody %'!$T$8,'caseload data'!$D:$D,"PSO",'caseload data'!$B:$B,"custody")/SUMIFS('caseload data'!M:M,'caseload data'!$B:$B,"custody",'caseload data'!$C:$C,'custody %'!$T$8),"")</f>
        <v/>
      </c>
      <c r="AD11" s="187" t="str">
        <f>IFERROR(SUMIFS('caseload data'!N:N,'caseload data'!$C:$C,'custody %'!$T$8,'caseload data'!$D:$D,"PSO",'caseload data'!$B:$B,"custody")/SUMIFS('caseload data'!N:N,'caseload data'!$B:$B,"custody",'caseload data'!$C:$C,'custody %'!$T$8),"")</f>
        <v/>
      </c>
      <c r="AE11" s="187" t="str">
        <f>IFERROR(SUMIFS('caseload data'!O:O,'caseload data'!$C:$C,'custody %'!$T$8,'caseload data'!$D:$D,"PSO",'caseload data'!$B:$B,"custody")/SUMIFS('caseload data'!O:O,'caseload data'!$B:$B,"custody",'caseload data'!$C:$C,'custody %'!$T$8),"")</f>
        <v/>
      </c>
      <c r="AF11" s="187" t="str">
        <f>IFERROR(SUMIFS('caseload data'!P:P,'caseload data'!$C:$C,'custody %'!$T$8,'caseload data'!$D:$D,"PSO",'caseload data'!$B:$B,"custody")/SUMIFS('caseload data'!P:P,'caseload data'!$B:$B,"custody",'caseload data'!$C:$C,'custody %'!$T$8),"")</f>
        <v/>
      </c>
      <c r="AG11" s="187" t="str">
        <f>IFERROR(SUMIFS('caseload data'!Q:Q,'caseload data'!$C:$C,'custody %'!$T$8,'caseload data'!$D:$D,"PSO",'caseload data'!$B:$B,"custody")/SUMIFS('caseload data'!Q:Q,'caseload data'!$B:$B,"custody",'caseload data'!$C:$C,'custody %'!$T$8),"")</f>
        <v/>
      </c>
      <c r="AH11" s="187" t="str">
        <f>IFERROR(SUMIFS('caseload data'!R:R,'caseload data'!$C:$C,'custody %'!$T$8,'caseload data'!$D:$D,"PSO",'caseload data'!$B:$B,"custody")/SUMIFS('caseload data'!R:R,'caseload data'!$B:$B,"custody",'caseload data'!$C:$C,'custody %'!$T$8),"")</f>
        <v/>
      </c>
      <c r="AI11" s="187"/>
      <c r="AJ11" s="187"/>
    </row>
    <row r="12" spans="1:49" x14ac:dyDescent="0.15">
      <c r="B12" s="110" t="s">
        <v>1039</v>
      </c>
      <c r="C12" s="187" t="str">
        <f>IFERROR(SUMIFS('caseload data'!E:E,'caseload data'!$C:$C,'custody %'!$B$8,'caseload data'!$D:$D,"TPO",'caseload data'!$B:$B,"custody")/SUMIFS('caseload data'!E:E,'caseload data'!$B:$B,"custody",'caseload data'!$C:$C,'custody %'!$B$8),"")</f>
        <v/>
      </c>
      <c r="D12" s="187" t="str">
        <f>IFERROR(SUMIFS('caseload data'!F:F,'caseload data'!$C:$C,'custody %'!$B$8,'caseload data'!$D:$D,"TPO",'caseload data'!$B:$B,"custody")/SUMIFS('caseload data'!F:F,'caseload data'!$B:$B,"custody",'caseload data'!$C:$C,'custody %'!$B$8),"")</f>
        <v/>
      </c>
      <c r="E12" s="187" t="str">
        <f>IFERROR(SUMIFS('caseload data'!G:G,'caseload data'!$C:$C,'custody %'!$B$8,'caseload data'!$D:$D,"TPO",'caseload data'!$B:$B,"custody")/SUMIFS('caseload data'!G:G,'caseload data'!$B:$B,"custody",'caseload data'!$C:$C,'custody %'!$B$8),"")</f>
        <v/>
      </c>
      <c r="F12" s="187" t="str">
        <f>IFERROR(SUMIFS('caseload data'!H:H,'caseload data'!$C:$C,'custody %'!$B$8,'caseload data'!$D:$D,"TPO",'caseload data'!$B:$B,"custody")/SUMIFS('caseload data'!H:H,'caseload data'!$B:$B,"custody",'caseload data'!$C:$C,'custody %'!$B$8),"")</f>
        <v/>
      </c>
      <c r="G12" s="187" t="str">
        <f>IFERROR(SUMIFS('caseload data'!I:I,'caseload data'!$C:$C,'custody %'!$B$8,'caseload data'!$D:$D,"TPO",'caseload data'!$B:$B,"custody")/SUMIFS('caseload data'!I:I,'caseload data'!$B:$B,"custody",'caseload data'!$C:$C,'custody %'!$B$8),"")</f>
        <v/>
      </c>
      <c r="H12" s="187" t="str">
        <f>IFERROR(SUMIFS('caseload data'!J:J,'caseload data'!$C:$C,'custody %'!$B$8,'caseload data'!$D:$D,"TPO",'caseload data'!$B:$B,"custody")/SUMIFS('caseload data'!J:J,'caseload data'!$B:$B,"custody",'caseload data'!$C:$C,'custody %'!$B$8),"")</f>
        <v/>
      </c>
      <c r="I12" s="187" t="str">
        <f>IFERROR(SUMIFS('caseload data'!K:K,'caseload data'!$C:$C,'custody %'!$B$8,'caseload data'!$D:$D,"TPO",'caseload data'!$B:$B,"custody")/SUMIFS('caseload data'!K:K,'caseload data'!$B:$B,"custody",'caseload data'!$C:$C,'custody %'!$B$8),"")</f>
        <v/>
      </c>
      <c r="J12" s="187" t="str">
        <f>IFERROR(SUMIFS('caseload data'!L:L,'caseload data'!$C:$C,'custody %'!$B$8,'caseload data'!$D:$D,"TPO",'caseload data'!$B:$B,"custody")/SUMIFS('caseload data'!L:L,'caseload data'!$B:$B,"custody",'caseload data'!$C:$C,'custody %'!$B$8),"")</f>
        <v/>
      </c>
      <c r="K12" s="187" t="str">
        <f>IFERROR(SUMIFS('caseload data'!M:M,'caseload data'!$C:$C,'custody %'!$B$8,'caseload data'!$D:$D,"TPO",'caseload data'!$B:$B,"custody")/SUMIFS('caseload data'!M:M,'caseload data'!$B:$B,"custody",'caseload data'!$C:$C,'custody %'!$B$8),"")</f>
        <v/>
      </c>
      <c r="L12" s="187" t="str">
        <f>IFERROR(SUMIFS('caseload data'!N:N,'caseload data'!$C:$C,'custody %'!$B$8,'caseload data'!$D:$D,"TPO",'caseload data'!$B:$B,"custody")/SUMIFS('caseload data'!N:N,'caseload data'!$B:$B,"custody",'caseload data'!$C:$C,'custody %'!$B$8),"")</f>
        <v/>
      </c>
      <c r="M12" s="187" t="str">
        <f>IFERROR(SUMIFS('caseload data'!O:O,'caseload data'!$C:$C,'custody %'!$B$8,'caseload data'!$D:$D,"TPO",'caseload data'!$B:$B,"custody")/SUMIFS('caseload data'!O:O,'caseload data'!$B:$B,"custody",'caseload data'!$C:$C,'custody %'!$B$8),"")</f>
        <v/>
      </c>
      <c r="N12" s="187" t="str">
        <f>IFERROR(SUMIFS('caseload data'!P:P,'caseload data'!$C:$C,'custody %'!$B$8,'caseload data'!$D:$D,"TPO",'caseload data'!$B:$B,"custody")/SUMIFS('caseload data'!P:P,'caseload data'!$B:$B,"custody",'caseload data'!$C:$C,'custody %'!$B$8),"")</f>
        <v/>
      </c>
      <c r="O12" s="187" t="str">
        <f>IFERROR(SUMIFS('caseload data'!Q:Q,'caseload data'!$C:$C,'custody %'!$B$8,'caseload data'!$D:$D,"TPO",'caseload data'!$B:$B,"custody")/SUMIFS('caseload data'!Q:Q,'caseload data'!$B:$B,"custody",'caseload data'!$C:$C,'custody %'!$B$8),"")</f>
        <v/>
      </c>
      <c r="P12" s="187" t="str">
        <f>IFERROR(SUMIFS('caseload data'!R:R,'caseload data'!$C:$C,'custody %'!$B$8,'caseload data'!$D:$D,"TPO",'caseload data'!$B:$B,"custody")/SUMIFS('caseload data'!R:R,'caseload data'!$B:$B,"custody",'caseload data'!$C:$C,'custody %'!$B$8),"")</f>
        <v/>
      </c>
      <c r="Q12" s="187" t="str">
        <f>IFERROR(SUMIFS('caseload data'!S:S,'caseload data'!$C:$C,'custody %'!$B$8,'caseload data'!$D:$D,"TPO",'caseload data'!$B:$B,"custody")/SUMIFS('caseload data'!S:S,'caseload data'!$B:$B,"custody",'caseload data'!$C:$C,'custody %'!$B$8),"")</f>
        <v/>
      </c>
      <c r="R12" s="187" t="str">
        <f>IFERROR(SUMIFS('caseload data'!T:T,'caseload data'!$C:$C,'custody %'!$B$8,'caseload data'!$D:$D,"TPO",'caseload data'!$B:$B,"custody")/SUMIFS('caseload data'!T:T,'caseload data'!$B:$B,"custody",'caseload data'!$C:$C,'custody %'!$B$8),"")</f>
        <v/>
      </c>
      <c r="S12" s="76"/>
      <c r="T12" s="110" t="s">
        <v>1039</v>
      </c>
      <c r="U12" s="187" t="str">
        <f>IFERROR(SUMIFS('caseload data'!E:E,'caseload data'!$C:$C,'custody %'!$T$8,'caseload data'!$D:$D,"TPO",'caseload data'!$B:$B,"custody")/SUMIFS('caseload data'!E:E,'caseload data'!$B:$B,"custody",'caseload data'!$C:$C,'custody %'!$T$8),"")</f>
        <v/>
      </c>
      <c r="V12" s="187" t="str">
        <f>IFERROR(SUMIFS('caseload data'!F:F,'caseload data'!$C:$C,'custody %'!$T$8,'caseload data'!$D:$D,"TPO",'caseload data'!$B:$B,"custody")/SUMIFS('caseload data'!F:F,'caseload data'!$B:$B,"custody",'caseload data'!$C:$C,'custody %'!$T$8),"")</f>
        <v/>
      </c>
      <c r="W12" s="187" t="str">
        <f>IFERROR(SUMIFS('caseload data'!G:G,'caseload data'!$C:$C,'custody %'!$T$8,'caseload data'!$D:$D,"TPO",'caseload data'!$B:$B,"custody")/SUMIFS('caseload data'!G:G,'caseload data'!$B:$B,"custody",'caseload data'!$C:$C,'custody %'!$T$8),"")</f>
        <v/>
      </c>
      <c r="X12" s="187" t="str">
        <f>IFERROR(SUMIFS('caseload data'!H:H,'caseload data'!$C:$C,'custody %'!$T$8,'caseload data'!$D:$D,"TPO",'caseload data'!$B:$B,"custody")/SUMIFS('caseload data'!H:H,'caseload data'!$B:$B,"custody",'caseload data'!$C:$C,'custody %'!$T$8),"")</f>
        <v/>
      </c>
      <c r="Y12" s="187" t="str">
        <f>IFERROR(SUMIFS('caseload data'!I:I,'caseload data'!$C:$C,'custody %'!$T$8,'caseload data'!$D:$D,"TPO",'caseload data'!$B:$B,"custody")/SUMIFS('caseload data'!I:I,'caseload data'!$B:$B,"custody",'caseload data'!$C:$C,'custody %'!$T$8),"")</f>
        <v/>
      </c>
      <c r="Z12" s="187" t="str">
        <f>IFERROR(SUMIFS('caseload data'!J:J,'caseload data'!$C:$C,'custody %'!$T$8,'caseload data'!$D:$D,"TPO",'caseload data'!$B:$B,"custody")/SUMIFS('caseload data'!J:J,'caseload data'!$B:$B,"custody",'caseload data'!$C:$C,'custody %'!$T$8),"")</f>
        <v/>
      </c>
      <c r="AA12" s="187" t="str">
        <f>IFERROR(SUMIFS('caseload data'!K:K,'caseload data'!$C:$C,'custody %'!$T$8,'caseload data'!$D:$D,"TPO",'caseload data'!$B:$B,"custody")/SUMIFS('caseload data'!K:K,'caseload data'!$B:$B,"custody",'caseload data'!$C:$C,'custody %'!$T$8),"")</f>
        <v/>
      </c>
      <c r="AB12" s="187" t="str">
        <f>IFERROR(SUMIFS('caseload data'!L:L,'caseload data'!$C:$C,'custody %'!$T$8,'caseload data'!$D:$D,"TPO",'caseload data'!$B:$B,"custody")/SUMIFS('caseload data'!L:L,'caseload data'!$B:$B,"custody",'caseload data'!$C:$C,'custody %'!$T$8),"")</f>
        <v/>
      </c>
      <c r="AC12" s="187" t="str">
        <f>IFERROR(SUMIFS('caseload data'!M:M,'caseload data'!$C:$C,'custody %'!$T$8,'caseload data'!$D:$D,"TPO",'caseload data'!$B:$B,"custody")/SUMIFS('caseload data'!M:M,'caseload data'!$B:$B,"custody",'caseload data'!$C:$C,'custody %'!$T$8),"")</f>
        <v/>
      </c>
      <c r="AD12" s="187" t="str">
        <f>IFERROR(SUMIFS('caseload data'!N:N,'caseload data'!$C:$C,'custody %'!$T$8,'caseload data'!$D:$D,"TPO",'caseload data'!$B:$B,"custody")/SUMIFS('caseload data'!N:N,'caseload data'!$B:$B,"custody",'caseload data'!$C:$C,'custody %'!$T$8),"")</f>
        <v/>
      </c>
      <c r="AE12" s="187" t="str">
        <f>IFERROR(SUMIFS('caseload data'!O:O,'caseload data'!$C:$C,'custody %'!$T$8,'caseload data'!$D:$D,"TPO",'caseload data'!$B:$B,"custody")/SUMIFS('caseload data'!O:O,'caseload data'!$B:$B,"custody",'caseload data'!$C:$C,'custody %'!$T$8),"")</f>
        <v/>
      </c>
      <c r="AF12" s="187" t="str">
        <f>IFERROR(SUMIFS('caseload data'!P:P,'caseload data'!$C:$C,'custody %'!$T$8,'caseload data'!$D:$D,"TPO",'caseload data'!$B:$B,"custody")/SUMIFS('caseload data'!P:P,'caseload data'!$B:$B,"custody",'caseload data'!$C:$C,'custody %'!$T$8),"")</f>
        <v/>
      </c>
      <c r="AG12" s="187" t="str">
        <f>IFERROR(SUMIFS('caseload data'!Q:Q,'caseload data'!$C:$C,'custody %'!$T$8,'caseload data'!$D:$D,"TPO",'caseload data'!$B:$B,"custody")/SUMIFS('caseload data'!Q:Q,'caseload data'!$B:$B,"custody",'caseload data'!$C:$C,'custody %'!$T$8),"")</f>
        <v/>
      </c>
      <c r="AH12" s="187" t="str">
        <f>IFERROR(SUMIFS('caseload data'!R:R,'caseload data'!$C:$C,'custody %'!$T$8,'caseload data'!$D:$D,"TPO",'caseload data'!$B:$B,"custody")/SUMIFS('caseload data'!R:R,'caseload data'!$B:$B,"custody",'caseload data'!$C:$C,'custody %'!$T$8),"")</f>
        <v/>
      </c>
      <c r="AI12" s="187"/>
      <c r="AJ12" s="187"/>
    </row>
    <row r="13" spans="1:49" x14ac:dyDescent="0.15">
      <c r="B13" s="111" t="s">
        <v>1040</v>
      </c>
      <c r="C13" s="187" t="str">
        <f>IFERROR(SUMIFS('caseload data'!E:E,'caseload data'!$C:$C,'custody %'!$B$8,'caseload data'!$D:$D,"SPO",'caseload data'!$B:$B,"custody")/SUMIFS('caseload data'!E:E,'caseload data'!$B:$B,"custody",'caseload data'!$C:$C,'custody %'!$B$8),"")</f>
        <v/>
      </c>
      <c r="D13" s="187" t="str">
        <f>IFERROR(SUMIFS('caseload data'!F:F,'caseload data'!$C:$C,'custody %'!$B$8,'caseload data'!$D:$D,"SPO",'caseload data'!$B:$B,"custody")/SUMIFS('caseload data'!F:F,'caseload data'!$B:$B,"custody",'caseload data'!$C:$C,'custody %'!$B$8),"")</f>
        <v/>
      </c>
      <c r="E13" s="187" t="str">
        <f>IFERROR(SUMIFS('caseload data'!G:G,'caseload data'!$C:$C,'custody %'!$B$8,'caseload data'!$D:$D,"SPO",'caseload data'!$B:$B,"custody")/SUMIFS('caseload data'!G:G,'caseload data'!$B:$B,"custody",'caseload data'!$C:$C,'custody %'!$B$8),"")</f>
        <v/>
      </c>
      <c r="F13" s="187" t="str">
        <f>IFERROR(SUMIFS('caseload data'!H:H,'caseload data'!$C:$C,'custody %'!$B$8,'caseload data'!$D:$D,"SPO",'caseload data'!$B:$B,"custody")/SUMIFS('caseload data'!H:H,'caseload data'!$B:$B,"custody",'caseload data'!$C:$C,'custody %'!$B$8),"")</f>
        <v/>
      </c>
      <c r="G13" s="187" t="str">
        <f>IFERROR(SUMIFS('caseload data'!I:I,'caseload data'!$C:$C,'custody %'!$B$8,'caseload data'!$D:$D,"SPO",'caseload data'!$B:$B,"custody")/SUMIFS('caseload data'!I:I,'caseload data'!$B:$B,"custody",'caseload data'!$C:$C,'custody %'!$B$8),"")</f>
        <v/>
      </c>
      <c r="H13" s="187" t="str">
        <f>IFERROR(SUMIFS('caseload data'!J:J,'caseload data'!$C:$C,'custody %'!$B$8,'caseload data'!$D:$D,"SPO",'caseload data'!$B:$B,"custody")/SUMIFS('caseload data'!J:J,'caseload data'!$B:$B,"custody",'caseload data'!$C:$C,'custody %'!$B$8),"")</f>
        <v/>
      </c>
      <c r="I13" s="187" t="str">
        <f>IFERROR(SUMIFS('caseload data'!K:K,'caseload data'!$C:$C,'custody %'!$B$8,'caseload data'!$D:$D,"SPO",'caseload data'!$B:$B,"custody")/SUMIFS('caseload data'!K:K,'caseload data'!$B:$B,"custody",'caseload data'!$C:$C,'custody %'!$B$8),"")</f>
        <v/>
      </c>
      <c r="J13" s="187" t="str">
        <f>IFERROR(SUMIFS('caseload data'!L:L,'caseload data'!$C:$C,'custody %'!$B$8,'caseload data'!$D:$D,"SPO",'caseload data'!$B:$B,"custody")/SUMIFS('caseload data'!L:L,'caseload data'!$B:$B,"custody",'caseload data'!$C:$C,'custody %'!$B$8),"")</f>
        <v/>
      </c>
      <c r="K13" s="187" t="str">
        <f>IFERROR(SUMIFS('caseload data'!M:M,'caseload data'!$C:$C,'custody %'!$B$8,'caseload data'!$D:$D,"SPO",'caseload data'!$B:$B,"custody")/SUMIFS('caseload data'!M:M,'caseload data'!$B:$B,"custody",'caseload data'!$C:$C,'custody %'!$B$8),"")</f>
        <v/>
      </c>
      <c r="L13" s="187" t="str">
        <f>IFERROR(SUMIFS('caseload data'!N:N,'caseload data'!$C:$C,'custody %'!$B$8,'caseload data'!$D:$D,"SPO",'caseload data'!$B:$B,"custody")/SUMIFS('caseload data'!N:N,'caseload data'!$B:$B,"custody",'caseload data'!$C:$C,'custody %'!$B$8),"")</f>
        <v/>
      </c>
      <c r="M13" s="187" t="str">
        <f>IFERROR(SUMIFS('caseload data'!O:O,'caseload data'!$C:$C,'custody %'!$B$8,'caseload data'!$D:$D,"SPO",'caseload data'!$B:$B,"custody")/SUMIFS('caseload data'!O:O,'caseload data'!$B:$B,"custody",'caseload data'!$C:$C,'custody %'!$B$8),"")</f>
        <v/>
      </c>
      <c r="N13" s="187" t="str">
        <f>IFERROR(SUMIFS('caseload data'!P:P,'caseload data'!$C:$C,'custody %'!$B$8,'caseload data'!$D:$D,"SPO",'caseload data'!$B:$B,"custody")/SUMIFS('caseload data'!P:P,'caseload data'!$B:$B,"custody",'caseload data'!$C:$C,'custody %'!$B$8),"")</f>
        <v/>
      </c>
      <c r="O13" s="187" t="str">
        <f>IFERROR(SUMIFS('caseload data'!Q:Q,'caseload data'!$C:$C,'custody %'!$B$8,'caseload data'!$D:$D,"SPO",'caseload data'!$B:$B,"custody")/SUMIFS('caseload data'!Q:Q,'caseload data'!$B:$B,"custody",'caseload data'!$C:$C,'custody %'!$B$8),"")</f>
        <v/>
      </c>
      <c r="P13" s="187" t="str">
        <f>IFERROR(SUMIFS('caseload data'!R:R,'caseload data'!$C:$C,'custody %'!$B$8,'caseload data'!$D:$D,"SPO",'caseload data'!$B:$B,"custody")/SUMIFS('caseload data'!R:R,'caseload data'!$B:$B,"custody",'caseload data'!$C:$C,'custody %'!$B$8),"")</f>
        <v/>
      </c>
      <c r="Q13" s="187" t="str">
        <f>IFERROR(SUMIFS('caseload data'!S:S,'caseload data'!$C:$C,'custody %'!$B$8,'caseload data'!$D:$D,"SPO",'caseload data'!$B:$B,"custody")/SUMIFS('caseload data'!S:S,'caseload data'!$B:$B,"custody",'caseload data'!$C:$C,'custody %'!$B$8),"")</f>
        <v/>
      </c>
      <c r="R13" s="187" t="str">
        <f>IFERROR(SUMIFS('caseload data'!T:T,'caseload data'!$C:$C,'custody %'!$B$8,'caseload data'!$D:$D,"SPO",'caseload data'!$B:$B,"custody")/SUMIFS('caseload data'!T:T,'caseload data'!$B:$B,"custody",'caseload data'!$C:$C,'custody %'!$B$8),"")</f>
        <v/>
      </c>
      <c r="S13" s="76"/>
      <c r="T13" s="111" t="s">
        <v>1040</v>
      </c>
      <c r="U13" s="187" t="str">
        <f>IFERROR(SUMIFS('caseload data'!E:E,'caseload data'!$C:$C,'custody %'!$T$8,'caseload data'!$D:$D,"SPO",'caseload data'!$B:$B,"custody")/SUMIFS('caseload data'!E:E,'caseload data'!$B:$B,"custody",'caseload data'!$C:$C,'custody %'!$T$8),"")</f>
        <v/>
      </c>
      <c r="V13" s="187" t="str">
        <f>IFERROR(SUMIFS('caseload data'!F:F,'caseload data'!$C:$C,'custody %'!$T$8,'caseload data'!$D:$D,"SPO",'caseload data'!$B:$B,"custody")/SUMIFS('caseload data'!F:F,'caseload data'!$B:$B,"custody",'caseload data'!$C:$C,'custody %'!$T$8),"")</f>
        <v/>
      </c>
      <c r="W13" s="187" t="str">
        <f>IFERROR(SUMIFS('caseload data'!G:G,'caseload data'!$C:$C,'custody %'!$T$8,'caseload data'!$D:$D,"SPO",'caseload data'!$B:$B,"custody")/SUMIFS('caseload data'!G:G,'caseload data'!$B:$B,"custody",'caseload data'!$C:$C,'custody %'!$T$8),"")</f>
        <v/>
      </c>
      <c r="X13" s="187" t="str">
        <f>IFERROR(SUMIFS('caseload data'!H:H,'caseload data'!$C:$C,'custody %'!$T$8,'caseload data'!$D:$D,"SPO",'caseload data'!$B:$B,"custody")/SUMIFS('caseload data'!H:H,'caseload data'!$B:$B,"custody",'caseload data'!$C:$C,'custody %'!$T$8),"")</f>
        <v/>
      </c>
      <c r="Y13" s="187" t="str">
        <f>IFERROR(SUMIFS('caseload data'!I:I,'caseload data'!$C:$C,'custody %'!$T$8,'caseload data'!$D:$D,"SPO",'caseload data'!$B:$B,"custody")/SUMIFS('caseload data'!I:I,'caseload data'!$B:$B,"custody",'caseload data'!$C:$C,'custody %'!$T$8),"")</f>
        <v/>
      </c>
      <c r="Z13" s="187" t="str">
        <f>IFERROR(SUMIFS('caseload data'!J:J,'caseload data'!$C:$C,'custody %'!$T$8,'caseload data'!$D:$D,"SPO",'caseload data'!$B:$B,"custody")/SUMIFS('caseload data'!J:J,'caseload data'!$B:$B,"custody",'caseload data'!$C:$C,'custody %'!$T$8),"")</f>
        <v/>
      </c>
      <c r="AA13" s="187" t="str">
        <f>IFERROR(SUMIFS('caseload data'!K:K,'caseload data'!$C:$C,'custody %'!$T$8,'caseload data'!$D:$D,"SPO",'caseload data'!$B:$B,"custody")/SUMIFS('caseload data'!K:K,'caseload data'!$B:$B,"custody",'caseload data'!$C:$C,'custody %'!$T$8),"")</f>
        <v/>
      </c>
      <c r="AB13" s="187" t="str">
        <f>IFERROR(SUMIFS('caseload data'!L:L,'caseload data'!$C:$C,'custody %'!$T$8,'caseload data'!$D:$D,"SPO",'caseload data'!$B:$B,"custody")/SUMIFS('caseload data'!L:L,'caseload data'!$B:$B,"custody",'caseload data'!$C:$C,'custody %'!$T$8),"")</f>
        <v/>
      </c>
      <c r="AC13" s="187" t="str">
        <f>IFERROR(SUMIFS('caseload data'!M:M,'caseload data'!$C:$C,'custody %'!$T$8,'caseload data'!$D:$D,"SPO",'caseload data'!$B:$B,"custody")/SUMIFS('caseload data'!M:M,'caseload data'!$B:$B,"custody",'caseload data'!$C:$C,'custody %'!$T$8),"")</f>
        <v/>
      </c>
      <c r="AD13" s="187" t="str">
        <f>IFERROR(SUMIFS('caseload data'!N:N,'caseload data'!$C:$C,'custody %'!$T$8,'caseload data'!$D:$D,"SPO",'caseload data'!$B:$B,"custody")/SUMIFS('caseload data'!N:N,'caseload data'!$B:$B,"custody",'caseload data'!$C:$C,'custody %'!$T$8),"")</f>
        <v/>
      </c>
      <c r="AE13" s="187" t="str">
        <f>IFERROR(SUMIFS('caseload data'!O:O,'caseload data'!$C:$C,'custody %'!$T$8,'caseload data'!$D:$D,"SPO",'caseload data'!$B:$B,"custody")/SUMIFS('caseload data'!O:O,'caseload data'!$B:$B,"custody",'caseload data'!$C:$C,'custody %'!$T$8),"")</f>
        <v/>
      </c>
      <c r="AF13" s="187" t="str">
        <f>IFERROR(SUMIFS('caseload data'!P:P,'caseload data'!$C:$C,'custody %'!$T$8,'caseload data'!$D:$D,"SPO",'caseload data'!$B:$B,"custody")/SUMIFS('caseload data'!P:P,'caseload data'!$B:$B,"custody",'caseload data'!$C:$C,'custody %'!$T$8),"")</f>
        <v/>
      </c>
      <c r="AG13" s="187" t="str">
        <f>IFERROR(SUMIFS('caseload data'!Q:Q,'caseload data'!$C:$C,'custody %'!$T$8,'caseload data'!$D:$D,"SPO",'caseload data'!$B:$B,"custody")/SUMIFS('caseload data'!Q:Q,'caseload data'!$B:$B,"custody",'caseload data'!$C:$C,'custody %'!$T$8),"")</f>
        <v/>
      </c>
      <c r="AH13" s="187" t="str">
        <f>IFERROR(SUMIFS('caseload data'!R:R,'caseload data'!$C:$C,'custody %'!$T$8,'caseload data'!$D:$D,"SPO",'caseload data'!$B:$B,"custody")/SUMIFS('caseload data'!R:R,'caseload data'!$B:$B,"custody",'caseload data'!$C:$C,'custody %'!$T$8),"")</f>
        <v/>
      </c>
      <c r="AI13" s="187"/>
      <c r="AJ13" s="187"/>
    </row>
    <row r="14" spans="1:49" x14ac:dyDescent="0.15">
      <c r="B14" s="104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104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</row>
    <row r="15" spans="1:49" ht="30" customHeight="1" x14ac:dyDescent="0.15">
      <c r="B15" s="162" t="str">
        <f>HLOOKUP($B$5,Region_Table,4,0)</f>
        <v>Barking and Dagenham and Havering</v>
      </c>
      <c r="C15" s="333" t="s">
        <v>1262</v>
      </c>
      <c r="D15" s="334"/>
      <c r="E15" s="334"/>
      <c r="F15" s="334"/>
      <c r="G15" s="334"/>
      <c r="H15" s="334"/>
      <c r="I15" s="334"/>
      <c r="J15" s="334"/>
      <c r="K15" s="334"/>
      <c r="L15" s="334"/>
      <c r="M15" s="343"/>
      <c r="N15" s="343"/>
      <c r="O15" s="344"/>
      <c r="P15" s="337">
        <f>SUMIF('caseload data'!$C:$C,'custody %'!B15,'caseload data'!V:V)</f>
        <v>0</v>
      </c>
      <c r="Q15" s="345"/>
      <c r="R15" s="346"/>
      <c r="S15" s="76"/>
      <c r="T15" s="162" t="str">
        <f>HLOOKUP($B$5,Region_Table,5,0)</f>
        <v>Brent - N07</v>
      </c>
      <c r="U15" s="333" t="s">
        <v>1262</v>
      </c>
      <c r="V15" s="334"/>
      <c r="W15" s="334"/>
      <c r="X15" s="334"/>
      <c r="Y15" s="334"/>
      <c r="Z15" s="334"/>
      <c r="AA15" s="334"/>
      <c r="AB15" s="334"/>
      <c r="AC15" s="343"/>
      <c r="AD15" s="343"/>
      <c r="AE15" s="344"/>
      <c r="AF15" s="337">
        <f>SUMIF('caseload data'!$C:$C,'custody %'!T15,'caseload data'!V:V)</f>
        <v>0</v>
      </c>
      <c r="AG15" s="345"/>
      <c r="AH15" s="346"/>
    </row>
    <row r="16" spans="1:49" x14ac:dyDescent="0.15">
      <c r="B16" s="108" t="s">
        <v>1199</v>
      </c>
      <c r="C16" s="42" t="s">
        <v>1019</v>
      </c>
      <c r="D16" s="42" t="s">
        <v>1020</v>
      </c>
      <c r="E16" s="42" t="s">
        <v>1021</v>
      </c>
      <c r="F16" s="42" t="s">
        <v>1022</v>
      </c>
      <c r="G16" s="42" t="s">
        <v>1023</v>
      </c>
      <c r="H16" s="42" t="s">
        <v>1024</v>
      </c>
      <c r="I16" s="42" t="s">
        <v>1025</v>
      </c>
      <c r="J16" s="42" t="s">
        <v>1026</v>
      </c>
      <c r="K16" s="42" t="s">
        <v>1027</v>
      </c>
      <c r="L16" s="42" t="s">
        <v>1028</v>
      </c>
      <c r="M16" s="42" t="s">
        <v>1029</v>
      </c>
      <c r="N16" s="42" t="s">
        <v>1030</v>
      </c>
      <c r="O16" s="42" t="s">
        <v>1031</v>
      </c>
      <c r="P16" s="42" t="s">
        <v>1032</v>
      </c>
      <c r="Q16" s="42" t="s">
        <v>1033</v>
      </c>
      <c r="R16" s="42" t="s">
        <v>1034</v>
      </c>
      <c r="S16" s="76"/>
      <c r="T16" s="108" t="s">
        <v>1199</v>
      </c>
      <c r="U16" s="42" t="s">
        <v>1019</v>
      </c>
      <c r="V16" s="42" t="s">
        <v>1020</v>
      </c>
      <c r="W16" s="42" t="s">
        <v>1021</v>
      </c>
      <c r="X16" s="42" t="s">
        <v>1022</v>
      </c>
      <c r="Y16" s="42" t="s">
        <v>1023</v>
      </c>
      <c r="Z16" s="42" t="s">
        <v>1024</v>
      </c>
      <c r="AA16" s="42" t="s">
        <v>1025</v>
      </c>
      <c r="AB16" s="42" t="s">
        <v>1026</v>
      </c>
      <c r="AC16" s="42" t="s">
        <v>1027</v>
      </c>
      <c r="AD16" s="42" t="s">
        <v>1028</v>
      </c>
      <c r="AE16" s="42" t="s">
        <v>1029</v>
      </c>
      <c r="AF16" s="42" t="s">
        <v>1030</v>
      </c>
      <c r="AG16" s="42" t="s">
        <v>1031</v>
      </c>
      <c r="AH16" s="42" t="s">
        <v>1032</v>
      </c>
      <c r="AI16" s="42" t="s">
        <v>1033</v>
      </c>
      <c r="AJ16" s="42" t="s">
        <v>1034</v>
      </c>
    </row>
    <row r="17" spans="2:36" x14ac:dyDescent="0.15">
      <c r="B17" s="109" t="s">
        <v>1037</v>
      </c>
      <c r="C17" s="187" t="str">
        <f>IFERROR(SUMIFS('caseload data'!E:E,'caseload data'!$C:$C,'custody %'!$B$15,'caseload data'!$D:$D,"PO",'caseload data'!$B:$B,"custody")/SUMIFS('caseload data'!E:E,'caseload data'!$B:$B,"custody",'caseload data'!$C:$C,'custody %'!$B$15),"")</f>
        <v/>
      </c>
      <c r="D17" s="187" t="str">
        <f>IFERROR(SUMIFS('caseload data'!F:F,'caseload data'!$C:$C,'custody %'!$B$15,'caseload data'!$D:$D,"PO",'caseload data'!$B:$B,"custody")/SUMIFS('caseload data'!F:F,'caseload data'!$B:$B,"custody",'caseload data'!$C:$C,'custody %'!$B$15),"")</f>
        <v/>
      </c>
      <c r="E17" s="187" t="str">
        <f>IFERROR(SUMIFS('caseload data'!G:G,'caseload data'!$C:$C,'custody %'!$B$15,'caseload data'!$D:$D,"PO",'caseload data'!$B:$B,"custody")/SUMIFS('caseload data'!G:G,'caseload data'!$B:$B,"custody",'caseload data'!$C:$C,'custody %'!$B$15),"")</f>
        <v/>
      </c>
      <c r="F17" s="187" t="str">
        <f>IFERROR(SUMIFS('caseload data'!H:H,'caseload data'!$C:$C,'custody %'!$B$15,'caseload data'!$D:$D,"PO",'caseload data'!$B:$B,"custody")/SUMIFS('caseload data'!H:H,'caseload data'!$B:$B,"custody",'caseload data'!$C:$C,'custody %'!$B$15),"")</f>
        <v/>
      </c>
      <c r="G17" s="187" t="str">
        <f>IFERROR(SUMIFS('caseload data'!I:I,'caseload data'!$C:$C,'custody %'!$B$15,'caseload data'!$D:$D,"PO",'caseload data'!$B:$B,"custody")/SUMIFS('caseload data'!I:I,'caseload data'!$B:$B,"custody",'caseload data'!$C:$C,'custody %'!$B$15),"")</f>
        <v/>
      </c>
      <c r="H17" s="187" t="str">
        <f>IFERROR(SUMIFS('caseload data'!J:J,'caseload data'!$C:$C,'custody %'!$B$15,'caseload data'!$D:$D,"PO",'caseload data'!$B:$B,"custody")/SUMIFS('caseload data'!J:J,'caseload data'!$B:$B,"custody",'caseload data'!$C:$C,'custody %'!$B$15),"")</f>
        <v/>
      </c>
      <c r="I17" s="187" t="str">
        <f>IFERROR(SUMIFS('caseload data'!K:K,'caseload data'!$C:$C,'custody %'!$B$15,'caseload data'!$D:$D,"PO",'caseload data'!$B:$B,"custody")/SUMIFS('caseload data'!K:K,'caseload data'!$B:$B,"custody",'caseload data'!$C:$C,'custody %'!$B$15),"")</f>
        <v/>
      </c>
      <c r="J17" s="187" t="str">
        <f>IFERROR(SUMIFS('caseload data'!L:L,'caseload data'!$C:$C,'custody %'!$B$15,'caseload data'!$D:$D,"PO",'caseload data'!$B:$B,"custody")/SUMIFS('caseload data'!L:L,'caseload data'!$B:$B,"custody",'caseload data'!$C:$C,'custody %'!$B$15),"")</f>
        <v/>
      </c>
      <c r="K17" s="187" t="str">
        <f>IFERROR(SUMIFS('caseload data'!M:M,'caseload data'!$C:$C,'custody %'!$B$15,'caseload data'!$D:$D,"PO",'caseload data'!$B:$B,"custody")/SUMIFS('caseload data'!M:M,'caseload data'!$B:$B,"custody",'caseload data'!$C:$C,'custody %'!$B$15),"")</f>
        <v/>
      </c>
      <c r="L17" s="187" t="str">
        <f>IFERROR(SUMIFS('caseload data'!N:N,'caseload data'!$C:$C,'custody %'!$B$15,'caseload data'!$D:$D,"PO",'caseload data'!$B:$B,"custody")/SUMIFS('caseload data'!N:N,'caseload data'!$B:$B,"custody",'caseload data'!$C:$C,'custody %'!$B$15),"")</f>
        <v/>
      </c>
      <c r="M17" s="187" t="str">
        <f>IFERROR(SUMIFS('caseload data'!O:O,'caseload data'!$C:$C,'custody %'!$B$15,'caseload data'!$D:$D,"PO",'caseload data'!$B:$B,"custody")/SUMIFS('caseload data'!O:O,'caseload data'!$B:$B,"custody",'caseload data'!$C:$C,'custody %'!$B$15),"")</f>
        <v/>
      </c>
      <c r="N17" s="187" t="str">
        <f>IFERROR(SUMIFS('caseload data'!P:P,'caseload data'!$C:$C,'custody %'!$B$15,'caseload data'!$D:$D,"PO",'caseload data'!$B:$B,"custody")/SUMIFS('caseload data'!P:P,'caseload data'!$B:$B,"custody",'caseload data'!$C:$C,'custody %'!$B$15),"")</f>
        <v/>
      </c>
      <c r="O17" s="187" t="str">
        <f>IFERROR(SUMIFS('caseload data'!Q:Q,'caseload data'!$C:$C,'custody %'!$B$15,'caseload data'!$D:$D,"PO",'caseload data'!$B:$B,"custody")/SUMIFS('caseload data'!Q:Q,'caseload data'!$B:$B,"custody",'caseload data'!$C:$C,'custody %'!$B$15),"")</f>
        <v/>
      </c>
      <c r="P17" s="187" t="str">
        <f>IFERROR(SUMIFS('caseload data'!R:R,'caseload data'!$C:$C,'custody %'!$B$15,'caseload data'!$D:$D,"PO",'caseload data'!$B:$B,"custody")/SUMIFS('caseload data'!R:R,'caseload data'!$B:$B,"custody",'caseload data'!$C:$C,'custody %'!$B$15),"")</f>
        <v/>
      </c>
      <c r="Q17" s="187" t="str">
        <f>IFERROR(SUMIFS('caseload data'!S:S,'caseload data'!$C:$C,'custody %'!$B$15,'caseload data'!$D:$D,"PO",'caseload data'!$B:$B,"custody")/SUMIFS('caseload data'!S:S,'caseload data'!$B:$B,"custody",'caseload data'!$C:$C,'custody %'!$B$15),"")</f>
        <v/>
      </c>
      <c r="R17" s="187" t="str">
        <f>IFERROR(SUMIFS('caseload data'!T:T,'caseload data'!$C:$C,'custody %'!$B$15,'caseload data'!$D:$D,"PO",'caseload data'!$B:$B,"custody")/SUMIFS('caseload data'!T:T,'caseload data'!$B:$B,"custody",'caseload data'!$C:$C,'custody %'!$B$15),"")</f>
        <v/>
      </c>
      <c r="S17" s="76"/>
      <c r="T17" s="109" t="s">
        <v>1037</v>
      </c>
      <c r="U17" s="187" t="str">
        <f>IFERROR(SUMIFS('caseload data'!E:E,'caseload data'!$C:$C,'custody %'!$T$15,'caseload data'!$D:$D,"PO",'caseload data'!$B:$B,"custody")/SUMIFS('caseload data'!E:E,'caseload data'!$B:$B,"custody",'caseload data'!$C:$C,'custody %'!$T$15),"")</f>
        <v/>
      </c>
      <c r="V17" s="187" t="str">
        <f>IFERROR(SUMIFS('caseload data'!F:F,'caseload data'!$C:$C,'custody %'!$T$15,'caseload data'!$D:$D,"PO",'caseload data'!$B:$B,"custody")/SUMIFS('caseload data'!F:F,'caseload data'!$B:$B,"custody",'caseload data'!$C:$C,'custody %'!$T$15),"")</f>
        <v/>
      </c>
      <c r="W17" s="187" t="str">
        <f>IFERROR(SUMIFS('caseload data'!G:G,'caseload data'!$C:$C,'custody %'!$T$15,'caseload data'!$D:$D,"PO",'caseload data'!$B:$B,"custody")/SUMIFS('caseload data'!G:G,'caseload data'!$B:$B,"custody",'caseload data'!$C:$C,'custody %'!$T$15),"")</f>
        <v/>
      </c>
      <c r="X17" s="187" t="str">
        <f>IFERROR(SUMIFS('caseload data'!H:H,'caseload data'!$C:$C,'custody %'!$T$15,'caseload data'!$D:$D,"PO",'caseload data'!$B:$B,"custody")/SUMIFS('caseload data'!H:H,'caseload data'!$B:$B,"custody",'caseload data'!$C:$C,'custody %'!$T$15),"")</f>
        <v/>
      </c>
      <c r="Y17" s="187" t="str">
        <f>IFERROR(SUMIFS('caseload data'!I:I,'caseload data'!$C:$C,'custody %'!$T$15,'caseload data'!$D:$D,"PO",'caseload data'!$B:$B,"custody")/SUMIFS('caseload data'!I:I,'caseload data'!$B:$B,"custody",'caseload data'!$C:$C,'custody %'!$T$15),"")</f>
        <v/>
      </c>
      <c r="Z17" s="187" t="str">
        <f>IFERROR(SUMIFS('caseload data'!J:J,'caseload data'!$C:$C,'custody %'!$T$15,'caseload data'!$D:$D,"PO",'caseload data'!$B:$B,"custody")/SUMIFS('caseload data'!J:J,'caseload data'!$B:$B,"custody",'caseload data'!$C:$C,'custody %'!$T$15),"")</f>
        <v/>
      </c>
      <c r="AA17" s="187" t="str">
        <f>IFERROR(SUMIFS('caseload data'!K:K,'caseload data'!$C:$C,'custody %'!$T$15,'caseload data'!$D:$D,"PO",'caseload data'!$B:$B,"custody")/SUMIFS('caseload data'!K:K,'caseload data'!$B:$B,"custody",'caseload data'!$C:$C,'custody %'!$T$15),"")</f>
        <v/>
      </c>
      <c r="AB17" s="187" t="str">
        <f>IFERROR(SUMIFS('caseload data'!L:L,'caseload data'!$C:$C,'custody %'!$T$15,'caseload data'!$D:$D,"PO",'caseload data'!$B:$B,"custody")/SUMIFS('caseload data'!L:L,'caseload data'!$B:$B,"custody",'caseload data'!$C:$C,'custody %'!$T$15),"")</f>
        <v/>
      </c>
      <c r="AC17" s="187" t="str">
        <f>IFERROR(SUMIFS('caseload data'!M:M,'caseload data'!$C:$C,'custody %'!$T$15,'caseload data'!$D:$D,"PO",'caseload data'!$B:$B,"custody")/SUMIFS('caseload data'!M:M,'caseload data'!$B:$B,"custody",'caseload data'!$C:$C,'custody %'!$T$15),"")</f>
        <v/>
      </c>
      <c r="AD17" s="187" t="str">
        <f>IFERROR(SUMIFS('caseload data'!N:N,'caseload data'!$C:$C,'custody %'!$T$15,'caseload data'!$D:$D,"PO",'caseload data'!$B:$B,"custody")/SUMIFS('caseload data'!N:N,'caseload data'!$B:$B,"custody",'caseload data'!$C:$C,'custody %'!$T$15),"")</f>
        <v/>
      </c>
      <c r="AE17" s="187" t="str">
        <f>IFERROR(SUMIFS('caseload data'!O:O,'caseload data'!$C:$C,'custody %'!$T$15,'caseload data'!$D:$D,"PO",'caseload data'!$B:$B,"custody")/SUMIFS('caseload data'!O:O,'caseload data'!$B:$B,"custody",'caseload data'!$C:$C,'custody %'!$T$15),"")</f>
        <v/>
      </c>
      <c r="AF17" s="187" t="str">
        <f>IFERROR(SUMIFS('caseload data'!P:P,'caseload data'!$C:$C,'custody %'!$T$15,'caseload data'!$D:$D,"PO",'caseload data'!$B:$B,"custody")/SUMIFS('caseload data'!P:P,'caseload data'!$B:$B,"custody",'caseload data'!$C:$C,'custody %'!$T$15),"")</f>
        <v/>
      </c>
      <c r="AG17" s="187" t="str">
        <f>IFERROR(SUMIFS('caseload data'!Q:Q,'caseload data'!$C:$C,'custody %'!$T$15,'caseload data'!$D:$D,"PO",'caseload data'!$B:$B,"custody")/SUMIFS('caseload data'!Q:Q,'caseload data'!$B:$B,"custody",'caseload data'!$C:$C,'custody %'!$T$15),"")</f>
        <v/>
      </c>
      <c r="AH17" s="187" t="str">
        <f>IFERROR(SUMIFS('caseload data'!R:R,'caseload data'!$C:$C,'custody %'!$T$15,'caseload data'!$D:$D,"PO",'caseload data'!$B:$B,"custody")/SUMIFS('caseload data'!R:R,'caseload data'!$B:$B,"custody",'caseload data'!$C:$C,'custody %'!$T$15),"")</f>
        <v/>
      </c>
      <c r="AI17" s="187"/>
      <c r="AJ17" s="187"/>
    </row>
    <row r="18" spans="2:36" x14ac:dyDescent="0.15">
      <c r="B18" s="110" t="s">
        <v>1038</v>
      </c>
      <c r="C18" s="187" t="str">
        <f>IFERROR(SUMIFS('caseload data'!E:E,'caseload data'!$C:$C,'custody %'!$B$15,'caseload data'!$D:$D,"PSO",'caseload data'!$B:$B,"custody")/SUMIFS('caseload data'!E:E,'caseload data'!$B:$B,"custody",'caseload data'!$C:$C,'custody %'!$B$15),"")</f>
        <v/>
      </c>
      <c r="D18" s="187" t="str">
        <f>IFERROR(SUMIFS('caseload data'!F:F,'caseload data'!$C:$C,'custody %'!$B$15,'caseload data'!$D:$D,"PSO",'caseload data'!$B:$B,"custody")/SUMIFS('caseload data'!F:F,'caseload data'!$B:$B,"custody",'caseload data'!$C:$C,'custody %'!$B$15),"")</f>
        <v/>
      </c>
      <c r="E18" s="187" t="str">
        <f>IFERROR(SUMIFS('caseload data'!G:G,'caseload data'!$C:$C,'custody %'!$B$15,'caseload data'!$D:$D,"PSO",'caseload data'!$B:$B,"custody")/SUMIFS('caseload data'!G:G,'caseload data'!$B:$B,"custody",'caseload data'!$C:$C,'custody %'!$B$15),"")</f>
        <v/>
      </c>
      <c r="F18" s="187" t="str">
        <f>IFERROR(SUMIFS('caseload data'!H:H,'caseload data'!$C:$C,'custody %'!$B$15,'caseload data'!$D:$D,"PSO",'caseload data'!$B:$B,"custody")/SUMIFS('caseload data'!H:H,'caseload data'!$B:$B,"custody",'caseload data'!$C:$C,'custody %'!$B$15),"")</f>
        <v/>
      </c>
      <c r="G18" s="187" t="str">
        <f>IFERROR(SUMIFS('caseload data'!I:I,'caseload data'!$C:$C,'custody %'!$B$15,'caseload data'!$D:$D,"PSO",'caseload data'!$B:$B,"custody")/SUMIFS('caseload data'!I:I,'caseload data'!$B:$B,"custody",'caseload data'!$C:$C,'custody %'!$B$15),"")</f>
        <v/>
      </c>
      <c r="H18" s="187" t="str">
        <f>IFERROR(SUMIFS('caseload data'!J:J,'caseload data'!$C:$C,'custody %'!$B$15,'caseload data'!$D:$D,"PSO",'caseload data'!$B:$B,"custody")/SUMIFS('caseload data'!J:J,'caseload data'!$B:$B,"custody",'caseload data'!$C:$C,'custody %'!$B$15),"")</f>
        <v/>
      </c>
      <c r="I18" s="187" t="str">
        <f>IFERROR(SUMIFS('caseload data'!K:K,'caseload data'!$C:$C,'custody %'!$B$15,'caseload data'!$D:$D,"PSO",'caseload data'!$B:$B,"custody")/SUMIFS('caseload data'!K:K,'caseload data'!$B:$B,"custody",'caseload data'!$C:$C,'custody %'!$B$15),"")</f>
        <v/>
      </c>
      <c r="J18" s="187" t="str">
        <f>IFERROR(SUMIFS('caseload data'!L:L,'caseload data'!$C:$C,'custody %'!$B$15,'caseload data'!$D:$D,"PSO",'caseload data'!$B:$B,"custody")/SUMIFS('caseload data'!L:L,'caseload data'!$B:$B,"custody",'caseload data'!$C:$C,'custody %'!$B$15),"")</f>
        <v/>
      </c>
      <c r="K18" s="187" t="str">
        <f>IFERROR(SUMIFS('caseload data'!M:M,'caseload data'!$C:$C,'custody %'!$B$15,'caseload data'!$D:$D,"PSO",'caseload data'!$B:$B,"custody")/SUMIFS('caseload data'!M:M,'caseload data'!$B:$B,"custody",'caseload data'!$C:$C,'custody %'!$B$15),"")</f>
        <v/>
      </c>
      <c r="L18" s="187" t="str">
        <f>IFERROR(SUMIFS('caseload data'!N:N,'caseload data'!$C:$C,'custody %'!$B$15,'caseload data'!$D:$D,"PSO",'caseload data'!$B:$B,"custody")/SUMIFS('caseload data'!N:N,'caseload data'!$B:$B,"custody",'caseload data'!$C:$C,'custody %'!$B$15),"")</f>
        <v/>
      </c>
      <c r="M18" s="187" t="str">
        <f>IFERROR(SUMIFS('caseload data'!O:O,'caseload data'!$C:$C,'custody %'!$B$15,'caseload data'!$D:$D,"PSO",'caseload data'!$B:$B,"custody")/SUMIFS('caseload data'!O:O,'caseload data'!$B:$B,"custody",'caseload data'!$C:$C,'custody %'!$B$15),"")</f>
        <v/>
      </c>
      <c r="N18" s="187" t="str">
        <f>IFERROR(SUMIFS('caseload data'!P:P,'caseload data'!$C:$C,'custody %'!$B$15,'caseload data'!$D:$D,"PSO",'caseload data'!$B:$B,"custody")/SUMIFS('caseload data'!P:P,'caseload data'!$B:$B,"custody",'caseload data'!$C:$C,'custody %'!$B$15),"")</f>
        <v/>
      </c>
      <c r="O18" s="187" t="str">
        <f>IFERROR(SUMIFS('caseload data'!Q:Q,'caseload data'!$C:$C,'custody %'!$B$15,'caseload data'!$D:$D,"PSO",'caseload data'!$B:$B,"custody")/SUMIFS('caseload data'!Q:Q,'caseload data'!$B:$B,"custody",'caseload data'!$C:$C,'custody %'!$B$15),"")</f>
        <v/>
      </c>
      <c r="P18" s="187" t="str">
        <f>IFERROR(SUMIFS('caseload data'!R:R,'caseload data'!$C:$C,'custody %'!$B$15,'caseload data'!$D:$D,"PSO",'caseload data'!$B:$B,"custody")/SUMIFS('caseload data'!R:R,'caseload data'!$B:$B,"custody",'caseload data'!$C:$C,'custody %'!$B$15),"")</f>
        <v/>
      </c>
      <c r="Q18" s="187" t="str">
        <f>IFERROR(SUMIFS('caseload data'!S:S,'caseload data'!$C:$C,'custody %'!$B$15,'caseload data'!$D:$D,"PSO",'caseload data'!$B:$B,"custody")/SUMIFS('caseload data'!S:S,'caseload data'!$B:$B,"custody",'caseload data'!$C:$C,'custody %'!$B$15),"")</f>
        <v/>
      </c>
      <c r="R18" s="187" t="str">
        <f>IFERROR(SUMIFS('caseload data'!T:T,'caseload data'!$C:$C,'custody %'!$B$15,'caseload data'!$D:$D,"PSO",'caseload data'!$B:$B,"custody")/SUMIFS('caseload data'!T:T,'caseload data'!$B:$B,"custody",'caseload data'!$C:$C,'custody %'!$B$15),"")</f>
        <v/>
      </c>
      <c r="S18" s="76"/>
      <c r="T18" s="110" t="s">
        <v>1038</v>
      </c>
      <c r="U18" s="187" t="str">
        <f>IFERROR(SUMIFS('caseload data'!E:E,'caseload data'!$C:$C,'custody %'!$T$15,'caseload data'!$D:$D,"PSO",'caseload data'!$B:$B,"custody")/SUMIFS('caseload data'!E:E,'caseload data'!$B:$B,"custody",'caseload data'!$C:$C,'custody %'!$T$15),"")</f>
        <v/>
      </c>
      <c r="V18" s="187" t="str">
        <f>IFERROR(SUMIFS('caseload data'!F:F,'caseload data'!$C:$C,'custody %'!$T$15,'caseload data'!$D:$D,"PSO",'caseload data'!$B:$B,"custody")/SUMIFS('caseload data'!F:F,'caseload data'!$B:$B,"custody",'caseload data'!$C:$C,'custody %'!$T$15),"")</f>
        <v/>
      </c>
      <c r="W18" s="187" t="str">
        <f>IFERROR(SUMIFS('caseload data'!G:G,'caseload data'!$C:$C,'custody %'!$T$15,'caseload data'!$D:$D,"PSO",'caseload data'!$B:$B,"custody")/SUMIFS('caseload data'!G:G,'caseload data'!$B:$B,"custody",'caseload data'!$C:$C,'custody %'!$T$15),"")</f>
        <v/>
      </c>
      <c r="X18" s="187" t="str">
        <f>IFERROR(SUMIFS('caseload data'!H:H,'caseload data'!$C:$C,'custody %'!$T$15,'caseload data'!$D:$D,"PSO",'caseload data'!$B:$B,"custody")/SUMIFS('caseload data'!H:H,'caseload data'!$B:$B,"custody",'caseload data'!$C:$C,'custody %'!$T$15),"")</f>
        <v/>
      </c>
      <c r="Y18" s="187" t="str">
        <f>IFERROR(SUMIFS('caseload data'!I:I,'caseload data'!$C:$C,'custody %'!$T$15,'caseload data'!$D:$D,"PSO",'caseload data'!$B:$B,"custody")/SUMIFS('caseload data'!I:I,'caseload data'!$B:$B,"custody",'caseload data'!$C:$C,'custody %'!$T$15),"")</f>
        <v/>
      </c>
      <c r="Z18" s="187" t="str">
        <f>IFERROR(SUMIFS('caseload data'!J:J,'caseload data'!$C:$C,'custody %'!$T$15,'caseload data'!$D:$D,"PSO",'caseload data'!$B:$B,"custody")/SUMIFS('caseload data'!J:J,'caseload data'!$B:$B,"custody",'caseload data'!$C:$C,'custody %'!$T$15),"")</f>
        <v/>
      </c>
      <c r="AA18" s="187" t="str">
        <f>IFERROR(SUMIFS('caseload data'!K:K,'caseload data'!$C:$C,'custody %'!$T$15,'caseload data'!$D:$D,"PSO",'caseload data'!$B:$B,"custody")/SUMIFS('caseload data'!K:K,'caseload data'!$B:$B,"custody",'caseload data'!$C:$C,'custody %'!$T$15),"")</f>
        <v/>
      </c>
      <c r="AB18" s="187" t="str">
        <f>IFERROR(SUMIFS('caseload data'!L:L,'caseload data'!$C:$C,'custody %'!$T$15,'caseload data'!$D:$D,"PSO",'caseload data'!$B:$B,"custody")/SUMIFS('caseload data'!L:L,'caseload data'!$B:$B,"custody",'caseload data'!$C:$C,'custody %'!$T$15),"")</f>
        <v/>
      </c>
      <c r="AC18" s="187" t="str">
        <f>IFERROR(SUMIFS('caseload data'!M:M,'caseload data'!$C:$C,'custody %'!$T$15,'caseload data'!$D:$D,"PSO",'caseload data'!$B:$B,"custody")/SUMIFS('caseload data'!M:M,'caseload data'!$B:$B,"custody",'caseload data'!$C:$C,'custody %'!$T$15),"")</f>
        <v/>
      </c>
      <c r="AD18" s="187" t="str">
        <f>IFERROR(SUMIFS('caseload data'!N:N,'caseload data'!$C:$C,'custody %'!$T$15,'caseload data'!$D:$D,"PSO",'caseload data'!$B:$B,"custody")/SUMIFS('caseload data'!N:N,'caseload data'!$B:$B,"custody",'caseload data'!$C:$C,'custody %'!$T$15),"")</f>
        <v/>
      </c>
      <c r="AE18" s="187" t="str">
        <f>IFERROR(SUMIFS('caseload data'!O:O,'caseload data'!$C:$C,'custody %'!$T$15,'caseload data'!$D:$D,"PSO",'caseload data'!$B:$B,"custody")/SUMIFS('caseload data'!O:O,'caseload data'!$B:$B,"custody",'caseload data'!$C:$C,'custody %'!$T$15),"")</f>
        <v/>
      </c>
      <c r="AF18" s="187" t="str">
        <f>IFERROR(SUMIFS('caseload data'!P:P,'caseload data'!$C:$C,'custody %'!$T$15,'caseload data'!$D:$D,"PSO",'caseload data'!$B:$B,"custody")/SUMIFS('caseload data'!P:P,'caseload data'!$B:$B,"custody",'caseload data'!$C:$C,'custody %'!$T$15),"")</f>
        <v/>
      </c>
      <c r="AG18" s="187" t="str">
        <f>IFERROR(SUMIFS('caseload data'!Q:Q,'caseload data'!$C:$C,'custody %'!$T$15,'caseload data'!$D:$D,"PSO",'caseload data'!$B:$B,"custody")/SUMIFS('caseload data'!Q:Q,'caseload data'!$B:$B,"custody",'caseload data'!$C:$C,'custody %'!$T$15),"")</f>
        <v/>
      </c>
      <c r="AH18" s="187" t="str">
        <f>IFERROR(SUMIFS('caseload data'!R:R,'caseload data'!$C:$C,'custody %'!$T$15,'caseload data'!$D:$D,"PSO",'caseload data'!$B:$B,"custody")/SUMIFS('caseload data'!R:R,'caseload data'!$B:$B,"custody",'caseload data'!$C:$C,'custody %'!$T$15),"")</f>
        <v/>
      </c>
      <c r="AI18" s="187"/>
      <c r="AJ18" s="187"/>
    </row>
    <row r="19" spans="2:36" x14ac:dyDescent="0.15">
      <c r="B19" s="110" t="s">
        <v>1039</v>
      </c>
      <c r="C19" s="187" t="str">
        <f>IFERROR(SUMIFS('caseload data'!E:E,'caseload data'!$C:$C,'custody %'!$B$15,'caseload data'!$D:$D,"TPO",'caseload data'!$B:$B,"custody")/SUMIFS('caseload data'!E:E,'caseload data'!$B:$B,"custody",'caseload data'!$C:$C,'custody %'!$B$15),"")</f>
        <v/>
      </c>
      <c r="D19" s="187" t="str">
        <f>IFERROR(SUMIFS('caseload data'!F:F,'caseload data'!$C:$C,'custody %'!$B$15,'caseload data'!$D:$D,"TPO",'caseload data'!$B:$B,"custody")/SUMIFS('caseload data'!F:F,'caseload data'!$B:$B,"custody",'caseload data'!$C:$C,'custody %'!$B$15),"")</f>
        <v/>
      </c>
      <c r="E19" s="187" t="str">
        <f>IFERROR(SUMIFS('caseload data'!G:G,'caseload data'!$C:$C,'custody %'!$B$15,'caseload data'!$D:$D,"TPO",'caseload data'!$B:$B,"custody")/SUMIFS('caseload data'!G:G,'caseload data'!$B:$B,"custody",'caseload data'!$C:$C,'custody %'!$B$15),"")</f>
        <v/>
      </c>
      <c r="F19" s="187" t="str">
        <f>IFERROR(SUMIFS('caseload data'!H:H,'caseload data'!$C:$C,'custody %'!$B$15,'caseload data'!$D:$D,"TPO",'caseload data'!$B:$B,"custody")/SUMIFS('caseload data'!H:H,'caseload data'!$B:$B,"custody",'caseload data'!$C:$C,'custody %'!$B$15),"")</f>
        <v/>
      </c>
      <c r="G19" s="187" t="str">
        <f>IFERROR(SUMIFS('caseload data'!I:I,'caseload data'!$C:$C,'custody %'!$B$15,'caseload data'!$D:$D,"TPO",'caseload data'!$B:$B,"custody")/SUMIFS('caseload data'!I:I,'caseload data'!$B:$B,"custody",'caseload data'!$C:$C,'custody %'!$B$15),"")</f>
        <v/>
      </c>
      <c r="H19" s="187" t="str">
        <f>IFERROR(SUMIFS('caseload data'!J:J,'caseload data'!$C:$C,'custody %'!$B$15,'caseload data'!$D:$D,"TPO",'caseload data'!$B:$B,"custody")/SUMIFS('caseload data'!J:J,'caseload data'!$B:$B,"custody",'caseload data'!$C:$C,'custody %'!$B$15),"")</f>
        <v/>
      </c>
      <c r="I19" s="187" t="str">
        <f>IFERROR(SUMIFS('caseload data'!K:K,'caseload data'!$C:$C,'custody %'!$B$15,'caseload data'!$D:$D,"TPO",'caseload data'!$B:$B,"custody")/SUMIFS('caseload data'!K:K,'caseload data'!$B:$B,"custody",'caseload data'!$C:$C,'custody %'!$B$15),"")</f>
        <v/>
      </c>
      <c r="J19" s="187" t="str">
        <f>IFERROR(SUMIFS('caseload data'!L:L,'caseload data'!$C:$C,'custody %'!$B$15,'caseload data'!$D:$D,"TPO",'caseload data'!$B:$B,"custody")/SUMIFS('caseload data'!L:L,'caseload data'!$B:$B,"custody",'caseload data'!$C:$C,'custody %'!$B$15),"")</f>
        <v/>
      </c>
      <c r="K19" s="187" t="str">
        <f>IFERROR(SUMIFS('caseload data'!M:M,'caseload data'!$C:$C,'custody %'!$B$15,'caseload data'!$D:$D,"TPO",'caseload data'!$B:$B,"custody")/SUMIFS('caseload data'!M:M,'caseload data'!$B:$B,"custody",'caseload data'!$C:$C,'custody %'!$B$15),"")</f>
        <v/>
      </c>
      <c r="L19" s="187" t="str">
        <f>IFERROR(SUMIFS('caseload data'!N:N,'caseload data'!$C:$C,'custody %'!$B$15,'caseload data'!$D:$D,"TPO",'caseload data'!$B:$B,"custody")/SUMIFS('caseload data'!N:N,'caseload data'!$B:$B,"custody",'caseload data'!$C:$C,'custody %'!$B$15),"")</f>
        <v/>
      </c>
      <c r="M19" s="187" t="str">
        <f>IFERROR(SUMIFS('caseload data'!O:O,'caseload data'!$C:$C,'custody %'!$B$15,'caseload data'!$D:$D,"TPO",'caseload data'!$B:$B,"custody")/SUMIFS('caseload data'!O:O,'caseload data'!$B:$B,"custody",'caseload data'!$C:$C,'custody %'!$B$15),"")</f>
        <v/>
      </c>
      <c r="N19" s="187" t="str">
        <f>IFERROR(SUMIFS('caseload data'!P:P,'caseload data'!$C:$C,'custody %'!$B$15,'caseload data'!$D:$D,"TPO",'caseload data'!$B:$B,"custody")/SUMIFS('caseload data'!P:P,'caseload data'!$B:$B,"custody",'caseload data'!$C:$C,'custody %'!$B$15),"")</f>
        <v/>
      </c>
      <c r="O19" s="187" t="str">
        <f>IFERROR(SUMIFS('caseload data'!Q:Q,'caseload data'!$C:$C,'custody %'!$B$15,'caseload data'!$D:$D,"TPO",'caseload data'!$B:$B,"custody")/SUMIFS('caseload data'!Q:Q,'caseload data'!$B:$B,"custody",'caseload data'!$C:$C,'custody %'!$B$15),"")</f>
        <v/>
      </c>
      <c r="P19" s="187" t="str">
        <f>IFERROR(SUMIFS('caseload data'!R:R,'caseload data'!$C:$C,'custody %'!$B$15,'caseload data'!$D:$D,"TPO",'caseload data'!$B:$B,"custody")/SUMIFS('caseload data'!R:R,'caseload data'!$B:$B,"custody",'caseload data'!$C:$C,'custody %'!$B$15),"")</f>
        <v/>
      </c>
      <c r="Q19" s="187" t="str">
        <f>IFERROR(SUMIFS('caseload data'!S:S,'caseload data'!$C:$C,'custody %'!$B$15,'caseload data'!$D:$D,"TPO",'caseload data'!$B:$B,"custody")/SUMIFS('caseload data'!S:S,'caseload data'!$B:$B,"custody",'caseload data'!$C:$C,'custody %'!$B$15),"")</f>
        <v/>
      </c>
      <c r="R19" s="187" t="str">
        <f>IFERROR(SUMIFS('caseload data'!T:T,'caseload data'!$C:$C,'custody %'!$B$15,'caseload data'!$D:$D,"TPO",'caseload data'!$B:$B,"custody")/SUMIFS('caseload data'!T:T,'caseload data'!$B:$B,"custody",'caseload data'!$C:$C,'custody %'!$B$15),"")</f>
        <v/>
      </c>
      <c r="S19" s="76"/>
      <c r="T19" s="110" t="s">
        <v>1039</v>
      </c>
      <c r="U19" s="187" t="str">
        <f>IFERROR(SUMIFS('caseload data'!E:E,'caseload data'!$C:$C,'custody %'!$T$15,'caseload data'!$D:$D,"TPO",'caseload data'!$B:$B,"custody")/SUMIFS('caseload data'!E:E,'caseload data'!$B:$B,"custody",'caseload data'!$C:$C,'custody %'!$T$15),"")</f>
        <v/>
      </c>
      <c r="V19" s="187" t="str">
        <f>IFERROR(SUMIFS('caseload data'!F:F,'caseload data'!$C:$C,'custody %'!$T$15,'caseload data'!$D:$D,"TPO",'caseload data'!$B:$B,"custody")/SUMIFS('caseload data'!F:F,'caseload data'!$B:$B,"custody",'caseload data'!$C:$C,'custody %'!$T$15),"")</f>
        <v/>
      </c>
      <c r="W19" s="187" t="str">
        <f>IFERROR(SUMIFS('caseload data'!G:G,'caseload data'!$C:$C,'custody %'!$T$15,'caseload data'!$D:$D,"TPO",'caseload data'!$B:$B,"custody")/SUMIFS('caseload data'!G:G,'caseload data'!$B:$B,"custody",'caseload data'!$C:$C,'custody %'!$T$15),"")</f>
        <v/>
      </c>
      <c r="X19" s="187" t="str">
        <f>IFERROR(SUMIFS('caseload data'!H:H,'caseload data'!$C:$C,'custody %'!$T$15,'caseload data'!$D:$D,"TPO",'caseload data'!$B:$B,"custody")/SUMIFS('caseload data'!H:H,'caseload data'!$B:$B,"custody",'caseload data'!$C:$C,'custody %'!$T$15),"")</f>
        <v/>
      </c>
      <c r="Y19" s="187" t="str">
        <f>IFERROR(SUMIFS('caseload data'!I:I,'caseload data'!$C:$C,'custody %'!$T$15,'caseload data'!$D:$D,"TPO",'caseload data'!$B:$B,"custody")/SUMIFS('caseload data'!I:I,'caseload data'!$B:$B,"custody",'caseload data'!$C:$C,'custody %'!$T$15),"")</f>
        <v/>
      </c>
      <c r="Z19" s="187" t="str">
        <f>IFERROR(SUMIFS('caseload data'!J:J,'caseload data'!$C:$C,'custody %'!$T$15,'caseload data'!$D:$D,"TPO",'caseload data'!$B:$B,"custody")/SUMIFS('caseload data'!J:J,'caseload data'!$B:$B,"custody",'caseload data'!$C:$C,'custody %'!$T$15),"")</f>
        <v/>
      </c>
      <c r="AA19" s="187" t="str">
        <f>IFERROR(SUMIFS('caseload data'!K:K,'caseload data'!$C:$C,'custody %'!$T$15,'caseload data'!$D:$D,"TPO",'caseload data'!$B:$B,"custody")/SUMIFS('caseload data'!K:K,'caseload data'!$B:$B,"custody",'caseload data'!$C:$C,'custody %'!$T$15),"")</f>
        <v/>
      </c>
      <c r="AB19" s="187" t="str">
        <f>IFERROR(SUMIFS('caseload data'!L:L,'caseload data'!$C:$C,'custody %'!$T$15,'caseload data'!$D:$D,"TPO",'caseload data'!$B:$B,"custody")/SUMIFS('caseload data'!L:L,'caseload data'!$B:$B,"custody",'caseload data'!$C:$C,'custody %'!$T$15),"")</f>
        <v/>
      </c>
      <c r="AC19" s="187" t="str">
        <f>IFERROR(SUMIFS('caseload data'!M:M,'caseload data'!$C:$C,'custody %'!$T$15,'caseload data'!$D:$D,"TPO",'caseload data'!$B:$B,"custody")/SUMIFS('caseload data'!M:M,'caseload data'!$B:$B,"custody",'caseload data'!$C:$C,'custody %'!$T$15),"")</f>
        <v/>
      </c>
      <c r="AD19" s="187" t="str">
        <f>IFERROR(SUMIFS('caseload data'!N:N,'caseload data'!$C:$C,'custody %'!$T$15,'caseload data'!$D:$D,"TPO",'caseload data'!$B:$B,"custody")/SUMIFS('caseload data'!N:N,'caseload data'!$B:$B,"custody",'caseload data'!$C:$C,'custody %'!$T$15),"")</f>
        <v/>
      </c>
      <c r="AE19" s="187" t="str">
        <f>IFERROR(SUMIFS('caseload data'!O:O,'caseload data'!$C:$C,'custody %'!$T$15,'caseload data'!$D:$D,"TPO",'caseload data'!$B:$B,"custody")/SUMIFS('caseload data'!O:O,'caseload data'!$B:$B,"custody",'caseload data'!$C:$C,'custody %'!$T$15),"")</f>
        <v/>
      </c>
      <c r="AF19" s="187" t="str">
        <f>IFERROR(SUMIFS('caseload data'!P:P,'caseload data'!$C:$C,'custody %'!$T$15,'caseload data'!$D:$D,"TPO",'caseload data'!$B:$B,"custody")/SUMIFS('caseload data'!P:P,'caseload data'!$B:$B,"custody",'caseload data'!$C:$C,'custody %'!$T$15),"")</f>
        <v/>
      </c>
      <c r="AG19" s="187" t="str">
        <f>IFERROR(SUMIFS('caseload data'!Q:Q,'caseload data'!$C:$C,'custody %'!$T$15,'caseload data'!$D:$D,"TPO",'caseload data'!$B:$B,"custody")/SUMIFS('caseload data'!Q:Q,'caseload data'!$B:$B,"custody",'caseload data'!$C:$C,'custody %'!$T$15),"")</f>
        <v/>
      </c>
      <c r="AH19" s="187" t="str">
        <f>IFERROR(SUMIFS('caseload data'!R:R,'caseload data'!$C:$C,'custody %'!$T$15,'caseload data'!$D:$D,"TPO",'caseload data'!$B:$B,"custody")/SUMIFS('caseload data'!R:R,'caseload data'!$B:$B,"custody",'caseload data'!$C:$C,'custody %'!$T$15),"")</f>
        <v/>
      </c>
      <c r="AI19" s="187"/>
      <c r="AJ19" s="187"/>
    </row>
    <row r="20" spans="2:36" x14ac:dyDescent="0.15">
      <c r="B20" s="111" t="s">
        <v>1040</v>
      </c>
      <c r="C20" s="187" t="str">
        <f>IFERROR(SUMIFS('caseload data'!E:E,'caseload data'!$C:$C,'custody %'!$B$15,'caseload data'!$D:$D,"SPO",'caseload data'!$B:$B,"custody")/SUMIFS('caseload data'!E:E,'caseload data'!$B:$B,"custody",'caseload data'!$C:$C,'custody %'!$B$15),"")</f>
        <v/>
      </c>
      <c r="D20" s="187" t="str">
        <f>IFERROR(SUMIFS('caseload data'!F:F,'caseload data'!$C:$C,'custody %'!$B$15,'caseload data'!$D:$D,"SPO",'caseload data'!$B:$B,"custody")/SUMIFS('caseload data'!F:F,'caseload data'!$B:$B,"custody",'caseload data'!$C:$C,'custody %'!$B$15),"")</f>
        <v/>
      </c>
      <c r="E20" s="187" t="str">
        <f>IFERROR(SUMIFS('caseload data'!G:G,'caseload data'!$C:$C,'custody %'!$B$15,'caseload data'!$D:$D,"SPO",'caseload data'!$B:$B,"custody")/SUMIFS('caseload data'!G:G,'caseload data'!$B:$B,"custody",'caseload data'!$C:$C,'custody %'!$B$15),"")</f>
        <v/>
      </c>
      <c r="F20" s="187" t="str">
        <f>IFERROR(SUMIFS('caseload data'!H:H,'caseload data'!$C:$C,'custody %'!$B$15,'caseload data'!$D:$D,"SPO",'caseload data'!$B:$B,"custody")/SUMIFS('caseload data'!H:H,'caseload data'!$B:$B,"custody",'caseload data'!$C:$C,'custody %'!$B$15),"")</f>
        <v/>
      </c>
      <c r="G20" s="187" t="str">
        <f>IFERROR(SUMIFS('caseload data'!I:I,'caseload data'!$C:$C,'custody %'!$B$15,'caseload data'!$D:$D,"SPO",'caseload data'!$B:$B,"custody")/SUMIFS('caseload data'!I:I,'caseload data'!$B:$B,"custody",'caseload data'!$C:$C,'custody %'!$B$15),"")</f>
        <v/>
      </c>
      <c r="H20" s="187" t="str">
        <f>IFERROR(SUMIFS('caseload data'!J:J,'caseload data'!$C:$C,'custody %'!$B$15,'caseload data'!$D:$D,"SPO",'caseload data'!$B:$B,"custody")/SUMIFS('caseload data'!J:J,'caseload data'!$B:$B,"custody",'caseload data'!$C:$C,'custody %'!$B$15),"")</f>
        <v/>
      </c>
      <c r="I20" s="187" t="str">
        <f>IFERROR(SUMIFS('caseload data'!K:K,'caseload data'!$C:$C,'custody %'!$B$15,'caseload data'!$D:$D,"SPO",'caseload data'!$B:$B,"custody")/SUMIFS('caseload data'!K:K,'caseload data'!$B:$B,"custody",'caseload data'!$C:$C,'custody %'!$B$15),"")</f>
        <v/>
      </c>
      <c r="J20" s="187" t="str">
        <f>IFERROR(SUMIFS('caseload data'!L:L,'caseload data'!$C:$C,'custody %'!$B$15,'caseload data'!$D:$D,"SPO",'caseload data'!$B:$B,"custody")/SUMIFS('caseload data'!L:L,'caseload data'!$B:$B,"custody",'caseload data'!$C:$C,'custody %'!$B$15),"")</f>
        <v/>
      </c>
      <c r="K20" s="187" t="str">
        <f>IFERROR(SUMIFS('caseload data'!M:M,'caseload data'!$C:$C,'custody %'!$B$15,'caseload data'!$D:$D,"SPO",'caseload data'!$B:$B,"custody")/SUMIFS('caseload data'!M:M,'caseload data'!$B:$B,"custody",'caseload data'!$C:$C,'custody %'!$B$15),"")</f>
        <v/>
      </c>
      <c r="L20" s="187" t="str">
        <f>IFERROR(SUMIFS('caseload data'!N:N,'caseload data'!$C:$C,'custody %'!$B$15,'caseload data'!$D:$D,"SPO",'caseload data'!$B:$B,"custody")/SUMIFS('caseload data'!N:N,'caseload data'!$B:$B,"custody",'caseload data'!$C:$C,'custody %'!$B$15),"")</f>
        <v/>
      </c>
      <c r="M20" s="187" t="str">
        <f>IFERROR(SUMIFS('caseload data'!O:O,'caseload data'!$C:$C,'custody %'!$B$15,'caseload data'!$D:$D,"SPO",'caseload data'!$B:$B,"custody")/SUMIFS('caseload data'!O:O,'caseload data'!$B:$B,"custody",'caseload data'!$C:$C,'custody %'!$B$15),"")</f>
        <v/>
      </c>
      <c r="N20" s="187" t="str">
        <f>IFERROR(SUMIFS('caseload data'!P:P,'caseload data'!$C:$C,'custody %'!$B$15,'caseload data'!$D:$D,"SPO",'caseload data'!$B:$B,"custody")/SUMIFS('caseload data'!P:P,'caseload data'!$B:$B,"custody",'caseload data'!$C:$C,'custody %'!$B$15),"")</f>
        <v/>
      </c>
      <c r="O20" s="187" t="str">
        <f>IFERROR(SUMIFS('caseload data'!Q:Q,'caseload data'!$C:$C,'custody %'!$B$15,'caseload data'!$D:$D,"SPO",'caseload data'!$B:$B,"custody")/SUMIFS('caseload data'!Q:Q,'caseload data'!$B:$B,"custody",'caseload data'!$C:$C,'custody %'!$B$15),"")</f>
        <v/>
      </c>
      <c r="P20" s="187" t="str">
        <f>IFERROR(SUMIFS('caseload data'!R:R,'caseload data'!$C:$C,'custody %'!$B$15,'caseload data'!$D:$D,"SPO",'caseload data'!$B:$B,"custody")/SUMIFS('caseload data'!R:R,'caseload data'!$B:$B,"custody",'caseload data'!$C:$C,'custody %'!$B$15),"")</f>
        <v/>
      </c>
      <c r="Q20" s="187" t="str">
        <f>IFERROR(SUMIFS('caseload data'!S:S,'caseload data'!$C:$C,'custody %'!$B$15,'caseload data'!$D:$D,"SPO",'caseload data'!$B:$B,"custody")/SUMIFS('caseload data'!S:S,'caseload data'!$B:$B,"custody",'caseload data'!$C:$C,'custody %'!$B$15),"")</f>
        <v/>
      </c>
      <c r="R20" s="187" t="str">
        <f>IFERROR(SUMIFS('caseload data'!T:T,'caseload data'!$C:$C,'custody %'!$B$15,'caseload data'!$D:$D,"SPO",'caseload data'!$B:$B,"custody")/SUMIFS('caseload data'!T:T,'caseload data'!$B:$B,"custody",'caseload data'!$C:$C,'custody %'!$B$15),"")</f>
        <v/>
      </c>
      <c r="S20" s="76"/>
      <c r="T20" s="111" t="s">
        <v>1040</v>
      </c>
      <c r="U20" s="187" t="str">
        <f>IFERROR(SUMIFS('caseload data'!E:E,'caseload data'!$C:$C,'custody %'!$T$15,'caseload data'!$D:$D,"SPO",'caseload data'!$B:$B,"custody")/SUMIFS('caseload data'!E:E,'caseload data'!$B:$B,"custody",'caseload data'!$C:$C,'custody %'!$T$15),"")</f>
        <v/>
      </c>
      <c r="V20" s="187" t="str">
        <f>IFERROR(SUMIFS('caseload data'!F:F,'caseload data'!$C:$C,'custody %'!$T$15,'caseload data'!$D:$D,"SPO",'caseload data'!$B:$B,"custody")/SUMIFS('caseload data'!F:F,'caseload data'!$B:$B,"custody",'caseload data'!$C:$C,'custody %'!$T$15),"")</f>
        <v/>
      </c>
      <c r="W20" s="187" t="str">
        <f>IFERROR(SUMIFS('caseload data'!G:G,'caseload data'!$C:$C,'custody %'!$T$15,'caseload data'!$D:$D,"SPO",'caseload data'!$B:$B,"custody")/SUMIFS('caseload data'!G:G,'caseload data'!$B:$B,"custody",'caseload data'!$C:$C,'custody %'!$T$15),"")</f>
        <v/>
      </c>
      <c r="X20" s="187" t="str">
        <f>IFERROR(SUMIFS('caseload data'!H:H,'caseload data'!$C:$C,'custody %'!$T$15,'caseload data'!$D:$D,"SPO",'caseload data'!$B:$B,"custody")/SUMIFS('caseload data'!H:H,'caseload data'!$B:$B,"custody",'caseload data'!$C:$C,'custody %'!$T$15),"")</f>
        <v/>
      </c>
      <c r="Y20" s="187" t="str">
        <f>IFERROR(SUMIFS('caseload data'!I:I,'caseload data'!$C:$C,'custody %'!$T$15,'caseload data'!$D:$D,"SPO",'caseload data'!$B:$B,"custody")/SUMIFS('caseload data'!I:I,'caseload data'!$B:$B,"custody",'caseload data'!$C:$C,'custody %'!$T$15),"")</f>
        <v/>
      </c>
      <c r="Z20" s="187" t="str">
        <f>IFERROR(SUMIFS('caseload data'!J:J,'caseload data'!$C:$C,'custody %'!$T$15,'caseload data'!$D:$D,"SPO",'caseload data'!$B:$B,"custody")/SUMIFS('caseload data'!J:J,'caseload data'!$B:$B,"custody",'caseload data'!$C:$C,'custody %'!$T$15),"")</f>
        <v/>
      </c>
      <c r="AA20" s="187" t="str">
        <f>IFERROR(SUMIFS('caseload data'!K:K,'caseload data'!$C:$C,'custody %'!$T$15,'caseload data'!$D:$D,"SPO",'caseload data'!$B:$B,"custody")/SUMIFS('caseload data'!K:K,'caseload data'!$B:$B,"custody",'caseload data'!$C:$C,'custody %'!$T$15),"")</f>
        <v/>
      </c>
      <c r="AB20" s="187" t="str">
        <f>IFERROR(SUMIFS('caseload data'!L:L,'caseload data'!$C:$C,'custody %'!$T$15,'caseload data'!$D:$D,"SPO",'caseload data'!$B:$B,"custody")/SUMIFS('caseload data'!L:L,'caseload data'!$B:$B,"custody",'caseload data'!$C:$C,'custody %'!$T$15),"")</f>
        <v/>
      </c>
      <c r="AC20" s="187" t="str">
        <f>IFERROR(SUMIFS('caseload data'!M:M,'caseload data'!$C:$C,'custody %'!$T$15,'caseload data'!$D:$D,"SPO",'caseload data'!$B:$B,"custody")/SUMIFS('caseload data'!M:M,'caseload data'!$B:$B,"custody",'caseload data'!$C:$C,'custody %'!$T$15),"")</f>
        <v/>
      </c>
      <c r="AD20" s="187" t="str">
        <f>IFERROR(SUMIFS('caseload data'!N:N,'caseload data'!$C:$C,'custody %'!$T$15,'caseload data'!$D:$D,"SPO",'caseload data'!$B:$B,"custody")/SUMIFS('caseload data'!N:N,'caseload data'!$B:$B,"custody",'caseload data'!$C:$C,'custody %'!$T$15),"")</f>
        <v/>
      </c>
      <c r="AE20" s="187" t="str">
        <f>IFERROR(SUMIFS('caseload data'!O:O,'caseload data'!$C:$C,'custody %'!$T$15,'caseload data'!$D:$D,"SPO",'caseload data'!$B:$B,"custody")/SUMIFS('caseload data'!O:O,'caseload data'!$B:$B,"custody",'caseload data'!$C:$C,'custody %'!$T$15),"")</f>
        <v/>
      </c>
      <c r="AF20" s="187" t="str">
        <f>IFERROR(SUMIFS('caseload data'!P:P,'caseload data'!$C:$C,'custody %'!$T$15,'caseload data'!$D:$D,"SPO",'caseload data'!$B:$B,"custody")/SUMIFS('caseload data'!P:P,'caseload data'!$B:$B,"custody",'caseload data'!$C:$C,'custody %'!$T$15),"")</f>
        <v/>
      </c>
      <c r="AG20" s="187" t="str">
        <f>IFERROR(SUMIFS('caseload data'!Q:Q,'caseload data'!$C:$C,'custody %'!$T$15,'caseload data'!$D:$D,"SPO",'caseload data'!$B:$B,"custody")/SUMIFS('caseload data'!Q:Q,'caseload data'!$B:$B,"custody",'caseload data'!$C:$C,'custody %'!$T$15),"")</f>
        <v/>
      </c>
      <c r="AH20" s="187" t="str">
        <f>IFERROR(SUMIFS('caseload data'!R:R,'caseload data'!$C:$C,'custody %'!$T$15,'caseload data'!$D:$D,"SPO",'caseload data'!$B:$B,"custody")/SUMIFS('caseload data'!R:R,'caseload data'!$B:$B,"custody",'caseload data'!$C:$C,'custody %'!$T$15),"")</f>
        <v/>
      </c>
      <c r="AI20" s="187"/>
      <c r="AJ20" s="187"/>
    </row>
    <row r="21" spans="2:36" x14ac:dyDescent="0.15">
      <c r="B21" s="10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04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</row>
    <row r="22" spans="2:36" ht="30.75" customHeight="1" x14ac:dyDescent="0.15">
      <c r="B22" s="162" t="str">
        <f>HLOOKUP($B$5,Region_Table,6,0)</f>
        <v>Camden, Islington</v>
      </c>
      <c r="C22" s="333" t="s">
        <v>1262</v>
      </c>
      <c r="D22" s="334"/>
      <c r="E22" s="334"/>
      <c r="F22" s="334"/>
      <c r="G22" s="334"/>
      <c r="H22" s="334"/>
      <c r="I22" s="334"/>
      <c r="J22" s="334"/>
      <c r="K22" s="334"/>
      <c r="L22" s="334"/>
      <c r="M22" s="343"/>
      <c r="N22" s="343"/>
      <c r="O22" s="344"/>
      <c r="P22" s="337">
        <f>SUMIF('caseload data'!$C:$C,'custody %'!B22,'caseload data'!V:V)</f>
        <v>0</v>
      </c>
      <c r="Q22" s="345"/>
      <c r="R22" s="346"/>
      <c r="S22" s="76"/>
      <c r="T22" s="162" t="str">
        <f>HLOOKUP($B$5,Region_Table,7,0)</f>
        <v>Community Integration</v>
      </c>
      <c r="U22" s="333" t="s">
        <v>1262</v>
      </c>
      <c r="V22" s="334"/>
      <c r="W22" s="334"/>
      <c r="X22" s="334"/>
      <c r="Y22" s="334"/>
      <c r="Z22" s="334"/>
      <c r="AA22" s="334"/>
      <c r="AB22" s="334"/>
      <c r="AC22" s="343"/>
      <c r="AD22" s="343"/>
      <c r="AE22" s="344"/>
      <c r="AF22" s="337">
        <f>SUMIF('caseload data'!$C:$C,'custody %'!T22,'caseload data'!V:V)</f>
        <v>0</v>
      </c>
      <c r="AG22" s="345"/>
      <c r="AH22" s="346"/>
    </row>
    <row r="23" spans="2:36" x14ac:dyDescent="0.15">
      <c r="B23" s="108" t="s">
        <v>1199</v>
      </c>
      <c r="C23" s="42" t="s">
        <v>1019</v>
      </c>
      <c r="D23" s="42" t="s">
        <v>1020</v>
      </c>
      <c r="E23" s="42" t="s">
        <v>1021</v>
      </c>
      <c r="F23" s="42" t="s">
        <v>1022</v>
      </c>
      <c r="G23" s="42" t="s">
        <v>1023</v>
      </c>
      <c r="H23" s="42" t="s">
        <v>1024</v>
      </c>
      <c r="I23" s="42" t="s">
        <v>1025</v>
      </c>
      <c r="J23" s="42" t="s">
        <v>1026</v>
      </c>
      <c r="K23" s="42" t="s">
        <v>1027</v>
      </c>
      <c r="L23" s="42" t="s">
        <v>1028</v>
      </c>
      <c r="M23" s="42" t="s">
        <v>1029</v>
      </c>
      <c r="N23" s="42" t="s">
        <v>1030</v>
      </c>
      <c r="O23" s="42" t="s">
        <v>1031</v>
      </c>
      <c r="P23" s="42" t="s">
        <v>1032</v>
      </c>
      <c r="Q23" s="42" t="s">
        <v>1033</v>
      </c>
      <c r="R23" s="42" t="s">
        <v>1034</v>
      </c>
      <c r="S23" s="76"/>
      <c r="T23" s="108" t="s">
        <v>1199</v>
      </c>
      <c r="U23" s="42" t="s">
        <v>1019</v>
      </c>
      <c r="V23" s="42" t="s">
        <v>1020</v>
      </c>
      <c r="W23" s="42" t="s">
        <v>1021</v>
      </c>
      <c r="X23" s="42" t="s">
        <v>1022</v>
      </c>
      <c r="Y23" s="42" t="s">
        <v>1023</v>
      </c>
      <c r="Z23" s="42" t="s">
        <v>1024</v>
      </c>
      <c r="AA23" s="42" t="s">
        <v>1025</v>
      </c>
      <c r="AB23" s="42" t="s">
        <v>1026</v>
      </c>
      <c r="AC23" s="42" t="s">
        <v>1027</v>
      </c>
      <c r="AD23" s="42" t="s">
        <v>1028</v>
      </c>
      <c r="AE23" s="42" t="s">
        <v>1029</v>
      </c>
      <c r="AF23" s="42" t="s">
        <v>1030</v>
      </c>
      <c r="AG23" s="42" t="s">
        <v>1031</v>
      </c>
      <c r="AH23" s="42" t="s">
        <v>1032</v>
      </c>
      <c r="AI23" s="42" t="s">
        <v>1033</v>
      </c>
      <c r="AJ23" s="42" t="s">
        <v>1034</v>
      </c>
    </row>
    <row r="24" spans="2:36" x14ac:dyDescent="0.15">
      <c r="B24" s="109" t="s">
        <v>1037</v>
      </c>
      <c r="C24" s="187" t="str">
        <f>IFERROR(SUMIFS('caseload data'!E:E,'caseload data'!$C:$C,'custody %'!$B$22,'caseload data'!$D:$D,"PO",'caseload data'!$B:$B,"custody")/SUMIFS('caseload data'!E:E,'caseload data'!$B:$B,"custody",'caseload data'!$C:$C,'custody %'!$B$22),"")</f>
        <v/>
      </c>
      <c r="D24" s="187" t="str">
        <f>IFERROR(SUMIFS('caseload data'!F:F,'caseload data'!$C:$C,'custody %'!$B$22,'caseload data'!$D:$D,"PO",'caseload data'!$B:$B,"custody")/SUMIFS('caseload data'!F:F,'caseload data'!$B:$B,"custody",'caseload data'!$C:$C,'custody %'!$B$22),"")</f>
        <v/>
      </c>
      <c r="E24" s="187" t="str">
        <f>IFERROR(SUMIFS('caseload data'!G:G,'caseload data'!$C:$C,'custody %'!$B$22,'caseload data'!$D:$D,"PO",'caseload data'!$B:$B,"custody")/SUMIFS('caseload data'!G:G,'caseload data'!$B:$B,"custody",'caseload data'!$C:$C,'custody %'!$B$22),"")</f>
        <v/>
      </c>
      <c r="F24" s="187" t="str">
        <f>IFERROR(SUMIFS('caseload data'!H:H,'caseload data'!$C:$C,'custody %'!$B$22,'caseload data'!$D:$D,"PO",'caseload data'!$B:$B,"custody")/SUMIFS('caseload data'!H:H,'caseload data'!$B:$B,"custody",'caseload data'!$C:$C,'custody %'!$B$22),"")</f>
        <v/>
      </c>
      <c r="G24" s="187" t="str">
        <f>IFERROR(SUMIFS('caseload data'!I:I,'caseload data'!$C:$C,'custody %'!$B$22,'caseload data'!$D:$D,"PO",'caseload data'!$B:$B,"custody")/SUMIFS('caseload data'!I:I,'caseload data'!$B:$B,"custody",'caseload data'!$C:$C,'custody %'!$B$22),"")</f>
        <v/>
      </c>
      <c r="H24" s="187" t="str">
        <f>IFERROR(SUMIFS('caseload data'!J:J,'caseload data'!$C:$C,'custody %'!$B$22,'caseload data'!$D:$D,"PO",'caseload data'!$B:$B,"custody")/SUMIFS('caseload data'!J:J,'caseload data'!$B:$B,"custody",'caseload data'!$C:$C,'custody %'!$B$22),"")</f>
        <v/>
      </c>
      <c r="I24" s="187" t="str">
        <f>IFERROR(SUMIFS('caseload data'!K:K,'caseload data'!$C:$C,'custody %'!$B$22,'caseload data'!$D:$D,"PO",'caseload data'!$B:$B,"custody")/SUMIFS('caseload data'!K:K,'caseload data'!$B:$B,"custody",'caseload data'!$C:$C,'custody %'!$B$22),"")</f>
        <v/>
      </c>
      <c r="J24" s="187" t="str">
        <f>IFERROR(SUMIFS('caseload data'!L:L,'caseload data'!$C:$C,'custody %'!$B$22,'caseload data'!$D:$D,"PO",'caseload data'!$B:$B,"custody")/SUMIFS('caseload data'!L:L,'caseload data'!$B:$B,"custody",'caseload data'!$C:$C,'custody %'!$B$22),"")</f>
        <v/>
      </c>
      <c r="K24" s="187" t="str">
        <f>IFERROR(SUMIFS('caseload data'!M:M,'caseload data'!$C:$C,'custody %'!$B$22,'caseload data'!$D:$D,"PO",'caseload data'!$B:$B,"custody")/SUMIFS('caseload data'!M:M,'caseload data'!$B:$B,"custody",'caseload data'!$C:$C,'custody %'!$B$22),"")</f>
        <v/>
      </c>
      <c r="L24" s="187" t="str">
        <f>IFERROR(SUMIFS('caseload data'!N:N,'caseload data'!$C:$C,'custody %'!$B$22,'caseload data'!$D:$D,"PO",'caseload data'!$B:$B,"custody")/SUMIFS('caseload data'!N:N,'caseload data'!$B:$B,"custody",'caseload data'!$C:$C,'custody %'!$B$22),"")</f>
        <v/>
      </c>
      <c r="M24" s="187" t="str">
        <f>IFERROR(SUMIFS('caseload data'!O:O,'caseload data'!$C:$C,'custody %'!$B$22,'caseload data'!$D:$D,"PO",'caseload data'!$B:$B,"custody")/SUMIFS('caseload data'!O:O,'caseload data'!$B:$B,"custody",'caseload data'!$C:$C,'custody %'!$B$22),"")</f>
        <v/>
      </c>
      <c r="N24" s="187" t="str">
        <f>IFERROR(SUMIFS('caseload data'!P:P,'caseload data'!$C:$C,'custody %'!$B$22,'caseload data'!$D:$D,"PO",'caseload data'!$B:$B,"custody")/SUMIFS('caseload data'!P:P,'caseload data'!$B:$B,"custody",'caseload data'!$C:$C,'custody %'!$B$22),"")</f>
        <v/>
      </c>
      <c r="O24" s="187" t="str">
        <f>IFERROR(SUMIFS('caseload data'!Q:Q,'caseload data'!$C:$C,'custody %'!$B$22,'caseload data'!$D:$D,"PO",'caseload data'!$B:$B,"custody")/SUMIFS('caseload data'!Q:Q,'caseload data'!$B:$B,"custody",'caseload data'!$C:$C,'custody %'!$B$22),"")</f>
        <v/>
      </c>
      <c r="P24" s="187" t="str">
        <f>IFERROR(SUMIFS('caseload data'!R:R,'caseload data'!$C:$C,'custody %'!$B$22,'caseload data'!$D:$D,"PO",'caseload data'!$B:$B,"custody")/SUMIFS('caseload data'!R:R,'caseload data'!$B:$B,"custody",'caseload data'!$C:$C,'custody %'!$B$22),"")</f>
        <v/>
      </c>
      <c r="Q24" s="187" t="str">
        <f>IFERROR(SUMIFS('caseload data'!S:S,'caseload data'!$C:$C,'custody %'!$B$22,'caseload data'!$D:$D,"PO",'caseload data'!$B:$B,"custody")/SUMIFS('caseload data'!S:S,'caseload data'!$B:$B,"custody",'caseload data'!$C:$C,'custody %'!$B$22),"")</f>
        <v/>
      </c>
      <c r="R24" s="187" t="str">
        <f>IFERROR(SUMIFS('caseload data'!T:T,'caseload data'!$C:$C,'custody %'!$B$22,'caseload data'!$D:$D,"PO",'caseload data'!$B:$B,"custody")/SUMIFS('caseload data'!T:T,'caseload data'!$B:$B,"custody",'caseload data'!$C:$C,'custody %'!$B$22),"")</f>
        <v/>
      </c>
      <c r="S24" s="76"/>
      <c r="T24" s="109" t="s">
        <v>1037</v>
      </c>
      <c r="U24" s="187" t="str">
        <f>IFERROR(SUMIFS('caseload data'!E:E,'caseload data'!$C:$C,'custody %'!$T$22,'caseload data'!$D:$D,"PO",'caseload data'!$B:$B,"custody")/SUMIFS('caseload data'!E:E,'caseload data'!$B:$B,"custody",'caseload data'!$C:$C,'custody %'!$T$22),"")</f>
        <v/>
      </c>
      <c r="V24" s="187" t="str">
        <f>IFERROR(SUMIFS('caseload data'!F:F,'caseload data'!$C:$C,'custody %'!$T$22,'caseload data'!$D:$D,"PO",'caseload data'!$B:$B,"custody")/SUMIFS('caseload data'!F:F,'caseload data'!$B:$B,"custody",'caseload data'!$C:$C,'custody %'!$T$22),"")</f>
        <v/>
      </c>
      <c r="W24" s="187" t="str">
        <f>IFERROR(SUMIFS('caseload data'!G:G,'caseload data'!$C:$C,'custody %'!$T$22,'caseload data'!$D:$D,"PO",'caseload data'!$B:$B,"custody")/SUMIFS('caseload data'!G:G,'caseload data'!$B:$B,"custody",'caseload data'!$C:$C,'custody %'!$T$22),"")</f>
        <v/>
      </c>
      <c r="X24" s="187" t="str">
        <f>IFERROR(SUMIFS('caseload data'!H:H,'caseload data'!$C:$C,'custody %'!$T$22,'caseload data'!$D:$D,"PO",'caseload data'!$B:$B,"custody")/SUMIFS('caseload data'!H:H,'caseload data'!$B:$B,"custody",'caseload data'!$C:$C,'custody %'!$T$22),"")</f>
        <v/>
      </c>
      <c r="Y24" s="187" t="str">
        <f>IFERROR(SUMIFS('caseload data'!I:I,'caseload data'!$C:$C,'custody %'!$T$22,'caseload data'!$D:$D,"PO",'caseload data'!$B:$B,"custody")/SUMIFS('caseload data'!I:I,'caseload data'!$B:$B,"custody",'caseload data'!$C:$C,'custody %'!$T$22),"")</f>
        <v/>
      </c>
      <c r="Z24" s="187" t="str">
        <f>IFERROR(SUMIFS('caseload data'!J:J,'caseload data'!$C:$C,'custody %'!$T$22,'caseload data'!$D:$D,"PO",'caseload data'!$B:$B,"custody")/SUMIFS('caseload data'!J:J,'caseload data'!$B:$B,"custody",'caseload data'!$C:$C,'custody %'!$T$22),"")</f>
        <v/>
      </c>
      <c r="AA24" s="187" t="str">
        <f>IFERROR(SUMIFS('caseload data'!K:K,'caseload data'!$C:$C,'custody %'!$T$22,'caseload data'!$D:$D,"PO",'caseload data'!$B:$B,"custody")/SUMIFS('caseload data'!K:K,'caseload data'!$B:$B,"custody",'caseload data'!$C:$C,'custody %'!$T$22),"")</f>
        <v/>
      </c>
      <c r="AB24" s="187" t="str">
        <f>IFERROR(SUMIFS('caseload data'!L:L,'caseload data'!$C:$C,'custody %'!$T$22,'caseload data'!$D:$D,"PO",'caseload data'!$B:$B,"custody")/SUMIFS('caseload data'!L:L,'caseload data'!$B:$B,"custody",'caseload data'!$C:$C,'custody %'!$T$22),"")</f>
        <v/>
      </c>
      <c r="AC24" s="187" t="str">
        <f>IFERROR(SUMIFS('caseload data'!M:M,'caseload data'!$C:$C,'custody %'!$T$22,'caseload data'!$D:$D,"PO",'caseload data'!$B:$B,"custody")/SUMIFS('caseload data'!M:M,'caseload data'!$B:$B,"custody",'caseload data'!$C:$C,'custody %'!$T$22),"")</f>
        <v/>
      </c>
      <c r="AD24" s="187" t="str">
        <f>IFERROR(SUMIFS('caseload data'!N:N,'caseload data'!$C:$C,'custody %'!$T$22,'caseload data'!$D:$D,"PO",'caseload data'!$B:$B,"custody")/SUMIFS('caseload data'!N:N,'caseload data'!$B:$B,"custody",'caseload data'!$C:$C,'custody %'!$T$22),"")</f>
        <v/>
      </c>
      <c r="AE24" s="187" t="str">
        <f>IFERROR(SUMIFS('caseload data'!O:O,'caseload data'!$C:$C,'custody %'!$T$22,'caseload data'!$D:$D,"PO",'caseload data'!$B:$B,"custody")/SUMIFS('caseload data'!O:O,'caseload data'!$B:$B,"custody",'caseload data'!$C:$C,'custody %'!$T$22),"")</f>
        <v/>
      </c>
      <c r="AF24" s="187" t="str">
        <f>IFERROR(SUMIFS('caseload data'!P:P,'caseload data'!$C:$C,'custody %'!$T$22,'caseload data'!$D:$D,"PO",'caseload data'!$B:$B,"custody")/SUMIFS('caseload data'!P:P,'caseload data'!$B:$B,"custody",'caseload data'!$C:$C,'custody %'!$T$22),"")</f>
        <v/>
      </c>
      <c r="AG24" s="187" t="str">
        <f>IFERROR(SUMIFS('caseload data'!Q:Q,'caseload data'!$C:$C,'custody %'!$T$22,'caseload data'!$D:$D,"PO",'caseload data'!$B:$B,"custody")/SUMIFS('caseload data'!Q:Q,'caseload data'!$B:$B,"custody",'caseload data'!$C:$C,'custody %'!$T$22),"")</f>
        <v/>
      </c>
      <c r="AH24" s="187" t="str">
        <f>IFERROR(SUMIFS('caseload data'!R:R,'caseload data'!$C:$C,'custody %'!$T$22,'caseload data'!$D:$D,"PO",'caseload data'!$B:$B,"custody")/SUMIFS('caseload data'!R:R,'caseload data'!$B:$B,"custody",'caseload data'!$C:$C,'custody %'!$T$22),"")</f>
        <v/>
      </c>
      <c r="AI24" s="187"/>
      <c r="AJ24" s="187"/>
    </row>
    <row r="25" spans="2:36" x14ac:dyDescent="0.15">
      <c r="B25" s="110" t="s">
        <v>1038</v>
      </c>
      <c r="C25" s="187" t="str">
        <f>IFERROR(SUMIFS('caseload data'!E:E,'caseload data'!$C:$C,'custody %'!$B$22,'caseload data'!$D:$D,"PSO",'caseload data'!$B:$B,"custody")/SUMIFS('caseload data'!E:E,'caseload data'!$B:$B,"custody",'caseload data'!$C:$C,'custody %'!$B$22),"")</f>
        <v/>
      </c>
      <c r="D25" s="187" t="str">
        <f>IFERROR(SUMIFS('caseload data'!F:F,'caseload data'!$C:$C,'custody %'!$B$22,'caseload data'!$D:$D,"PSO",'caseload data'!$B:$B,"custody")/SUMIFS('caseload data'!F:F,'caseload data'!$B:$B,"custody",'caseload data'!$C:$C,'custody %'!$B$22),"")</f>
        <v/>
      </c>
      <c r="E25" s="187" t="str">
        <f>IFERROR(SUMIFS('caseload data'!G:G,'caseload data'!$C:$C,'custody %'!$B$22,'caseload data'!$D:$D,"PSO",'caseload data'!$B:$B,"custody")/SUMIFS('caseload data'!G:G,'caseload data'!$B:$B,"custody",'caseload data'!$C:$C,'custody %'!$B$22),"")</f>
        <v/>
      </c>
      <c r="F25" s="187" t="str">
        <f>IFERROR(SUMIFS('caseload data'!H:H,'caseload data'!$C:$C,'custody %'!$B$22,'caseload data'!$D:$D,"PSO",'caseload data'!$B:$B,"custody")/SUMIFS('caseload data'!H:H,'caseload data'!$B:$B,"custody",'caseload data'!$C:$C,'custody %'!$B$22),"")</f>
        <v/>
      </c>
      <c r="G25" s="187" t="str">
        <f>IFERROR(SUMIFS('caseload data'!I:I,'caseload data'!$C:$C,'custody %'!$B$22,'caseload data'!$D:$D,"PSO",'caseload data'!$B:$B,"custody")/SUMIFS('caseload data'!I:I,'caseload data'!$B:$B,"custody",'caseload data'!$C:$C,'custody %'!$B$22),"")</f>
        <v/>
      </c>
      <c r="H25" s="187" t="str">
        <f>IFERROR(SUMIFS('caseload data'!J:J,'caseload data'!$C:$C,'custody %'!$B$22,'caseload data'!$D:$D,"PSO",'caseload data'!$B:$B,"custody")/SUMIFS('caseload data'!J:J,'caseload data'!$B:$B,"custody",'caseload data'!$C:$C,'custody %'!$B$22),"")</f>
        <v/>
      </c>
      <c r="I25" s="187" t="str">
        <f>IFERROR(SUMIFS('caseload data'!K:K,'caseload data'!$C:$C,'custody %'!$B$22,'caseload data'!$D:$D,"PSO",'caseload data'!$B:$B,"custody")/SUMIFS('caseload data'!K:K,'caseload data'!$B:$B,"custody",'caseload data'!$C:$C,'custody %'!$B$22),"")</f>
        <v/>
      </c>
      <c r="J25" s="187" t="str">
        <f>IFERROR(SUMIFS('caseload data'!L:L,'caseload data'!$C:$C,'custody %'!$B$22,'caseload data'!$D:$D,"PSO",'caseload data'!$B:$B,"custody")/SUMIFS('caseload data'!L:L,'caseload data'!$B:$B,"custody",'caseload data'!$C:$C,'custody %'!$B$22),"")</f>
        <v/>
      </c>
      <c r="K25" s="187" t="str">
        <f>IFERROR(SUMIFS('caseload data'!M:M,'caseload data'!$C:$C,'custody %'!$B$22,'caseload data'!$D:$D,"PSO",'caseload data'!$B:$B,"custody")/SUMIFS('caseload data'!M:M,'caseload data'!$B:$B,"custody",'caseload data'!$C:$C,'custody %'!$B$22),"")</f>
        <v/>
      </c>
      <c r="L25" s="187" t="str">
        <f>IFERROR(SUMIFS('caseload data'!N:N,'caseload data'!$C:$C,'custody %'!$B$22,'caseload data'!$D:$D,"PSO",'caseload data'!$B:$B,"custody")/SUMIFS('caseload data'!N:N,'caseload data'!$B:$B,"custody",'caseload data'!$C:$C,'custody %'!$B$22),"")</f>
        <v/>
      </c>
      <c r="M25" s="187" t="str">
        <f>IFERROR(SUMIFS('caseload data'!O:O,'caseload data'!$C:$C,'custody %'!$B$22,'caseload data'!$D:$D,"PSO",'caseload data'!$B:$B,"custody")/SUMIFS('caseload data'!O:O,'caseload data'!$B:$B,"custody",'caseload data'!$C:$C,'custody %'!$B$22),"")</f>
        <v/>
      </c>
      <c r="N25" s="187" t="str">
        <f>IFERROR(SUMIFS('caseload data'!P:P,'caseload data'!$C:$C,'custody %'!$B$22,'caseload data'!$D:$D,"PSO",'caseload data'!$B:$B,"custody")/SUMIFS('caseload data'!P:P,'caseload data'!$B:$B,"custody",'caseload data'!$C:$C,'custody %'!$B$22),"")</f>
        <v/>
      </c>
      <c r="O25" s="187" t="str">
        <f>IFERROR(SUMIFS('caseload data'!Q:Q,'caseload data'!$C:$C,'custody %'!$B$22,'caseload data'!$D:$D,"PSO",'caseload data'!$B:$B,"custody")/SUMIFS('caseload data'!Q:Q,'caseload data'!$B:$B,"custody",'caseload data'!$C:$C,'custody %'!$B$22),"")</f>
        <v/>
      </c>
      <c r="P25" s="187" t="str">
        <f>IFERROR(SUMIFS('caseload data'!R:R,'caseload data'!$C:$C,'custody %'!$B$22,'caseload data'!$D:$D,"PSO",'caseload data'!$B:$B,"custody")/SUMIFS('caseload data'!R:R,'caseload data'!$B:$B,"custody",'caseload data'!$C:$C,'custody %'!$B$22),"")</f>
        <v/>
      </c>
      <c r="Q25" s="187" t="str">
        <f>IFERROR(SUMIFS('caseload data'!S:S,'caseload data'!$C:$C,'custody %'!$B$22,'caseload data'!$D:$D,"PSO",'caseload data'!$B:$B,"custody")/SUMIFS('caseload data'!S:S,'caseload data'!$B:$B,"custody",'caseload data'!$C:$C,'custody %'!$B$22),"")</f>
        <v/>
      </c>
      <c r="R25" s="187" t="str">
        <f>IFERROR(SUMIFS('caseload data'!T:T,'caseload data'!$C:$C,'custody %'!$B$22,'caseload data'!$D:$D,"PSO",'caseload data'!$B:$B,"custody")/SUMIFS('caseload data'!T:T,'caseload data'!$B:$B,"custody",'caseload data'!$C:$C,'custody %'!$B$22),"")</f>
        <v/>
      </c>
      <c r="S25" s="76"/>
      <c r="T25" s="110" t="s">
        <v>1038</v>
      </c>
      <c r="U25" s="187" t="str">
        <f>IFERROR(SUMIFS('caseload data'!E:E,'caseload data'!$C:$C,'custody %'!$T$22,'caseload data'!$D:$D,"PSO",'caseload data'!$B:$B,"custody")/SUMIFS('caseload data'!E:E,'caseload data'!$B:$B,"custody",'caseload data'!$C:$C,'custody %'!$T$22),"")</f>
        <v/>
      </c>
      <c r="V25" s="187" t="str">
        <f>IFERROR(SUMIFS('caseload data'!F:F,'caseload data'!$C:$C,'custody %'!$T$22,'caseload data'!$D:$D,"PSO",'caseload data'!$B:$B,"custody")/SUMIFS('caseload data'!F:F,'caseload data'!$B:$B,"custody",'caseload data'!$C:$C,'custody %'!$T$22),"")</f>
        <v/>
      </c>
      <c r="W25" s="187" t="str">
        <f>IFERROR(SUMIFS('caseload data'!G:G,'caseload data'!$C:$C,'custody %'!$T$22,'caseload data'!$D:$D,"PSO",'caseload data'!$B:$B,"custody")/SUMIFS('caseload data'!G:G,'caseload data'!$B:$B,"custody",'caseload data'!$C:$C,'custody %'!$T$22),"")</f>
        <v/>
      </c>
      <c r="X25" s="187" t="str">
        <f>IFERROR(SUMIFS('caseload data'!H:H,'caseload data'!$C:$C,'custody %'!$T$22,'caseload data'!$D:$D,"PSO",'caseload data'!$B:$B,"custody")/SUMIFS('caseload data'!H:H,'caseload data'!$B:$B,"custody",'caseload data'!$C:$C,'custody %'!$T$22),"")</f>
        <v/>
      </c>
      <c r="Y25" s="187" t="str">
        <f>IFERROR(SUMIFS('caseload data'!I:I,'caseload data'!$C:$C,'custody %'!$T$22,'caseload data'!$D:$D,"PSO",'caseload data'!$B:$B,"custody")/SUMIFS('caseload data'!I:I,'caseload data'!$B:$B,"custody",'caseload data'!$C:$C,'custody %'!$T$22),"")</f>
        <v/>
      </c>
      <c r="Z25" s="187" t="str">
        <f>IFERROR(SUMIFS('caseload data'!J:J,'caseload data'!$C:$C,'custody %'!$T$22,'caseload data'!$D:$D,"PSO",'caseload data'!$B:$B,"custody")/SUMIFS('caseload data'!J:J,'caseload data'!$B:$B,"custody",'caseload data'!$C:$C,'custody %'!$T$22),"")</f>
        <v/>
      </c>
      <c r="AA25" s="187" t="str">
        <f>IFERROR(SUMIFS('caseload data'!K:K,'caseload data'!$C:$C,'custody %'!$T$22,'caseload data'!$D:$D,"PSO",'caseload data'!$B:$B,"custody")/SUMIFS('caseload data'!K:K,'caseload data'!$B:$B,"custody",'caseload data'!$C:$C,'custody %'!$T$22),"")</f>
        <v/>
      </c>
      <c r="AB25" s="187" t="str">
        <f>IFERROR(SUMIFS('caseload data'!L:L,'caseload data'!$C:$C,'custody %'!$T$22,'caseload data'!$D:$D,"PSO",'caseload data'!$B:$B,"custody")/SUMIFS('caseload data'!L:L,'caseload data'!$B:$B,"custody",'caseload data'!$C:$C,'custody %'!$T$22),"")</f>
        <v/>
      </c>
      <c r="AC25" s="187" t="str">
        <f>IFERROR(SUMIFS('caseload data'!M:M,'caseload data'!$C:$C,'custody %'!$T$22,'caseload data'!$D:$D,"PSO",'caseload data'!$B:$B,"custody")/SUMIFS('caseload data'!M:M,'caseload data'!$B:$B,"custody",'caseload data'!$C:$C,'custody %'!$T$22),"")</f>
        <v/>
      </c>
      <c r="AD25" s="187" t="str">
        <f>IFERROR(SUMIFS('caseload data'!N:N,'caseload data'!$C:$C,'custody %'!$T$22,'caseload data'!$D:$D,"PSO",'caseload data'!$B:$B,"custody")/SUMIFS('caseload data'!N:N,'caseload data'!$B:$B,"custody",'caseload data'!$C:$C,'custody %'!$T$22),"")</f>
        <v/>
      </c>
      <c r="AE25" s="187" t="str">
        <f>IFERROR(SUMIFS('caseload data'!O:O,'caseload data'!$C:$C,'custody %'!$T$22,'caseload data'!$D:$D,"PSO",'caseload data'!$B:$B,"custody")/SUMIFS('caseload data'!O:O,'caseload data'!$B:$B,"custody",'caseload data'!$C:$C,'custody %'!$T$22),"")</f>
        <v/>
      </c>
      <c r="AF25" s="187" t="str">
        <f>IFERROR(SUMIFS('caseload data'!P:P,'caseload data'!$C:$C,'custody %'!$T$22,'caseload data'!$D:$D,"PSO",'caseload data'!$B:$B,"custody")/SUMIFS('caseload data'!P:P,'caseload data'!$B:$B,"custody",'caseload data'!$C:$C,'custody %'!$T$22),"")</f>
        <v/>
      </c>
      <c r="AG25" s="187" t="str">
        <f>IFERROR(SUMIFS('caseload data'!Q:Q,'caseload data'!$C:$C,'custody %'!$T$22,'caseload data'!$D:$D,"PSO",'caseload data'!$B:$B,"custody")/SUMIFS('caseload data'!Q:Q,'caseload data'!$B:$B,"custody",'caseload data'!$C:$C,'custody %'!$T$22),"")</f>
        <v/>
      </c>
      <c r="AH25" s="187" t="str">
        <f>IFERROR(SUMIFS('caseload data'!R:R,'caseload data'!$C:$C,'custody %'!$T$22,'caseload data'!$D:$D,"PSO",'caseload data'!$B:$B,"custody")/SUMIFS('caseload data'!R:R,'caseload data'!$B:$B,"custody",'caseload data'!$C:$C,'custody %'!$T$22),"")</f>
        <v/>
      </c>
      <c r="AI25" s="187"/>
      <c r="AJ25" s="187"/>
    </row>
    <row r="26" spans="2:36" x14ac:dyDescent="0.15">
      <c r="B26" s="110" t="s">
        <v>1039</v>
      </c>
      <c r="C26" s="187" t="str">
        <f>IFERROR(SUMIFS('caseload data'!E:E,'caseload data'!$C:$C,'custody %'!$B$22,'caseload data'!$D:$D,"TPO",'caseload data'!$B:$B,"custody")/SUMIFS('caseload data'!E:E,'caseload data'!$B:$B,"custody",'caseload data'!$C:$C,'custody %'!$B$22),"")</f>
        <v/>
      </c>
      <c r="D26" s="187" t="str">
        <f>IFERROR(SUMIFS('caseload data'!F:F,'caseload data'!$C:$C,'custody %'!$B$22,'caseload data'!$D:$D,"TPO",'caseload data'!$B:$B,"custody")/SUMIFS('caseload data'!F:F,'caseload data'!$B:$B,"custody",'caseload data'!$C:$C,'custody %'!$B$22),"")</f>
        <v/>
      </c>
      <c r="E26" s="187" t="str">
        <f>IFERROR(SUMIFS('caseload data'!G:G,'caseload data'!$C:$C,'custody %'!$B$22,'caseload data'!$D:$D,"TPO",'caseload data'!$B:$B,"custody")/SUMIFS('caseload data'!G:G,'caseload data'!$B:$B,"custody",'caseload data'!$C:$C,'custody %'!$B$22),"")</f>
        <v/>
      </c>
      <c r="F26" s="187" t="str">
        <f>IFERROR(SUMIFS('caseload data'!H:H,'caseload data'!$C:$C,'custody %'!$B$22,'caseload data'!$D:$D,"TPO",'caseload data'!$B:$B,"custody")/SUMIFS('caseload data'!H:H,'caseload data'!$B:$B,"custody",'caseload data'!$C:$C,'custody %'!$B$22),"")</f>
        <v/>
      </c>
      <c r="G26" s="187" t="str">
        <f>IFERROR(SUMIFS('caseload data'!I:I,'caseload data'!$C:$C,'custody %'!$B$22,'caseload data'!$D:$D,"TPO",'caseload data'!$B:$B,"custody")/SUMIFS('caseload data'!I:I,'caseload data'!$B:$B,"custody",'caseload data'!$C:$C,'custody %'!$B$22),"")</f>
        <v/>
      </c>
      <c r="H26" s="187" t="str">
        <f>IFERROR(SUMIFS('caseload data'!J:J,'caseload data'!$C:$C,'custody %'!$B$22,'caseload data'!$D:$D,"TPO",'caseload data'!$B:$B,"custody")/SUMIFS('caseload data'!J:J,'caseload data'!$B:$B,"custody",'caseload data'!$C:$C,'custody %'!$B$22),"")</f>
        <v/>
      </c>
      <c r="I26" s="187" t="str">
        <f>IFERROR(SUMIFS('caseload data'!K:K,'caseload data'!$C:$C,'custody %'!$B$22,'caseload data'!$D:$D,"TPO",'caseload data'!$B:$B,"custody")/SUMIFS('caseload data'!K:K,'caseload data'!$B:$B,"custody",'caseload data'!$C:$C,'custody %'!$B$22),"")</f>
        <v/>
      </c>
      <c r="J26" s="187" t="str">
        <f>IFERROR(SUMIFS('caseload data'!L:L,'caseload data'!$C:$C,'custody %'!$B$22,'caseload data'!$D:$D,"TPO",'caseload data'!$B:$B,"custody")/SUMIFS('caseload data'!L:L,'caseload data'!$B:$B,"custody",'caseload data'!$C:$C,'custody %'!$B$22),"")</f>
        <v/>
      </c>
      <c r="K26" s="187" t="str">
        <f>IFERROR(SUMIFS('caseload data'!M:M,'caseload data'!$C:$C,'custody %'!$B$22,'caseload data'!$D:$D,"TPO",'caseload data'!$B:$B,"custody")/SUMIFS('caseload data'!M:M,'caseload data'!$B:$B,"custody",'caseload data'!$C:$C,'custody %'!$B$22),"")</f>
        <v/>
      </c>
      <c r="L26" s="187" t="str">
        <f>IFERROR(SUMIFS('caseload data'!N:N,'caseload data'!$C:$C,'custody %'!$B$22,'caseload data'!$D:$D,"TPO",'caseload data'!$B:$B,"custody")/SUMIFS('caseload data'!N:N,'caseload data'!$B:$B,"custody",'caseload data'!$C:$C,'custody %'!$B$22),"")</f>
        <v/>
      </c>
      <c r="M26" s="187" t="str">
        <f>IFERROR(SUMIFS('caseload data'!O:O,'caseload data'!$C:$C,'custody %'!$B$22,'caseload data'!$D:$D,"TPO",'caseload data'!$B:$B,"custody")/SUMIFS('caseload data'!O:O,'caseload data'!$B:$B,"custody",'caseload data'!$C:$C,'custody %'!$B$22),"")</f>
        <v/>
      </c>
      <c r="N26" s="187" t="str">
        <f>IFERROR(SUMIFS('caseload data'!P:P,'caseload data'!$C:$C,'custody %'!$B$22,'caseload data'!$D:$D,"TPO",'caseload data'!$B:$B,"custody")/SUMIFS('caseload data'!P:P,'caseload data'!$B:$B,"custody",'caseload data'!$C:$C,'custody %'!$B$22),"")</f>
        <v/>
      </c>
      <c r="O26" s="187" t="str">
        <f>IFERROR(SUMIFS('caseload data'!Q:Q,'caseload data'!$C:$C,'custody %'!$B$22,'caseload data'!$D:$D,"TPO",'caseload data'!$B:$B,"custody")/SUMIFS('caseload data'!Q:Q,'caseload data'!$B:$B,"custody",'caseload data'!$C:$C,'custody %'!$B$22),"")</f>
        <v/>
      </c>
      <c r="P26" s="187" t="str">
        <f>IFERROR(SUMIFS('caseload data'!R:R,'caseload data'!$C:$C,'custody %'!$B$22,'caseload data'!$D:$D,"TPO",'caseload data'!$B:$B,"custody")/SUMIFS('caseload data'!R:R,'caseload data'!$B:$B,"custody",'caseload data'!$C:$C,'custody %'!$B$22),"")</f>
        <v/>
      </c>
      <c r="Q26" s="187" t="str">
        <f>IFERROR(SUMIFS('caseload data'!S:S,'caseload data'!$C:$C,'custody %'!$B$22,'caseload data'!$D:$D,"TPO",'caseload data'!$B:$B,"custody")/SUMIFS('caseload data'!S:S,'caseload data'!$B:$B,"custody",'caseload data'!$C:$C,'custody %'!$B$22),"")</f>
        <v/>
      </c>
      <c r="R26" s="187" t="str">
        <f>IFERROR(SUMIFS('caseload data'!T:T,'caseload data'!$C:$C,'custody %'!$B$22,'caseload data'!$D:$D,"TPO",'caseload data'!$B:$B,"custody")/SUMIFS('caseload data'!T:T,'caseload data'!$B:$B,"custody",'caseload data'!$C:$C,'custody %'!$B$22),"")</f>
        <v/>
      </c>
      <c r="S26" s="76"/>
      <c r="T26" s="110" t="s">
        <v>1039</v>
      </c>
      <c r="U26" s="187" t="str">
        <f>IFERROR(SUMIFS('caseload data'!E:E,'caseload data'!$C:$C,'custody %'!$T$22,'caseload data'!$D:$D,"TPO",'caseload data'!$B:$B,"custody")/SUMIFS('caseload data'!E:E,'caseload data'!$B:$B,"custody",'caseload data'!$C:$C,'custody %'!$T$22),"")</f>
        <v/>
      </c>
      <c r="V26" s="187" t="str">
        <f>IFERROR(SUMIFS('caseload data'!F:F,'caseload data'!$C:$C,'custody %'!$T$22,'caseload data'!$D:$D,"TPO",'caseload data'!$B:$B,"custody")/SUMIFS('caseload data'!F:F,'caseload data'!$B:$B,"custody",'caseload data'!$C:$C,'custody %'!$T$22),"")</f>
        <v/>
      </c>
      <c r="W26" s="187" t="str">
        <f>IFERROR(SUMIFS('caseload data'!G:G,'caseload data'!$C:$C,'custody %'!$T$22,'caseload data'!$D:$D,"TPO",'caseload data'!$B:$B,"custody")/SUMIFS('caseload data'!G:G,'caseload data'!$B:$B,"custody",'caseload data'!$C:$C,'custody %'!$T$22),"")</f>
        <v/>
      </c>
      <c r="X26" s="187" t="str">
        <f>IFERROR(SUMIFS('caseload data'!H:H,'caseload data'!$C:$C,'custody %'!$T$22,'caseload data'!$D:$D,"TPO",'caseload data'!$B:$B,"custody")/SUMIFS('caseload data'!H:H,'caseload data'!$B:$B,"custody",'caseload data'!$C:$C,'custody %'!$T$22),"")</f>
        <v/>
      </c>
      <c r="Y26" s="187" t="str">
        <f>IFERROR(SUMIFS('caseload data'!I:I,'caseload data'!$C:$C,'custody %'!$T$22,'caseload data'!$D:$D,"TPO",'caseload data'!$B:$B,"custody")/SUMIFS('caseload data'!I:I,'caseload data'!$B:$B,"custody",'caseload data'!$C:$C,'custody %'!$T$22),"")</f>
        <v/>
      </c>
      <c r="Z26" s="187" t="str">
        <f>IFERROR(SUMIFS('caseload data'!J:J,'caseload data'!$C:$C,'custody %'!$T$22,'caseload data'!$D:$D,"TPO",'caseload data'!$B:$B,"custody")/SUMIFS('caseload data'!J:J,'caseload data'!$B:$B,"custody",'caseload data'!$C:$C,'custody %'!$T$22),"")</f>
        <v/>
      </c>
      <c r="AA26" s="187" t="str">
        <f>IFERROR(SUMIFS('caseload data'!K:K,'caseload data'!$C:$C,'custody %'!$T$22,'caseload data'!$D:$D,"TPO",'caseload data'!$B:$B,"custody")/SUMIFS('caseload data'!K:K,'caseload data'!$B:$B,"custody",'caseload data'!$C:$C,'custody %'!$T$22),"")</f>
        <v/>
      </c>
      <c r="AB26" s="187" t="str">
        <f>IFERROR(SUMIFS('caseload data'!L:L,'caseload data'!$C:$C,'custody %'!$T$22,'caseload data'!$D:$D,"TPO",'caseload data'!$B:$B,"custody")/SUMIFS('caseload data'!L:L,'caseload data'!$B:$B,"custody",'caseload data'!$C:$C,'custody %'!$T$22),"")</f>
        <v/>
      </c>
      <c r="AC26" s="187" t="str">
        <f>IFERROR(SUMIFS('caseload data'!M:M,'caseload data'!$C:$C,'custody %'!$T$22,'caseload data'!$D:$D,"TPO",'caseload data'!$B:$B,"custody")/SUMIFS('caseload data'!M:M,'caseload data'!$B:$B,"custody",'caseload data'!$C:$C,'custody %'!$T$22),"")</f>
        <v/>
      </c>
      <c r="AD26" s="187" t="str">
        <f>IFERROR(SUMIFS('caseload data'!N:N,'caseload data'!$C:$C,'custody %'!$T$22,'caseload data'!$D:$D,"TPO",'caseload data'!$B:$B,"custody")/SUMIFS('caseload data'!N:N,'caseload data'!$B:$B,"custody",'caseload data'!$C:$C,'custody %'!$T$22),"")</f>
        <v/>
      </c>
      <c r="AE26" s="187" t="str">
        <f>IFERROR(SUMIFS('caseload data'!O:O,'caseload data'!$C:$C,'custody %'!$T$22,'caseload data'!$D:$D,"TPO",'caseload data'!$B:$B,"custody")/SUMIFS('caseload data'!O:O,'caseload data'!$B:$B,"custody",'caseload data'!$C:$C,'custody %'!$T$22),"")</f>
        <v/>
      </c>
      <c r="AF26" s="187" t="str">
        <f>IFERROR(SUMIFS('caseload data'!P:P,'caseload data'!$C:$C,'custody %'!$T$22,'caseload data'!$D:$D,"TPO",'caseload data'!$B:$B,"custody")/SUMIFS('caseload data'!P:P,'caseload data'!$B:$B,"custody",'caseload data'!$C:$C,'custody %'!$T$22),"")</f>
        <v/>
      </c>
      <c r="AG26" s="187" t="str">
        <f>IFERROR(SUMIFS('caseload data'!Q:Q,'caseload data'!$C:$C,'custody %'!$T$22,'caseload data'!$D:$D,"TPO",'caseload data'!$B:$B,"custody")/SUMIFS('caseload data'!Q:Q,'caseload data'!$B:$B,"custody",'caseload data'!$C:$C,'custody %'!$T$22),"")</f>
        <v/>
      </c>
      <c r="AH26" s="187" t="str">
        <f>IFERROR(SUMIFS('caseload data'!R:R,'caseload data'!$C:$C,'custody %'!$T$22,'caseload data'!$D:$D,"TPO",'caseload data'!$B:$B,"custody")/SUMIFS('caseload data'!R:R,'caseload data'!$B:$B,"custody",'caseload data'!$C:$C,'custody %'!$T$22),"")</f>
        <v/>
      </c>
      <c r="AI26" s="187"/>
      <c r="AJ26" s="187"/>
    </row>
    <row r="27" spans="2:36" x14ac:dyDescent="0.15">
      <c r="B27" s="111" t="s">
        <v>1040</v>
      </c>
      <c r="C27" s="187" t="str">
        <f>IFERROR(SUMIFS('caseload data'!E:E,'caseload data'!$C:$C,'custody %'!$B$22,'caseload data'!$D:$D,"SPO",'caseload data'!$B:$B,"custody")/SUMIFS('caseload data'!E:E,'caseload data'!$B:$B,"custody",'caseload data'!$C:$C,'custody %'!$B$22),"")</f>
        <v/>
      </c>
      <c r="D27" s="187" t="str">
        <f>IFERROR(SUMIFS('caseload data'!F:F,'caseload data'!$C:$C,'custody %'!$B$22,'caseload data'!$D:$D,"SPO",'caseload data'!$B:$B,"custody")/SUMIFS('caseload data'!F:F,'caseload data'!$B:$B,"custody",'caseload data'!$C:$C,'custody %'!$B$22),"")</f>
        <v/>
      </c>
      <c r="E27" s="187" t="str">
        <f>IFERROR(SUMIFS('caseload data'!G:G,'caseload data'!$C:$C,'custody %'!$B$22,'caseload data'!$D:$D,"SPO",'caseload data'!$B:$B,"custody")/SUMIFS('caseload data'!G:G,'caseload data'!$B:$B,"custody",'caseload data'!$C:$C,'custody %'!$B$22),"")</f>
        <v/>
      </c>
      <c r="F27" s="187" t="str">
        <f>IFERROR(SUMIFS('caseload data'!H:H,'caseload data'!$C:$C,'custody %'!$B$22,'caseload data'!$D:$D,"SPO",'caseload data'!$B:$B,"custody")/SUMIFS('caseload data'!H:H,'caseload data'!$B:$B,"custody",'caseload data'!$C:$C,'custody %'!$B$22),"")</f>
        <v/>
      </c>
      <c r="G27" s="187" t="str">
        <f>IFERROR(SUMIFS('caseload data'!I:I,'caseload data'!$C:$C,'custody %'!$B$22,'caseload data'!$D:$D,"SPO",'caseload data'!$B:$B,"custody")/SUMIFS('caseload data'!I:I,'caseload data'!$B:$B,"custody",'caseload data'!$C:$C,'custody %'!$B$22),"")</f>
        <v/>
      </c>
      <c r="H27" s="187" t="str">
        <f>IFERROR(SUMIFS('caseload data'!J:J,'caseload data'!$C:$C,'custody %'!$B$22,'caseload data'!$D:$D,"SPO",'caseload data'!$B:$B,"custody")/SUMIFS('caseload data'!J:J,'caseload data'!$B:$B,"custody",'caseload data'!$C:$C,'custody %'!$B$22),"")</f>
        <v/>
      </c>
      <c r="I27" s="187" t="str">
        <f>IFERROR(SUMIFS('caseload data'!K:K,'caseload data'!$C:$C,'custody %'!$B$22,'caseload data'!$D:$D,"SPO",'caseload data'!$B:$B,"custody")/SUMIFS('caseload data'!K:K,'caseload data'!$B:$B,"custody",'caseload data'!$C:$C,'custody %'!$B$22),"")</f>
        <v/>
      </c>
      <c r="J27" s="187" t="str">
        <f>IFERROR(SUMIFS('caseload data'!L:L,'caseload data'!$C:$C,'custody %'!$B$22,'caseload data'!$D:$D,"SPO",'caseload data'!$B:$B,"custody")/SUMIFS('caseload data'!L:L,'caseload data'!$B:$B,"custody",'caseload data'!$C:$C,'custody %'!$B$22),"")</f>
        <v/>
      </c>
      <c r="K27" s="187" t="str">
        <f>IFERROR(SUMIFS('caseload data'!M:M,'caseload data'!$C:$C,'custody %'!$B$22,'caseload data'!$D:$D,"SPO",'caseload data'!$B:$B,"custody")/SUMIFS('caseload data'!M:M,'caseload data'!$B:$B,"custody",'caseload data'!$C:$C,'custody %'!$B$22),"")</f>
        <v/>
      </c>
      <c r="L27" s="187" t="str">
        <f>IFERROR(SUMIFS('caseload data'!N:N,'caseload data'!$C:$C,'custody %'!$B$22,'caseload data'!$D:$D,"SPO",'caseload data'!$B:$B,"custody")/SUMIFS('caseload data'!N:N,'caseload data'!$B:$B,"custody",'caseload data'!$C:$C,'custody %'!$B$22),"")</f>
        <v/>
      </c>
      <c r="M27" s="187" t="str">
        <f>IFERROR(SUMIFS('caseload data'!O:O,'caseload data'!$C:$C,'custody %'!$B$22,'caseload data'!$D:$D,"SPO",'caseload data'!$B:$B,"custody")/SUMIFS('caseload data'!O:O,'caseload data'!$B:$B,"custody",'caseload data'!$C:$C,'custody %'!$B$22),"")</f>
        <v/>
      </c>
      <c r="N27" s="187" t="str">
        <f>IFERROR(SUMIFS('caseload data'!P:P,'caseload data'!$C:$C,'custody %'!$B$22,'caseload data'!$D:$D,"SPO",'caseload data'!$B:$B,"custody")/SUMIFS('caseload data'!P:P,'caseload data'!$B:$B,"custody",'caseload data'!$C:$C,'custody %'!$B$22),"")</f>
        <v/>
      </c>
      <c r="O27" s="187" t="str">
        <f>IFERROR(SUMIFS('caseload data'!Q:Q,'caseload data'!$C:$C,'custody %'!$B$22,'caseload data'!$D:$D,"SPO",'caseload data'!$B:$B,"custody")/SUMIFS('caseload data'!Q:Q,'caseload data'!$B:$B,"custody",'caseload data'!$C:$C,'custody %'!$B$22),"")</f>
        <v/>
      </c>
      <c r="P27" s="187" t="str">
        <f>IFERROR(SUMIFS('caseload data'!R:R,'caseload data'!$C:$C,'custody %'!$B$22,'caseload data'!$D:$D,"SPO",'caseload data'!$B:$B,"custody")/SUMIFS('caseload data'!R:R,'caseload data'!$B:$B,"custody",'caseload data'!$C:$C,'custody %'!$B$22),"")</f>
        <v/>
      </c>
      <c r="Q27" s="187" t="str">
        <f>IFERROR(SUMIFS('caseload data'!S:S,'caseload data'!$C:$C,'custody %'!$B$22,'caseload data'!$D:$D,"SPO",'caseload data'!$B:$B,"custody")/SUMIFS('caseload data'!S:S,'caseload data'!$B:$B,"custody",'caseload data'!$C:$C,'custody %'!$B$22),"")</f>
        <v/>
      </c>
      <c r="R27" s="187" t="str">
        <f>IFERROR(SUMIFS('caseload data'!T:T,'caseload data'!$C:$C,'custody %'!$B$22,'caseload data'!$D:$D,"SPO",'caseload data'!$B:$B,"custody")/SUMIFS('caseload data'!T:T,'caseload data'!$B:$B,"custody",'caseload data'!$C:$C,'custody %'!$B$22),"")</f>
        <v/>
      </c>
      <c r="S27" s="76"/>
      <c r="T27" s="111" t="s">
        <v>1040</v>
      </c>
      <c r="U27" s="187" t="str">
        <f>IFERROR(SUMIFS('caseload data'!E:E,'caseload data'!$C:$C,'custody %'!$T$22,'caseload data'!$D:$D,"SPO",'caseload data'!$B:$B,"custody")/SUMIFS('caseload data'!E:E,'caseload data'!$B:$B,"custody",'caseload data'!$C:$C,'custody %'!$T$22),"")</f>
        <v/>
      </c>
      <c r="V27" s="187" t="str">
        <f>IFERROR(SUMIFS('caseload data'!F:F,'caseload data'!$C:$C,'custody %'!$T$22,'caseload data'!$D:$D,"SPO",'caseload data'!$B:$B,"custody")/SUMIFS('caseload data'!F:F,'caseload data'!$B:$B,"custody",'caseload data'!$C:$C,'custody %'!$T$22),"")</f>
        <v/>
      </c>
      <c r="W27" s="187" t="str">
        <f>IFERROR(SUMIFS('caseload data'!G:G,'caseload data'!$C:$C,'custody %'!$T$22,'caseload data'!$D:$D,"SPO",'caseload data'!$B:$B,"custody")/SUMIFS('caseload data'!G:G,'caseload data'!$B:$B,"custody",'caseload data'!$C:$C,'custody %'!$T$22),"")</f>
        <v/>
      </c>
      <c r="X27" s="187" t="str">
        <f>IFERROR(SUMIFS('caseload data'!H:H,'caseload data'!$C:$C,'custody %'!$T$22,'caseload data'!$D:$D,"SPO",'caseload data'!$B:$B,"custody")/SUMIFS('caseload data'!H:H,'caseload data'!$B:$B,"custody",'caseload data'!$C:$C,'custody %'!$T$22),"")</f>
        <v/>
      </c>
      <c r="Y27" s="187" t="str">
        <f>IFERROR(SUMIFS('caseload data'!I:I,'caseload data'!$C:$C,'custody %'!$T$22,'caseload data'!$D:$D,"SPO",'caseload data'!$B:$B,"custody")/SUMIFS('caseload data'!I:I,'caseload data'!$B:$B,"custody",'caseload data'!$C:$C,'custody %'!$T$22),"")</f>
        <v/>
      </c>
      <c r="Z27" s="187" t="str">
        <f>IFERROR(SUMIFS('caseload data'!J:J,'caseload data'!$C:$C,'custody %'!$T$22,'caseload data'!$D:$D,"SPO",'caseload data'!$B:$B,"custody")/SUMIFS('caseload data'!J:J,'caseload data'!$B:$B,"custody",'caseload data'!$C:$C,'custody %'!$T$22),"")</f>
        <v/>
      </c>
      <c r="AA27" s="187" t="str">
        <f>IFERROR(SUMIFS('caseload data'!K:K,'caseload data'!$C:$C,'custody %'!$T$22,'caseload data'!$D:$D,"SPO",'caseload data'!$B:$B,"custody")/SUMIFS('caseload data'!K:K,'caseload data'!$B:$B,"custody",'caseload data'!$C:$C,'custody %'!$T$22),"")</f>
        <v/>
      </c>
      <c r="AB27" s="187" t="str">
        <f>IFERROR(SUMIFS('caseload data'!L:L,'caseload data'!$C:$C,'custody %'!$T$22,'caseload data'!$D:$D,"SPO",'caseload data'!$B:$B,"custody")/SUMIFS('caseload data'!L:L,'caseload data'!$B:$B,"custody",'caseload data'!$C:$C,'custody %'!$T$22),"")</f>
        <v/>
      </c>
      <c r="AC27" s="187" t="str">
        <f>IFERROR(SUMIFS('caseload data'!M:M,'caseload data'!$C:$C,'custody %'!$T$22,'caseload data'!$D:$D,"SPO",'caseload data'!$B:$B,"custody")/SUMIFS('caseload data'!M:M,'caseload data'!$B:$B,"custody",'caseload data'!$C:$C,'custody %'!$T$22),"")</f>
        <v/>
      </c>
      <c r="AD27" s="187" t="str">
        <f>IFERROR(SUMIFS('caseload data'!N:N,'caseload data'!$C:$C,'custody %'!$T$22,'caseload data'!$D:$D,"SPO",'caseload data'!$B:$B,"custody")/SUMIFS('caseload data'!N:N,'caseload data'!$B:$B,"custody",'caseload data'!$C:$C,'custody %'!$T$22),"")</f>
        <v/>
      </c>
      <c r="AE27" s="187" t="str">
        <f>IFERROR(SUMIFS('caseload data'!O:O,'caseload data'!$C:$C,'custody %'!$T$22,'caseload data'!$D:$D,"SPO",'caseload data'!$B:$B,"custody")/SUMIFS('caseload data'!O:O,'caseload data'!$B:$B,"custody",'caseload data'!$C:$C,'custody %'!$T$22),"")</f>
        <v/>
      </c>
      <c r="AF27" s="187" t="str">
        <f>IFERROR(SUMIFS('caseload data'!P:P,'caseload data'!$C:$C,'custody %'!$T$22,'caseload data'!$D:$D,"SPO",'caseload data'!$B:$B,"custody")/SUMIFS('caseload data'!P:P,'caseload data'!$B:$B,"custody",'caseload data'!$C:$C,'custody %'!$T$22),"")</f>
        <v/>
      </c>
      <c r="AG27" s="187" t="str">
        <f>IFERROR(SUMIFS('caseload data'!Q:Q,'caseload data'!$C:$C,'custody %'!$T$22,'caseload data'!$D:$D,"SPO",'caseload data'!$B:$B,"custody")/SUMIFS('caseload data'!Q:Q,'caseload data'!$B:$B,"custody",'caseload data'!$C:$C,'custody %'!$T$22),"")</f>
        <v/>
      </c>
      <c r="AH27" s="187" t="str">
        <f>IFERROR(SUMIFS('caseload data'!R:R,'caseload data'!$C:$C,'custody %'!$T$22,'caseload data'!$D:$D,"SPO",'caseload data'!$B:$B,"custody")/SUMIFS('caseload data'!R:R,'caseload data'!$B:$B,"custody",'caseload data'!$C:$C,'custody %'!$T$22),"")</f>
        <v/>
      </c>
      <c r="AI27" s="187"/>
      <c r="AJ27" s="187"/>
    </row>
    <row r="28" spans="2:36" x14ac:dyDescent="0.15">
      <c r="B28" s="104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04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</row>
    <row r="29" spans="2:36" ht="29.25" customHeight="1" x14ac:dyDescent="0.15">
      <c r="B29" s="162" t="str">
        <f>HLOOKUP($B$5,Region_Table,8,0)</f>
        <v>Corporate Services - N07</v>
      </c>
      <c r="C29" s="333" t="s">
        <v>1262</v>
      </c>
      <c r="D29" s="334"/>
      <c r="E29" s="334"/>
      <c r="F29" s="334"/>
      <c r="G29" s="334"/>
      <c r="H29" s="334"/>
      <c r="I29" s="334"/>
      <c r="J29" s="334"/>
      <c r="K29" s="334"/>
      <c r="L29" s="334"/>
      <c r="M29" s="343"/>
      <c r="N29" s="343"/>
      <c r="O29" s="344"/>
      <c r="P29" s="337">
        <f>SUMIF('caseload data'!$C:$C,'custody %'!B29,'caseload data'!V:V)</f>
        <v>0</v>
      </c>
      <c r="Q29" s="345"/>
      <c r="R29" s="346"/>
      <c r="S29" s="76"/>
      <c r="T29" s="162" t="str">
        <f>HLOOKUP($B$5,Region_Table,9,0)</f>
        <v>Croydon - N07</v>
      </c>
      <c r="U29" s="333" t="s">
        <v>1262</v>
      </c>
      <c r="V29" s="334"/>
      <c r="W29" s="334"/>
      <c r="X29" s="334"/>
      <c r="Y29" s="334"/>
      <c r="Z29" s="334"/>
      <c r="AA29" s="334"/>
      <c r="AB29" s="334"/>
      <c r="AC29" s="343"/>
      <c r="AD29" s="343"/>
      <c r="AE29" s="344"/>
      <c r="AF29" s="337">
        <f>SUMIF('caseload data'!$C:$C,'custody %'!T29,'caseload data'!V:V)</f>
        <v>0</v>
      </c>
      <c r="AG29" s="345"/>
      <c r="AH29" s="346"/>
    </row>
    <row r="30" spans="2:36" x14ac:dyDescent="0.15">
      <c r="B30" s="108" t="s">
        <v>1199</v>
      </c>
      <c r="C30" s="42" t="s">
        <v>1019</v>
      </c>
      <c r="D30" s="42" t="s">
        <v>1020</v>
      </c>
      <c r="E30" s="42" t="s">
        <v>1021</v>
      </c>
      <c r="F30" s="42" t="s">
        <v>1022</v>
      </c>
      <c r="G30" s="42" t="s">
        <v>1023</v>
      </c>
      <c r="H30" s="42" t="s">
        <v>1024</v>
      </c>
      <c r="I30" s="42" t="s">
        <v>1025</v>
      </c>
      <c r="J30" s="42" t="s">
        <v>1026</v>
      </c>
      <c r="K30" s="42" t="s">
        <v>1027</v>
      </c>
      <c r="L30" s="42" t="s">
        <v>1028</v>
      </c>
      <c r="M30" s="42" t="s">
        <v>1029</v>
      </c>
      <c r="N30" s="42" t="s">
        <v>1030</v>
      </c>
      <c r="O30" s="42" t="s">
        <v>1031</v>
      </c>
      <c r="P30" s="42" t="s">
        <v>1032</v>
      </c>
      <c r="Q30" s="42" t="s">
        <v>1033</v>
      </c>
      <c r="R30" s="42" t="s">
        <v>1034</v>
      </c>
      <c r="S30" s="76"/>
      <c r="T30" s="108" t="s">
        <v>1199</v>
      </c>
      <c r="U30" s="42" t="s">
        <v>1019</v>
      </c>
      <c r="V30" s="42" t="s">
        <v>1020</v>
      </c>
      <c r="W30" s="42" t="s">
        <v>1021</v>
      </c>
      <c r="X30" s="42" t="s">
        <v>1022</v>
      </c>
      <c r="Y30" s="42" t="s">
        <v>1023</v>
      </c>
      <c r="Z30" s="42" t="s">
        <v>1024</v>
      </c>
      <c r="AA30" s="42" t="s">
        <v>1025</v>
      </c>
      <c r="AB30" s="42" t="s">
        <v>1026</v>
      </c>
      <c r="AC30" s="42" t="s">
        <v>1027</v>
      </c>
      <c r="AD30" s="42" t="s">
        <v>1028</v>
      </c>
      <c r="AE30" s="42" t="s">
        <v>1029</v>
      </c>
      <c r="AF30" s="42" t="s">
        <v>1030</v>
      </c>
      <c r="AG30" s="42" t="s">
        <v>1031</v>
      </c>
      <c r="AH30" s="42" t="s">
        <v>1032</v>
      </c>
      <c r="AI30" s="42" t="s">
        <v>1033</v>
      </c>
      <c r="AJ30" s="42" t="s">
        <v>1034</v>
      </c>
    </row>
    <row r="31" spans="2:36" x14ac:dyDescent="0.15">
      <c r="B31" s="109" t="s">
        <v>1037</v>
      </c>
      <c r="C31" s="187" t="str">
        <f>IFERROR(SUMIFS('caseload data'!E:E,'caseload data'!$C:$C,'custody %'!$B$29,'caseload data'!$D:$D,"PO",'caseload data'!$B:$B,"custody")/SUMIFS('caseload data'!E:E,'caseload data'!$B:$B,"custody",'caseload data'!$C:$C,'custody %'!$B$29),"")</f>
        <v/>
      </c>
      <c r="D31" s="187" t="str">
        <f>IFERROR(SUMIFS('caseload data'!F:F,'caseload data'!$C:$C,'custody %'!$B$29,'caseload data'!$D:$D,"PO",'caseload data'!$B:$B,"custody")/SUMIFS('caseload data'!F:F,'caseload data'!$B:$B,"custody",'caseload data'!$C:$C,'custody %'!$B$29),"")</f>
        <v/>
      </c>
      <c r="E31" s="187" t="str">
        <f>IFERROR(SUMIFS('caseload data'!G:G,'caseload data'!$C:$C,'custody %'!$B$29,'caseload data'!$D:$D,"PO",'caseload data'!$B:$B,"custody")/SUMIFS('caseload data'!G:G,'caseload data'!$B:$B,"custody",'caseload data'!$C:$C,'custody %'!$B$29),"")</f>
        <v/>
      </c>
      <c r="F31" s="187" t="str">
        <f>IFERROR(SUMIFS('caseload data'!H:H,'caseload data'!$C:$C,'custody %'!$B$29,'caseload data'!$D:$D,"PO",'caseload data'!$B:$B,"custody")/SUMIFS('caseload data'!H:H,'caseload data'!$B:$B,"custody",'caseload data'!$C:$C,'custody %'!$B$29),"")</f>
        <v/>
      </c>
      <c r="G31" s="187" t="str">
        <f>IFERROR(SUMIFS('caseload data'!I:I,'caseload data'!$C:$C,'custody %'!$B$29,'caseload data'!$D:$D,"PO",'caseload data'!$B:$B,"custody")/SUMIFS('caseload data'!I:I,'caseload data'!$B:$B,"custody",'caseload data'!$C:$C,'custody %'!$B$29),"")</f>
        <v/>
      </c>
      <c r="H31" s="187" t="str">
        <f>IFERROR(SUMIFS('caseload data'!J:J,'caseload data'!$C:$C,'custody %'!$B$29,'caseload data'!$D:$D,"PO",'caseload data'!$B:$B,"custody")/SUMIFS('caseload data'!J:J,'caseload data'!$B:$B,"custody",'caseload data'!$C:$C,'custody %'!$B$29),"")</f>
        <v/>
      </c>
      <c r="I31" s="187" t="str">
        <f>IFERROR(SUMIFS('caseload data'!K:K,'caseload data'!$C:$C,'custody %'!$B$29,'caseload data'!$D:$D,"PO",'caseload data'!$B:$B,"custody")/SUMIFS('caseload data'!K:K,'caseload data'!$B:$B,"custody",'caseload data'!$C:$C,'custody %'!$B$29),"")</f>
        <v/>
      </c>
      <c r="J31" s="187" t="str">
        <f>IFERROR(SUMIFS('caseload data'!L:L,'caseload data'!$C:$C,'custody %'!$B$29,'caseload data'!$D:$D,"PO",'caseload data'!$B:$B,"custody")/SUMIFS('caseload data'!L:L,'caseload data'!$B:$B,"custody",'caseload data'!$C:$C,'custody %'!$B$29),"")</f>
        <v/>
      </c>
      <c r="K31" s="187" t="str">
        <f>IFERROR(SUMIFS('caseload data'!M:M,'caseload data'!$C:$C,'custody %'!$B$29,'caseload data'!$D:$D,"PO",'caseload data'!$B:$B,"custody")/SUMIFS('caseload data'!M:M,'caseload data'!$B:$B,"custody",'caseload data'!$C:$C,'custody %'!$B$29),"")</f>
        <v/>
      </c>
      <c r="L31" s="187" t="str">
        <f>IFERROR(SUMIFS('caseload data'!N:N,'caseload data'!$C:$C,'custody %'!$B$29,'caseload data'!$D:$D,"PO",'caseload data'!$B:$B,"custody")/SUMIFS('caseload data'!N:N,'caseload data'!$B:$B,"custody",'caseload data'!$C:$C,'custody %'!$B$29),"")</f>
        <v/>
      </c>
      <c r="M31" s="187" t="str">
        <f>IFERROR(SUMIFS('caseload data'!O:O,'caseload data'!$C:$C,'custody %'!$B$29,'caseload data'!$D:$D,"PO",'caseload data'!$B:$B,"custody")/SUMIFS('caseload data'!O:O,'caseload data'!$B:$B,"custody",'caseload data'!$C:$C,'custody %'!$B$29),"")</f>
        <v/>
      </c>
      <c r="N31" s="187" t="str">
        <f>IFERROR(SUMIFS('caseload data'!P:P,'caseload data'!$C:$C,'custody %'!$B$29,'caseload data'!$D:$D,"PO",'caseload data'!$B:$B,"custody")/SUMIFS('caseload data'!P:P,'caseload data'!$B:$B,"custody",'caseload data'!$C:$C,'custody %'!$B$29),"")</f>
        <v/>
      </c>
      <c r="O31" s="187" t="str">
        <f>IFERROR(SUMIFS('caseload data'!Q:Q,'caseload data'!$C:$C,'custody %'!$B$29,'caseload data'!$D:$D,"PO",'caseload data'!$B:$B,"custody")/SUMIFS('caseload data'!Q:Q,'caseload data'!$B:$B,"custody",'caseload data'!$C:$C,'custody %'!$B$29),"")</f>
        <v/>
      </c>
      <c r="P31" s="187" t="str">
        <f>IFERROR(SUMIFS('caseload data'!R:R,'caseload data'!$C:$C,'custody %'!$B$29,'caseload data'!$D:$D,"PO",'caseload data'!$B:$B,"custody")/SUMIFS('caseload data'!R:R,'caseload data'!$B:$B,"custody",'caseload data'!$C:$C,'custody %'!$B$29),"")</f>
        <v/>
      </c>
      <c r="Q31" s="187" t="str">
        <f>IFERROR(SUMIFS('caseload data'!S:S,'caseload data'!$C:$C,'custody %'!$B$29,'caseload data'!$D:$D,"PO",'caseload data'!$B:$B,"custody")/SUMIFS('caseload data'!S:S,'caseload data'!$B:$B,"custody",'caseload data'!$C:$C,'custody %'!$B$29),"")</f>
        <v/>
      </c>
      <c r="R31" s="187" t="str">
        <f>IFERROR(SUMIFS('caseload data'!T:T,'caseload data'!$C:$C,'custody %'!$B$29,'caseload data'!$D:$D,"PO",'caseload data'!$B:$B,"custody")/SUMIFS('caseload data'!T:T,'caseload data'!$B:$B,"custody",'caseload data'!$C:$C,'custody %'!$B$29),"")</f>
        <v/>
      </c>
      <c r="S31" s="76"/>
      <c r="T31" s="109" t="s">
        <v>1037</v>
      </c>
      <c r="U31" s="187" t="str">
        <f>IFERROR(SUMIFS('caseload data'!E:E,'caseload data'!$C:$C,'custody %'!$T$29,'caseload data'!$D:$D,"PO",'caseload data'!$B:$B,"custody")/SUMIFS('caseload data'!E:E,'caseload data'!$B:$B,"custody",'caseload data'!$C:$C,'custody %'!$T$29),"")</f>
        <v/>
      </c>
      <c r="V31" s="187" t="str">
        <f>IFERROR(SUMIFS('caseload data'!F:F,'caseload data'!$C:$C,'custody %'!$T$29,'caseload data'!$D:$D,"PO",'caseload data'!$B:$B,"custody")/SUMIFS('caseload data'!F:F,'caseload data'!$B:$B,"custody",'caseload data'!$C:$C,'custody %'!$T$29),"")</f>
        <v/>
      </c>
      <c r="W31" s="187" t="str">
        <f>IFERROR(SUMIFS('caseload data'!G:G,'caseload data'!$C:$C,'custody %'!$T$29,'caseload data'!$D:$D,"PO",'caseload data'!$B:$B,"custody")/SUMIFS('caseload data'!G:G,'caseload data'!$B:$B,"custody",'caseload data'!$C:$C,'custody %'!$T$29),"")</f>
        <v/>
      </c>
      <c r="X31" s="187" t="str">
        <f>IFERROR(SUMIFS('caseload data'!H:H,'caseload data'!$C:$C,'custody %'!$T$29,'caseload data'!$D:$D,"PO",'caseload data'!$B:$B,"custody")/SUMIFS('caseload data'!H:H,'caseload data'!$B:$B,"custody",'caseload data'!$C:$C,'custody %'!$T$29),"")</f>
        <v/>
      </c>
      <c r="Y31" s="187" t="str">
        <f>IFERROR(SUMIFS('caseload data'!I:I,'caseload data'!$C:$C,'custody %'!$T$29,'caseload data'!$D:$D,"PO",'caseload data'!$B:$B,"custody")/SUMIFS('caseload data'!I:I,'caseload data'!$B:$B,"custody",'caseload data'!$C:$C,'custody %'!$T$29),"")</f>
        <v/>
      </c>
      <c r="Z31" s="187" t="str">
        <f>IFERROR(SUMIFS('caseload data'!J:J,'caseload data'!$C:$C,'custody %'!$T$29,'caseload data'!$D:$D,"PO",'caseload data'!$B:$B,"custody")/SUMIFS('caseload data'!J:J,'caseload data'!$B:$B,"custody",'caseload data'!$C:$C,'custody %'!$T$29),"")</f>
        <v/>
      </c>
      <c r="AA31" s="187" t="str">
        <f>IFERROR(SUMIFS('caseload data'!K:K,'caseload data'!$C:$C,'custody %'!$T$29,'caseload data'!$D:$D,"PO",'caseload data'!$B:$B,"custody")/SUMIFS('caseload data'!K:K,'caseload data'!$B:$B,"custody",'caseload data'!$C:$C,'custody %'!$T$29),"")</f>
        <v/>
      </c>
      <c r="AB31" s="187" t="str">
        <f>IFERROR(SUMIFS('caseload data'!L:L,'caseload data'!$C:$C,'custody %'!$T$29,'caseload data'!$D:$D,"PO",'caseload data'!$B:$B,"custody")/SUMIFS('caseload data'!L:L,'caseload data'!$B:$B,"custody",'caseload data'!$C:$C,'custody %'!$T$29),"")</f>
        <v/>
      </c>
      <c r="AC31" s="187" t="str">
        <f>IFERROR(SUMIFS('caseload data'!M:M,'caseload data'!$C:$C,'custody %'!$T$29,'caseload data'!$D:$D,"PO",'caseload data'!$B:$B,"custody")/SUMIFS('caseload data'!M:M,'caseload data'!$B:$B,"custody",'caseload data'!$C:$C,'custody %'!$T$29),"")</f>
        <v/>
      </c>
      <c r="AD31" s="187" t="str">
        <f>IFERROR(SUMIFS('caseload data'!N:N,'caseload data'!$C:$C,'custody %'!$T$29,'caseload data'!$D:$D,"PO",'caseload data'!$B:$B,"custody")/SUMIFS('caseload data'!N:N,'caseload data'!$B:$B,"custody",'caseload data'!$C:$C,'custody %'!$T$29),"")</f>
        <v/>
      </c>
      <c r="AE31" s="187" t="str">
        <f>IFERROR(SUMIFS('caseload data'!O:O,'caseload data'!$C:$C,'custody %'!$T$29,'caseload data'!$D:$D,"PO",'caseload data'!$B:$B,"custody")/SUMIFS('caseload data'!O:O,'caseload data'!$B:$B,"custody",'caseload data'!$C:$C,'custody %'!$T$29),"")</f>
        <v/>
      </c>
      <c r="AF31" s="187" t="str">
        <f>IFERROR(SUMIFS('caseload data'!P:P,'caseload data'!$C:$C,'custody %'!$T$29,'caseload data'!$D:$D,"PO",'caseload data'!$B:$B,"custody")/SUMIFS('caseload data'!P:P,'caseload data'!$B:$B,"custody",'caseload data'!$C:$C,'custody %'!$T$29),"")</f>
        <v/>
      </c>
      <c r="AG31" s="187" t="str">
        <f>IFERROR(SUMIFS('caseload data'!Q:Q,'caseload data'!$C:$C,'custody %'!$T$29,'caseload data'!$D:$D,"PO",'caseload data'!$B:$B,"custody")/SUMIFS('caseload data'!Q:Q,'caseload data'!$B:$B,"custody",'caseload data'!$C:$C,'custody %'!$T$29),"")</f>
        <v/>
      </c>
      <c r="AH31" s="187" t="str">
        <f>IFERROR(SUMIFS('caseload data'!R:R,'caseload data'!$C:$C,'custody %'!$T$29,'caseload data'!$D:$D,"PO",'caseload data'!$B:$B,"custody")/SUMIFS('caseload data'!R:R,'caseload data'!$B:$B,"custody",'caseload data'!$C:$C,'custody %'!$T$29),"")</f>
        <v/>
      </c>
      <c r="AI31" s="187"/>
      <c r="AJ31" s="187"/>
    </row>
    <row r="32" spans="2:36" x14ac:dyDescent="0.15">
      <c r="B32" s="110" t="s">
        <v>1038</v>
      </c>
      <c r="C32" s="187" t="str">
        <f>IFERROR(SUMIFS('caseload data'!E:E,'caseload data'!$C:$C,'custody %'!$B$29,'caseload data'!$D:$D,"PSO",'caseload data'!$B:$B,"custody")/SUMIFS('caseload data'!E:E,'caseload data'!$B:$B,"custody",'caseload data'!$C:$C,'custody %'!$B$29),"")</f>
        <v/>
      </c>
      <c r="D32" s="187" t="str">
        <f>IFERROR(SUMIFS('caseload data'!F:F,'caseload data'!$C:$C,'custody %'!$B$29,'caseload data'!$D:$D,"PSO",'caseload data'!$B:$B,"custody")/SUMIFS('caseload data'!F:F,'caseload data'!$B:$B,"custody",'caseload data'!$C:$C,'custody %'!$B$29),"")</f>
        <v/>
      </c>
      <c r="E32" s="187" t="str">
        <f>IFERROR(SUMIFS('caseload data'!G:G,'caseload data'!$C:$C,'custody %'!$B$29,'caseload data'!$D:$D,"PSO",'caseload data'!$B:$B,"custody")/SUMIFS('caseload data'!G:G,'caseload data'!$B:$B,"custody",'caseload data'!$C:$C,'custody %'!$B$29),"")</f>
        <v/>
      </c>
      <c r="F32" s="187" t="str">
        <f>IFERROR(SUMIFS('caseload data'!H:H,'caseload data'!$C:$C,'custody %'!$B$29,'caseload data'!$D:$D,"PSO",'caseload data'!$B:$B,"custody")/SUMIFS('caseload data'!H:H,'caseload data'!$B:$B,"custody",'caseload data'!$C:$C,'custody %'!$B$29),"")</f>
        <v/>
      </c>
      <c r="G32" s="187" t="str">
        <f>IFERROR(SUMIFS('caseload data'!I:I,'caseload data'!$C:$C,'custody %'!$B$29,'caseload data'!$D:$D,"PSO",'caseload data'!$B:$B,"custody")/SUMIFS('caseload data'!I:I,'caseload data'!$B:$B,"custody",'caseload data'!$C:$C,'custody %'!$B$29),"")</f>
        <v/>
      </c>
      <c r="H32" s="187" t="str">
        <f>IFERROR(SUMIFS('caseload data'!J:J,'caseload data'!$C:$C,'custody %'!$B$29,'caseload data'!$D:$D,"PSO",'caseload data'!$B:$B,"custody")/SUMIFS('caseload data'!J:J,'caseload data'!$B:$B,"custody",'caseload data'!$C:$C,'custody %'!$B$29),"")</f>
        <v/>
      </c>
      <c r="I32" s="187" t="str">
        <f>IFERROR(SUMIFS('caseload data'!K:K,'caseload data'!$C:$C,'custody %'!$B$29,'caseload data'!$D:$D,"PSO",'caseload data'!$B:$B,"custody")/SUMIFS('caseload data'!K:K,'caseload data'!$B:$B,"custody",'caseload data'!$C:$C,'custody %'!$B$29),"")</f>
        <v/>
      </c>
      <c r="J32" s="187" t="str">
        <f>IFERROR(SUMIFS('caseload data'!L:L,'caseload data'!$C:$C,'custody %'!$B$29,'caseload data'!$D:$D,"PSO",'caseload data'!$B:$B,"custody")/SUMIFS('caseload data'!L:L,'caseload data'!$B:$B,"custody",'caseload data'!$C:$C,'custody %'!$B$29),"")</f>
        <v/>
      </c>
      <c r="K32" s="187" t="str">
        <f>IFERROR(SUMIFS('caseload data'!M:M,'caseload data'!$C:$C,'custody %'!$B$29,'caseload data'!$D:$D,"PSO",'caseload data'!$B:$B,"custody")/SUMIFS('caseload data'!M:M,'caseload data'!$B:$B,"custody",'caseload data'!$C:$C,'custody %'!$B$29),"")</f>
        <v/>
      </c>
      <c r="L32" s="187" t="str">
        <f>IFERROR(SUMIFS('caseload data'!N:N,'caseload data'!$C:$C,'custody %'!$B$29,'caseload data'!$D:$D,"PSO",'caseload data'!$B:$B,"custody")/SUMIFS('caseload data'!N:N,'caseload data'!$B:$B,"custody",'caseload data'!$C:$C,'custody %'!$B$29),"")</f>
        <v/>
      </c>
      <c r="M32" s="187" t="str">
        <f>IFERROR(SUMIFS('caseload data'!O:O,'caseload data'!$C:$C,'custody %'!$B$29,'caseload data'!$D:$D,"PSO",'caseload data'!$B:$B,"custody")/SUMIFS('caseload data'!O:O,'caseload data'!$B:$B,"custody",'caseload data'!$C:$C,'custody %'!$B$29),"")</f>
        <v/>
      </c>
      <c r="N32" s="187" t="str">
        <f>IFERROR(SUMIFS('caseload data'!P:P,'caseload data'!$C:$C,'custody %'!$B$29,'caseload data'!$D:$D,"PSO",'caseload data'!$B:$B,"custody")/SUMIFS('caseload data'!P:P,'caseload data'!$B:$B,"custody",'caseload data'!$C:$C,'custody %'!$B$29),"")</f>
        <v/>
      </c>
      <c r="O32" s="187" t="str">
        <f>IFERROR(SUMIFS('caseload data'!Q:Q,'caseload data'!$C:$C,'custody %'!$B$29,'caseload data'!$D:$D,"PSO",'caseload data'!$B:$B,"custody")/SUMIFS('caseload data'!Q:Q,'caseload data'!$B:$B,"custody",'caseload data'!$C:$C,'custody %'!$B$29),"")</f>
        <v/>
      </c>
      <c r="P32" s="187" t="str">
        <f>IFERROR(SUMIFS('caseload data'!R:R,'caseload data'!$C:$C,'custody %'!$B$29,'caseload data'!$D:$D,"PSO",'caseload data'!$B:$B,"custody")/SUMIFS('caseload data'!R:R,'caseload data'!$B:$B,"custody",'caseload data'!$C:$C,'custody %'!$B$29),"")</f>
        <v/>
      </c>
      <c r="Q32" s="187" t="str">
        <f>IFERROR(SUMIFS('caseload data'!S:S,'caseload data'!$C:$C,'custody %'!$B$29,'caseload data'!$D:$D,"PSO",'caseload data'!$B:$B,"custody")/SUMIFS('caseload data'!S:S,'caseload data'!$B:$B,"custody",'caseload data'!$C:$C,'custody %'!$B$29),"")</f>
        <v/>
      </c>
      <c r="R32" s="187" t="str">
        <f>IFERROR(SUMIFS('caseload data'!T:T,'caseload data'!$C:$C,'custody %'!$B$29,'caseload data'!$D:$D,"PSO",'caseload data'!$B:$B,"custody")/SUMIFS('caseload data'!T:T,'caseload data'!$B:$B,"custody",'caseload data'!$C:$C,'custody %'!$B$29),"")</f>
        <v/>
      </c>
      <c r="S32" s="76"/>
      <c r="T32" s="110" t="s">
        <v>1038</v>
      </c>
      <c r="U32" s="187" t="str">
        <f>IFERROR(SUMIFS('caseload data'!E:E,'caseload data'!$C:$C,'custody %'!$T$29,'caseload data'!$D:$D,"PSO",'caseload data'!$B:$B,"custody")/SUMIFS('caseload data'!E:E,'caseload data'!$B:$B,"custody",'caseload data'!$C:$C,'custody %'!$T$29),"")</f>
        <v/>
      </c>
      <c r="V32" s="187" t="str">
        <f>IFERROR(SUMIFS('caseload data'!F:F,'caseload data'!$C:$C,'custody %'!$T$29,'caseload data'!$D:$D,"PSO",'caseload data'!$B:$B,"custody")/SUMIFS('caseload data'!F:F,'caseload data'!$B:$B,"custody",'caseload data'!$C:$C,'custody %'!$T$29),"")</f>
        <v/>
      </c>
      <c r="W32" s="187" t="str">
        <f>IFERROR(SUMIFS('caseload data'!G:G,'caseload data'!$C:$C,'custody %'!$T$29,'caseload data'!$D:$D,"PSO",'caseload data'!$B:$B,"custody")/SUMIFS('caseload data'!G:G,'caseload data'!$B:$B,"custody",'caseload data'!$C:$C,'custody %'!$T$29),"")</f>
        <v/>
      </c>
      <c r="X32" s="187" t="str">
        <f>IFERROR(SUMIFS('caseload data'!H:H,'caseload data'!$C:$C,'custody %'!$T$29,'caseload data'!$D:$D,"PSO",'caseload data'!$B:$B,"custody")/SUMIFS('caseload data'!H:H,'caseload data'!$B:$B,"custody",'caseload data'!$C:$C,'custody %'!$T$29),"")</f>
        <v/>
      </c>
      <c r="Y32" s="187" t="str">
        <f>IFERROR(SUMIFS('caseload data'!I:I,'caseload data'!$C:$C,'custody %'!$T$29,'caseload data'!$D:$D,"PSO",'caseload data'!$B:$B,"custody")/SUMIFS('caseload data'!I:I,'caseload data'!$B:$B,"custody",'caseload data'!$C:$C,'custody %'!$T$29),"")</f>
        <v/>
      </c>
      <c r="Z32" s="187" t="str">
        <f>IFERROR(SUMIFS('caseload data'!J:J,'caseload data'!$C:$C,'custody %'!$T$29,'caseload data'!$D:$D,"PSO",'caseload data'!$B:$B,"custody")/SUMIFS('caseload data'!J:J,'caseload data'!$B:$B,"custody",'caseload data'!$C:$C,'custody %'!$T$29),"")</f>
        <v/>
      </c>
      <c r="AA32" s="187" t="str">
        <f>IFERROR(SUMIFS('caseload data'!K:K,'caseload data'!$C:$C,'custody %'!$T$29,'caseload data'!$D:$D,"PSO",'caseload data'!$B:$B,"custody")/SUMIFS('caseload data'!K:K,'caseload data'!$B:$B,"custody",'caseload data'!$C:$C,'custody %'!$T$29),"")</f>
        <v/>
      </c>
      <c r="AB32" s="187" t="str">
        <f>IFERROR(SUMIFS('caseload data'!L:L,'caseload data'!$C:$C,'custody %'!$T$29,'caseload data'!$D:$D,"PSO",'caseload data'!$B:$B,"custody")/SUMIFS('caseload data'!L:L,'caseload data'!$B:$B,"custody",'caseload data'!$C:$C,'custody %'!$T$29),"")</f>
        <v/>
      </c>
      <c r="AC32" s="187" t="str">
        <f>IFERROR(SUMIFS('caseload data'!M:M,'caseload data'!$C:$C,'custody %'!$T$29,'caseload data'!$D:$D,"PSO",'caseload data'!$B:$B,"custody")/SUMIFS('caseload data'!M:M,'caseload data'!$B:$B,"custody",'caseload data'!$C:$C,'custody %'!$T$29),"")</f>
        <v/>
      </c>
      <c r="AD32" s="187" t="str">
        <f>IFERROR(SUMIFS('caseload data'!N:N,'caseload data'!$C:$C,'custody %'!$T$29,'caseload data'!$D:$D,"PSO",'caseload data'!$B:$B,"custody")/SUMIFS('caseload data'!N:N,'caseload data'!$B:$B,"custody",'caseload data'!$C:$C,'custody %'!$T$29),"")</f>
        <v/>
      </c>
      <c r="AE32" s="187" t="str">
        <f>IFERROR(SUMIFS('caseload data'!O:O,'caseload data'!$C:$C,'custody %'!$T$29,'caseload data'!$D:$D,"PSO",'caseload data'!$B:$B,"custody")/SUMIFS('caseload data'!O:O,'caseload data'!$B:$B,"custody",'caseload data'!$C:$C,'custody %'!$T$29),"")</f>
        <v/>
      </c>
      <c r="AF32" s="187" t="str">
        <f>IFERROR(SUMIFS('caseload data'!P:P,'caseload data'!$C:$C,'custody %'!$T$29,'caseload data'!$D:$D,"PSO",'caseload data'!$B:$B,"custody")/SUMIFS('caseload data'!P:P,'caseload data'!$B:$B,"custody",'caseload data'!$C:$C,'custody %'!$T$29),"")</f>
        <v/>
      </c>
      <c r="AG32" s="187" t="str">
        <f>IFERROR(SUMIFS('caseload data'!Q:Q,'caseload data'!$C:$C,'custody %'!$T$29,'caseload data'!$D:$D,"PSO",'caseload data'!$B:$B,"custody")/SUMIFS('caseload data'!Q:Q,'caseload data'!$B:$B,"custody",'caseload data'!$C:$C,'custody %'!$T$29),"")</f>
        <v/>
      </c>
      <c r="AH32" s="187" t="str">
        <f>IFERROR(SUMIFS('caseload data'!R:R,'caseload data'!$C:$C,'custody %'!$T$29,'caseload data'!$D:$D,"PSO",'caseload data'!$B:$B,"custody")/SUMIFS('caseload data'!R:R,'caseload data'!$B:$B,"custody",'caseload data'!$C:$C,'custody %'!$T$29),"")</f>
        <v/>
      </c>
      <c r="AI32" s="187"/>
      <c r="AJ32" s="187"/>
    </row>
    <row r="33" spans="2:36" x14ac:dyDescent="0.15">
      <c r="B33" s="110" t="s">
        <v>1039</v>
      </c>
      <c r="C33" s="187" t="str">
        <f>IFERROR(SUMIFS('caseload data'!E:E,'caseload data'!$C:$C,'custody %'!$B$29,'caseload data'!$D:$D,"TPO",'caseload data'!$B:$B,"custody")/SUMIFS('caseload data'!E:E,'caseload data'!$B:$B,"custody",'caseload data'!$C:$C,'custody %'!$B$29),"")</f>
        <v/>
      </c>
      <c r="D33" s="187" t="str">
        <f>IFERROR(SUMIFS('caseload data'!F:F,'caseload data'!$C:$C,'custody %'!$B$29,'caseload data'!$D:$D,"TPO",'caseload data'!$B:$B,"custody")/SUMIFS('caseload data'!F:F,'caseload data'!$B:$B,"custody",'caseload data'!$C:$C,'custody %'!$B$29),"")</f>
        <v/>
      </c>
      <c r="E33" s="187" t="str">
        <f>IFERROR(SUMIFS('caseload data'!G:G,'caseload data'!$C:$C,'custody %'!$B$29,'caseload data'!$D:$D,"TPO",'caseload data'!$B:$B,"custody")/SUMIFS('caseload data'!G:G,'caseload data'!$B:$B,"custody",'caseload data'!$C:$C,'custody %'!$B$29),"")</f>
        <v/>
      </c>
      <c r="F33" s="187" t="str">
        <f>IFERROR(SUMIFS('caseload data'!H:H,'caseload data'!$C:$C,'custody %'!$B$29,'caseload data'!$D:$D,"TPO",'caseload data'!$B:$B,"custody")/SUMIFS('caseload data'!H:H,'caseload data'!$B:$B,"custody",'caseload data'!$C:$C,'custody %'!$B$29),"")</f>
        <v/>
      </c>
      <c r="G33" s="187" t="str">
        <f>IFERROR(SUMIFS('caseload data'!I:I,'caseload data'!$C:$C,'custody %'!$B$29,'caseload data'!$D:$D,"TPO",'caseload data'!$B:$B,"custody")/SUMIFS('caseload data'!I:I,'caseload data'!$B:$B,"custody",'caseload data'!$C:$C,'custody %'!$B$29),"")</f>
        <v/>
      </c>
      <c r="H33" s="187" t="str">
        <f>IFERROR(SUMIFS('caseload data'!J:J,'caseload data'!$C:$C,'custody %'!$B$29,'caseload data'!$D:$D,"TPO",'caseload data'!$B:$B,"custody")/SUMIFS('caseload data'!J:J,'caseload data'!$B:$B,"custody",'caseload data'!$C:$C,'custody %'!$B$29),"")</f>
        <v/>
      </c>
      <c r="I33" s="187" t="str">
        <f>IFERROR(SUMIFS('caseload data'!K:K,'caseload data'!$C:$C,'custody %'!$B$29,'caseload data'!$D:$D,"TPO",'caseload data'!$B:$B,"custody")/SUMIFS('caseload data'!K:K,'caseload data'!$B:$B,"custody",'caseload data'!$C:$C,'custody %'!$B$29),"")</f>
        <v/>
      </c>
      <c r="J33" s="187" t="str">
        <f>IFERROR(SUMIFS('caseload data'!L:L,'caseload data'!$C:$C,'custody %'!$B$29,'caseload data'!$D:$D,"TPO",'caseload data'!$B:$B,"custody")/SUMIFS('caseload data'!L:L,'caseload data'!$B:$B,"custody",'caseload data'!$C:$C,'custody %'!$B$29),"")</f>
        <v/>
      </c>
      <c r="K33" s="187" t="str">
        <f>IFERROR(SUMIFS('caseload data'!M:M,'caseload data'!$C:$C,'custody %'!$B$29,'caseload data'!$D:$D,"TPO",'caseload data'!$B:$B,"custody")/SUMIFS('caseload data'!M:M,'caseload data'!$B:$B,"custody",'caseload data'!$C:$C,'custody %'!$B$29),"")</f>
        <v/>
      </c>
      <c r="L33" s="187" t="str">
        <f>IFERROR(SUMIFS('caseload data'!N:N,'caseload data'!$C:$C,'custody %'!$B$29,'caseload data'!$D:$D,"TPO",'caseload data'!$B:$B,"custody")/SUMIFS('caseload data'!N:N,'caseload data'!$B:$B,"custody",'caseload data'!$C:$C,'custody %'!$B$29),"")</f>
        <v/>
      </c>
      <c r="M33" s="187" t="str">
        <f>IFERROR(SUMIFS('caseload data'!O:O,'caseload data'!$C:$C,'custody %'!$B$29,'caseload data'!$D:$D,"TPO",'caseload data'!$B:$B,"custody")/SUMIFS('caseload data'!O:O,'caseload data'!$B:$B,"custody",'caseload data'!$C:$C,'custody %'!$B$29),"")</f>
        <v/>
      </c>
      <c r="N33" s="187" t="str">
        <f>IFERROR(SUMIFS('caseload data'!P:P,'caseload data'!$C:$C,'custody %'!$B$29,'caseload data'!$D:$D,"TPO",'caseload data'!$B:$B,"custody")/SUMIFS('caseload data'!P:P,'caseload data'!$B:$B,"custody",'caseload data'!$C:$C,'custody %'!$B$29),"")</f>
        <v/>
      </c>
      <c r="O33" s="187" t="str">
        <f>IFERROR(SUMIFS('caseload data'!Q:Q,'caseload data'!$C:$C,'custody %'!$B$29,'caseload data'!$D:$D,"TPO",'caseload data'!$B:$B,"custody")/SUMIFS('caseload data'!Q:Q,'caseload data'!$B:$B,"custody",'caseload data'!$C:$C,'custody %'!$B$29),"")</f>
        <v/>
      </c>
      <c r="P33" s="187" t="str">
        <f>IFERROR(SUMIFS('caseload data'!R:R,'caseload data'!$C:$C,'custody %'!$B$29,'caseload data'!$D:$D,"TPO",'caseload data'!$B:$B,"custody")/SUMIFS('caseload data'!R:R,'caseload data'!$B:$B,"custody",'caseload data'!$C:$C,'custody %'!$B$29),"")</f>
        <v/>
      </c>
      <c r="Q33" s="187" t="str">
        <f>IFERROR(SUMIFS('caseload data'!S:S,'caseload data'!$C:$C,'custody %'!$B$29,'caseload data'!$D:$D,"TPO",'caseload data'!$B:$B,"custody")/SUMIFS('caseload data'!S:S,'caseload data'!$B:$B,"custody",'caseload data'!$C:$C,'custody %'!$B$29),"")</f>
        <v/>
      </c>
      <c r="R33" s="187" t="str">
        <f>IFERROR(SUMIFS('caseload data'!T:T,'caseload data'!$C:$C,'custody %'!$B$29,'caseload data'!$D:$D,"TPO",'caseload data'!$B:$B,"custody")/SUMIFS('caseload data'!T:T,'caseload data'!$B:$B,"custody",'caseload data'!$C:$C,'custody %'!$B$29),"")</f>
        <v/>
      </c>
      <c r="S33" s="76"/>
      <c r="T33" s="110" t="s">
        <v>1039</v>
      </c>
      <c r="U33" s="187" t="str">
        <f>IFERROR(SUMIFS('caseload data'!E:E,'caseload data'!$C:$C,'custody %'!$T$29,'caseload data'!$D:$D,"TPO",'caseload data'!$B:$B,"custody")/SUMIFS('caseload data'!E:E,'caseload data'!$B:$B,"custody",'caseload data'!$C:$C,'custody %'!$T$29),"")</f>
        <v/>
      </c>
      <c r="V33" s="187" t="str">
        <f>IFERROR(SUMIFS('caseload data'!F:F,'caseload data'!$C:$C,'custody %'!$T$29,'caseload data'!$D:$D,"TPO",'caseload data'!$B:$B,"custody")/SUMIFS('caseload data'!F:F,'caseload data'!$B:$B,"custody",'caseload data'!$C:$C,'custody %'!$T$29),"")</f>
        <v/>
      </c>
      <c r="W33" s="187" t="str">
        <f>IFERROR(SUMIFS('caseload data'!G:G,'caseload data'!$C:$C,'custody %'!$T$29,'caseload data'!$D:$D,"TPO",'caseload data'!$B:$B,"custody")/SUMIFS('caseload data'!G:G,'caseload data'!$B:$B,"custody",'caseload data'!$C:$C,'custody %'!$T$29),"")</f>
        <v/>
      </c>
      <c r="X33" s="187" t="str">
        <f>IFERROR(SUMIFS('caseload data'!H:H,'caseload data'!$C:$C,'custody %'!$T$29,'caseload data'!$D:$D,"TPO",'caseload data'!$B:$B,"custody")/SUMIFS('caseload data'!H:H,'caseload data'!$B:$B,"custody",'caseload data'!$C:$C,'custody %'!$T$29),"")</f>
        <v/>
      </c>
      <c r="Y33" s="187" t="str">
        <f>IFERROR(SUMIFS('caseload data'!I:I,'caseload data'!$C:$C,'custody %'!$T$29,'caseload data'!$D:$D,"TPO",'caseload data'!$B:$B,"custody")/SUMIFS('caseload data'!I:I,'caseload data'!$B:$B,"custody",'caseload data'!$C:$C,'custody %'!$T$29),"")</f>
        <v/>
      </c>
      <c r="Z33" s="187" t="str">
        <f>IFERROR(SUMIFS('caseload data'!J:J,'caseload data'!$C:$C,'custody %'!$T$29,'caseload data'!$D:$D,"TPO",'caseload data'!$B:$B,"custody")/SUMIFS('caseload data'!J:J,'caseload data'!$B:$B,"custody",'caseload data'!$C:$C,'custody %'!$T$29),"")</f>
        <v/>
      </c>
      <c r="AA33" s="187" t="str">
        <f>IFERROR(SUMIFS('caseload data'!K:K,'caseload data'!$C:$C,'custody %'!$T$29,'caseload data'!$D:$D,"TPO",'caseload data'!$B:$B,"custody")/SUMIFS('caseload data'!K:K,'caseload data'!$B:$B,"custody",'caseload data'!$C:$C,'custody %'!$T$29),"")</f>
        <v/>
      </c>
      <c r="AB33" s="187" t="str">
        <f>IFERROR(SUMIFS('caseload data'!L:L,'caseload data'!$C:$C,'custody %'!$T$29,'caseload data'!$D:$D,"TPO",'caseload data'!$B:$B,"custody")/SUMIFS('caseload data'!L:L,'caseload data'!$B:$B,"custody",'caseload data'!$C:$C,'custody %'!$T$29),"")</f>
        <v/>
      </c>
      <c r="AC33" s="187" t="str">
        <f>IFERROR(SUMIFS('caseload data'!M:M,'caseload data'!$C:$C,'custody %'!$T$29,'caseload data'!$D:$D,"TPO",'caseload data'!$B:$B,"custody")/SUMIFS('caseload data'!M:M,'caseload data'!$B:$B,"custody",'caseload data'!$C:$C,'custody %'!$T$29),"")</f>
        <v/>
      </c>
      <c r="AD33" s="187" t="str">
        <f>IFERROR(SUMIFS('caseload data'!N:N,'caseload data'!$C:$C,'custody %'!$T$29,'caseload data'!$D:$D,"TPO",'caseload data'!$B:$B,"custody")/SUMIFS('caseload data'!N:N,'caseload data'!$B:$B,"custody",'caseload data'!$C:$C,'custody %'!$T$29),"")</f>
        <v/>
      </c>
      <c r="AE33" s="187" t="str">
        <f>IFERROR(SUMIFS('caseload data'!O:O,'caseload data'!$C:$C,'custody %'!$T$29,'caseload data'!$D:$D,"TPO",'caseload data'!$B:$B,"custody")/SUMIFS('caseload data'!O:O,'caseload data'!$B:$B,"custody",'caseload data'!$C:$C,'custody %'!$T$29),"")</f>
        <v/>
      </c>
      <c r="AF33" s="187" t="str">
        <f>IFERROR(SUMIFS('caseload data'!P:P,'caseload data'!$C:$C,'custody %'!$T$29,'caseload data'!$D:$D,"TPO",'caseload data'!$B:$B,"custody")/SUMIFS('caseload data'!P:P,'caseload data'!$B:$B,"custody",'caseload data'!$C:$C,'custody %'!$T$29),"")</f>
        <v/>
      </c>
      <c r="AG33" s="187" t="str">
        <f>IFERROR(SUMIFS('caseload data'!Q:Q,'caseload data'!$C:$C,'custody %'!$T$29,'caseload data'!$D:$D,"TPO",'caseload data'!$B:$B,"custody")/SUMIFS('caseload data'!Q:Q,'caseload data'!$B:$B,"custody",'caseload data'!$C:$C,'custody %'!$T$29),"")</f>
        <v/>
      </c>
      <c r="AH33" s="187" t="str">
        <f>IFERROR(SUMIFS('caseload data'!R:R,'caseload data'!$C:$C,'custody %'!$T$29,'caseload data'!$D:$D,"TPO",'caseload data'!$B:$B,"custody")/SUMIFS('caseload data'!R:R,'caseload data'!$B:$B,"custody",'caseload data'!$C:$C,'custody %'!$T$29),"")</f>
        <v/>
      </c>
      <c r="AI33" s="187"/>
      <c r="AJ33" s="187"/>
    </row>
    <row r="34" spans="2:36" x14ac:dyDescent="0.15">
      <c r="B34" s="111" t="s">
        <v>1040</v>
      </c>
      <c r="C34" s="187" t="str">
        <f>IFERROR(SUMIFS('caseload data'!E:E,'caseload data'!$C:$C,'custody %'!$B$29,'caseload data'!$D:$D,"SPO",'caseload data'!$B:$B,"custody")/SUMIFS('caseload data'!E:E,'caseload data'!$B:$B,"custody",'caseload data'!$C:$C,'custody %'!$B$29),"")</f>
        <v/>
      </c>
      <c r="D34" s="187" t="str">
        <f>IFERROR(SUMIFS('caseload data'!F:F,'caseload data'!$C:$C,'custody %'!$B$29,'caseload data'!$D:$D,"SPO",'caseload data'!$B:$B,"custody")/SUMIFS('caseload data'!F:F,'caseload data'!$B:$B,"custody",'caseload data'!$C:$C,'custody %'!$B$29),"")</f>
        <v/>
      </c>
      <c r="E34" s="187" t="str">
        <f>IFERROR(SUMIFS('caseload data'!G:G,'caseload data'!$C:$C,'custody %'!$B$29,'caseload data'!$D:$D,"SPO",'caseload data'!$B:$B,"custody")/SUMIFS('caseload data'!G:G,'caseload data'!$B:$B,"custody",'caseload data'!$C:$C,'custody %'!$B$29),"")</f>
        <v/>
      </c>
      <c r="F34" s="187" t="str">
        <f>IFERROR(SUMIFS('caseload data'!H:H,'caseload data'!$C:$C,'custody %'!$B$29,'caseload data'!$D:$D,"SPO",'caseload data'!$B:$B,"custody")/SUMIFS('caseload data'!H:H,'caseload data'!$B:$B,"custody",'caseload data'!$C:$C,'custody %'!$B$29),"")</f>
        <v/>
      </c>
      <c r="G34" s="187" t="str">
        <f>IFERROR(SUMIFS('caseload data'!I:I,'caseload data'!$C:$C,'custody %'!$B$29,'caseload data'!$D:$D,"SPO",'caseload data'!$B:$B,"custody")/SUMIFS('caseload data'!I:I,'caseload data'!$B:$B,"custody",'caseload data'!$C:$C,'custody %'!$B$29),"")</f>
        <v/>
      </c>
      <c r="H34" s="187" t="str">
        <f>IFERROR(SUMIFS('caseload data'!J:J,'caseload data'!$C:$C,'custody %'!$B$29,'caseload data'!$D:$D,"SPO",'caseload data'!$B:$B,"custody")/SUMIFS('caseload data'!J:J,'caseload data'!$B:$B,"custody",'caseload data'!$C:$C,'custody %'!$B$29),"")</f>
        <v/>
      </c>
      <c r="I34" s="187" t="str">
        <f>IFERROR(SUMIFS('caseload data'!K:K,'caseload data'!$C:$C,'custody %'!$B$29,'caseload data'!$D:$D,"SPO",'caseload data'!$B:$B,"custody")/SUMIFS('caseload data'!K:K,'caseload data'!$B:$B,"custody",'caseload data'!$C:$C,'custody %'!$B$29),"")</f>
        <v/>
      </c>
      <c r="J34" s="187" t="str">
        <f>IFERROR(SUMIFS('caseload data'!L:L,'caseload data'!$C:$C,'custody %'!$B$29,'caseload data'!$D:$D,"SPO",'caseload data'!$B:$B,"custody")/SUMIFS('caseload data'!L:L,'caseload data'!$B:$B,"custody",'caseload data'!$C:$C,'custody %'!$B$29),"")</f>
        <v/>
      </c>
      <c r="K34" s="187" t="str">
        <f>IFERROR(SUMIFS('caseload data'!M:M,'caseload data'!$C:$C,'custody %'!$B$29,'caseload data'!$D:$D,"SPO",'caseload data'!$B:$B,"custody")/SUMIFS('caseload data'!M:M,'caseload data'!$B:$B,"custody",'caseload data'!$C:$C,'custody %'!$B$29),"")</f>
        <v/>
      </c>
      <c r="L34" s="187" t="str">
        <f>IFERROR(SUMIFS('caseload data'!N:N,'caseload data'!$C:$C,'custody %'!$B$29,'caseload data'!$D:$D,"SPO",'caseload data'!$B:$B,"custody")/SUMIFS('caseload data'!N:N,'caseload data'!$B:$B,"custody",'caseload data'!$C:$C,'custody %'!$B$29),"")</f>
        <v/>
      </c>
      <c r="M34" s="187" t="str">
        <f>IFERROR(SUMIFS('caseload data'!O:O,'caseload data'!$C:$C,'custody %'!$B$29,'caseload data'!$D:$D,"SPO",'caseload data'!$B:$B,"custody")/SUMIFS('caseload data'!O:O,'caseload data'!$B:$B,"custody",'caseload data'!$C:$C,'custody %'!$B$29),"")</f>
        <v/>
      </c>
      <c r="N34" s="187" t="str">
        <f>IFERROR(SUMIFS('caseload data'!P:P,'caseload data'!$C:$C,'custody %'!$B$29,'caseload data'!$D:$D,"SPO",'caseload data'!$B:$B,"custody")/SUMIFS('caseload data'!P:P,'caseload data'!$B:$B,"custody",'caseload data'!$C:$C,'custody %'!$B$29),"")</f>
        <v/>
      </c>
      <c r="O34" s="187" t="str">
        <f>IFERROR(SUMIFS('caseload data'!Q:Q,'caseload data'!$C:$C,'custody %'!$B$29,'caseload data'!$D:$D,"SPO",'caseload data'!$B:$B,"custody")/SUMIFS('caseload data'!Q:Q,'caseload data'!$B:$B,"custody",'caseload data'!$C:$C,'custody %'!$B$29),"")</f>
        <v/>
      </c>
      <c r="P34" s="187" t="str">
        <f>IFERROR(SUMIFS('caseload data'!R:R,'caseload data'!$C:$C,'custody %'!$B$29,'caseload data'!$D:$D,"SPO",'caseload data'!$B:$B,"custody")/SUMIFS('caseload data'!R:R,'caseload data'!$B:$B,"custody",'caseload data'!$C:$C,'custody %'!$B$29),"")</f>
        <v/>
      </c>
      <c r="Q34" s="187" t="str">
        <f>IFERROR(SUMIFS('caseload data'!S:S,'caseload data'!$C:$C,'custody %'!$B$29,'caseload data'!$D:$D,"SPO",'caseload data'!$B:$B,"custody")/SUMIFS('caseload data'!S:S,'caseload data'!$B:$B,"custody",'caseload data'!$C:$C,'custody %'!$B$29),"")</f>
        <v/>
      </c>
      <c r="R34" s="187" t="str">
        <f>IFERROR(SUMIFS('caseload data'!T:T,'caseload data'!$C:$C,'custody %'!$B$29,'caseload data'!$D:$D,"SPO",'caseload data'!$B:$B,"custody")/SUMIFS('caseload data'!T:T,'caseload data'!$B:$B,"custody",'caseload data'!$C:$C,'custody %'!$B$29),"")</f>
        <v/>
      </c>
      <c r="S34" s="76"/>
      <c r="T34" s="111" t="s">
        <v>1040</v>
      </c>
      <c r="U34" s="187" t="str">
        <f>IFERROR(SUMIFS('caseload data'!E:E,'caseload data'!$C:$C,'custody %'!$T$29,'caseload data'!$D:$D,"SPO",'caseload data'!$B:$B,"custody")/SUMIFS('caseload data'!E:E,'caseload data'!$B:$B,"custody",'caseload data'!$C:$C,'custody %'!$T$29),"")</f>
        <v/>
      </c>
      <c r="V34" s="187" t="str">
        <f>IFERROR(SUMIFS('caseload data'!F:F,'caseload data'!$C:$C,'custody %'!$T$29,'caseload data'!$D:$D,"SPO",'caseload data'!$B:$B,"custody")/SUMIFS('caseload data'!F:F,'caseload data'!$B:$B,"custody",'caseload data'!$C:$C,'custody %'!$T$29),"")</f>
        <v/>
      </c>
      <c r="W34" s="187" t="str">
        <f>IFERROR(SUMIFS('caseload data'!G:G,'caseload data'!$C:$C,'custody %'!$T$29,'caseload data'!$D:$D,"SPO",'caseload data'!$B:$B,"custody")/SUMIFS('caseload data'!G:G,'caseload data'!$B:$B,"custody",'caseload data'!$C:$C,'custody %'!$T$29),"")</f>
        <v/>
      </c>
      <c r="X34" s="187" t="str">
        <f>IFERROR(SUMIFS('caseload data'!H:H,'caseload data'!$C:$C,'custody %'!$T$29,'caseload data'!$D:$D,"SPO",'caseload data'!$B:$B,"custody")/SUMIFS('caseload data'!H:H,'caseload data'!$B:$B,"custody",'caseload data'!$C:$C,'custody %'!$T$29),"")</f>
        <v/>
      </c>
      <c r="Y34" s="187" t="str">
        <f>IFERROR(SUMIFS('caseload data'!I:I,'caseload data'!$C:$C,'custody %'!$T$29,'caseload data'!$D:$D,"SPO",'caseload data'!$B:$B,"custody")/SUMIFS('caseload data'!I:I,'caseload data'!$B:$B,"custody",'caseload data'!$C:$C,'custody %'!$T$29),"")</f>
        <v/>
      </c>
      <c r="Z34" s="187" t="str">
        <f>IFERROR(SUMIFS('caseload data'!J:J,'caseload data'!$C:$C,'custody %'!$T$29,'caseload data'!$D:$D,"SPO",'caseload data'!$B:$B,"custody")/SUMIFS('caseload data'!J:J,'caseload data'!$B:$B,"custody",'caseload data'!$C:$C,'custody %'!$T$29),"")</f>
        <v/>
      </c>
      <c r="AA34" s="187" t="str">
        <f>IFERROR(SUMIFS('caseload data'!K:K,'caseload data'!$C:$C,'custody %'!$T$29,'caseload data'!$D:$D,"SPO",'caseload data'!$B:$B,"custody")/SUMIFS('caseload data'!K:K,'caseload data'!$B:$B,"custody",'caseload data'!$C:$C,'custody %'!$T$29),"")</f>
        <v/>
      </c>
      <c r="AB34" s="187" t="str">
        <f>IFERROR(SUMIFS('caseload data'!L:L,'caseload data'!$C:$C,'custody %'!$T$29,'caseload data'!$D:$D,"SPO",'caseload data'!$B:$B,"custody")/SUMIFS('caseload data'!L:L,'caseload data'!$B:$B,"custody",'caseload data'!$C:$C,'custody %'!$T$29),"")</f>
        <v/>
      </c>
      <c r="AC34" s="187" t="str">
        <f>IFERROR(SUMIFS('caseload data'!M:M,'caseload data'!$C:$C,'custody %'!$T$29,'caseload data'!$D:$D,"SPO",'caseload data'!$B:$B,"custody")/SUMIFS('caseload data'!M:M,'caseload data'!$B:$B,"custody",'caseload data'!$C:$C,'custody %'!$T$29),"")</f>
        <v/>
      </c>
      <c r="AD34" s="187" t="str">
        <f>IFERROR(SUMIFS('caseload data'!N:N,'caseload data'!$C:$C,'custody %'!$T$29,'caseload data'!$D:$D,"SPO",'caseload data'!$B:$B,"custody")/SUMIFS('caseload data'!N:N,'caseload data'!$B:$B,"custody",'caseload data'!$C:$C,'custody %'!$T$29),"")</f>
        <v/>
      </c>
      <c r="AE34" s="187" t="str">
        <f>IFERROR(SUMIFS('caseload data'!O:O,'caseload data'!$C:$C,'custody %'!$T$29,'caseload data'!$D:$D,"SPO",'caseload data'!$B:$B,"custody")/SUMIFS('caseload data'!O:O,'caseload data'!$B:$B,"custody",'caseload data'!$C:$C,'custody %'!$T$29),"")</f>
        <v/>
      </c>
      <c r="AF34" s="187" t="str">
        <f>IFERROR(SUMIFS('caseload data'!P:P,'caseload data'!$C:$C,'custody %'!$T$29,'caseload data'!$D:$D,"SPO",'caseload data'!$B:$B,"custody")/SUMIFS('caseload data'!P:P,'caseload data'!$B:$B,"custody",'caseload data'!$C:$C,'custody %'!$T$29),"")</f>
        <v/>
      </c>
      <c r="AG34" s="187" t="str">
        <f>IFERROR(SUMIFS('caseload data'!Q:Q,'caseload data'!$C:$C,'custody %'!$T$29,'caseload data'!$D:$D,"SPO",'caseload data'!$B:$B,"custody")/SUMIFS('caseload data'!Q:Q,'caseload data'!$B:$B,"custody",'caseload data'!$C:$C,'custody %'!$T$29),"")</f>
        <v/>
      </c>
      <c r="AH34" s="187" t="str">
        <f>IFERROR(SUMIFS('caseload data'!R:R,'caseload data'!$C:$C,'custody %'!$T$29,'caseload data'!$D:$D,"SPO",'caseload data'!$B:$B,"custody")/SUMIFS('caseload data'!R:R,'caseload data'!$B:$B,"custody",'caseload data'!$C:$C,'custody %'!$T$29),"")</f>
        <v/>
      </c>
      <c r="AI34" s="187"/>
      <c r="AJ34" s="187"/>
    </row>
    <row r="35" spans="2:36" x14ac:dyDescent="0.15">
      <c r="B35" s="10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104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</row>
    <row r="36" spans="2:36" ht="27.75" customHeight="1" x14ac:dyDescent="0.15">
      <c r="B36" s="162" t="str">
        <f>HLOOKUP($B$5,Region_Table,10,0)</f>
        <v>Ealing and Hillingdon</v>
      </c>
      <c r="C36" s="333" t="s">
        <v>1262</v>
      </c>
      <c r="D36" s="334"/>
      <c r="E36" s="334"/>
      <c r="F36" s="334"/>
      <c r="G36" s="334"/>
      <c r="H36" s="334"/>
      <c r="I36" s="334"/>
      <c r="J36" s="334"/>
      <c r="K36" s="334"/>
      <c r="L36" s="334"/>
      <c r="M36" s="343"/>
      <c r="N36" s="343"/>
      <c r="O36" s="344"/>
      <c r="P36" s="337">
        <f>SUMIF('caseload data'!$C:$C,'custody %'!B36,'caseload data'!V:V)</f>
        <v>0</v>
      </c>
      <c r="Q36" s="345"/>
      <c r="R36" s="346"/>
      <c r="S36" s="76"/>
      <c r="T36" s="162" t="str">
        <f>HLOOKUP($B$5,Region_Table,11,0)</f>
        <v>Enfield and Haringey</v>
      </c>
      <c r="U36" s="333" t="s">
        <v>1262</v>
      </c>
      <c r="V36" s="334"/>
      <c r="W36" s="334"/>
      <c r="X36" s="334"/>
      <c r="Y36" s="334"/>
      <c r="Z36" s="334"/>
      <c r="AA36" s="334"/>
      <c r="AB36" s="334"/>
      <c r="AC36" s="343"/>
      <c r="AD36" s="343"/>
      <c r="AE36" s="344"/>
      <c r="AF36" s="337">
        <f>SUMIF('caseload data'!$C:$C,'custody %'!T36,'caseload data'!V:V)</f>
        <v>0</v>
      </c>
      <c r="AG36" s="345"/>
      <c r="AH36" s="346"/>
    </row>
    <row r="37" spans="2:36" x14ac:dyDescent="0.15">
      <c r="B37" s="108" t="s">
        <v>1199</v>
      </c>
      <c r="C37" s="42" t="s">
        <v>1019</v>
      </c>
      <c r="D37" s="42" t="s">
        <v>1020</v>
      </c>
      <c r="E37" s="42" t="s">
        <v>1021</v>
      </c>
      <c r="F37" s="42" t="s">
        <v>1022</v>
      </c>
      <c r="G37" s="42" t="s">
        <v>1023</v>
      </c>
      <c r="H37" s="42" t="s">
        <v>1024</v>
      </c>
      <c r="I37" s="42" t="s">
        <v>1025</v>
      </c>
      <c r="J37" s="42" t="s">
        <v>1026</v>
      </c>
      <c r="K37" s="42" t="s">
        <v>1027</v>
      </c>
      <c r="L37" s="42" t="s">
        <v>1028</v>
      </c>
      <c r="M37" s="42" t="s">
        <v>1029</v>
      </c>
      <c r="N37" s="42" t="s">
        <v>1030</v>
      </c>
      <c r="O37" s="42" t="s">
        <v>1031</v>
      </c>
      <c r="P37" s="42" t="s">
        <v>1032</v>
      </c>
      <c r="Q37" s="42" t="s">
        <v>1033</v>
      </c>
      <c r="R37" s="42" t="s">
        <v>1034</v>
      </c>
      <c r="S37" s="76"/>
      <c r="T37" s="108" t="s">
        <v>1199</v>
      </c>
      <c r="U37" s="42" t="s">
        <v>1019</v>
      </c>
      <c r="V37" s="42" t="s">
        <v>1020</v>
      </c>
      <c r="W37" s="42" t="s">
        <v>1021</v>
      </c>
      <c r="X37" s="42" t="s">
        <v>1022</v>
      </c>
      <c r="Y37" s="42" t="s">
        <v>1023</v>
      </c>
      <c r="Z37" s="42" t="s">
        <v>1024</v>
      </c>
      <c r="AA37" s="42" t="s">
        <v>1025</v>
      </c>
      <c r="AB37" s="42" t="s">
        <v>1026</v>
      </c>
      <c r="AC37" s="42" t="s">
        <v>1027</v>
      </c>
      <c r="AD37" s="42" t="s">
        <v>1028</v>
      </c>
      <c r="AE37" s="42" t="s">
        <v>1029</v>
      </c>
      <c r="AF37" s="42" t="s">
        <v>1030</v>
      </c>
      <c r="AG37" s="42" t="s">
        <v>1031</v>
      </c>
      <c r="AH37" s="42" t="s">
        <v>1032</v>
      </c>
      <c r="AI37" s="42" t="s">
        <v>1033</v>
      </c>
      <c r="AJ37" s="42" t="s">
        <v>1034</v>
      </c>
    </row>
    <row r="38" spans="2:36" x14ac:dyDescent="0.15">
      <c r="B38" s="109" t="s">
        <v>1037</v>
      </c>
      <c r="C38" s="187" t="str">
        <f>IFERROR(SUMIFS('caseload data'!E:E,'caseload data'!$C:$C,'custody %'!$B$36,'caseload data'!$D:$D,"PO",'caseload data'!$B:$B,"custody")/SUMIFS('caseload data'!E:E,'caseload data'!$B:$B,"custody",'caseload data'!$C:$C,'custody %'!$B$36),"")</f>
        <v/>
      </c>
      <c r="D38" s="187" t="str">
        <f>IFERROR(SUMIFS('caseload data'!F:F,'caseload data'!$C:$C,'custody %'!$B$36,'caseload data'!$D:$D,"PO",'caseload data'!$B:$B,"custody")/SUMIFS('caseload data'!F:F,'caseload data'!$B:$B,"custody",'caseload data'!$C:$C,'custody %'!$B$36),"")</f>
        <v/>
      </c>
      <c r="E38" s="187" t="str">
        <f>IFERROR(SUMIFS('caseload data'!G:G,'caseload data'!$C:$C,'custody %'!$B$36,'caseload data'!$D:$D,"PO",'caseload data'!$B:$B,"custody")/SUMIFS('caseload data'!G:G,'caseload data'!$B:$B,"custody",'caseload data'!$C:$C,'custody %'!$B$36),"")</f>
        <v/>
      </c>
      <c r="F38" s="187" t="str">
        <f>IFERROR(SUMIFS('caseload data'!H:H,'caseload data'!$C:$C,'custody %'!$B$36,'caseload data'!$D:$D,"PO",'caseload data'!$B:$B,"custody")/SUMIFS('caseload data'!H:H,'caseload data'!$B:$B,"custody",'caseload data'!$C:$C,'custody %'!$B$36),"")</f>
        <v/>
      </c>
      <c r="G38" s="187" t="str">
        <f>IFERROR(SUMIFS('caseload data'!I:I,'caseload data'!$C:$C,'custody %'!$B$36,'caseload data'!$D:$D,"PO",'caseload data'!$B:$B,"custody")/SUMIFS('caseload data'!I:I,'caseload data'!$B:$B,"custody",'caseload data'!$C:$C,'custody %'!$B$36),"")</f>
        <v/>
      </c>
      <c r="H38" s="187" t="str">
        <f>IFERROR(SUMIFS('caseload data'!J:J,'caseload data'!$C:$C,'custody %'!$B$36,'caseload data'!$D:$D,"PO",'caseload data'!$B:$B,"custody")/SUMIFS('caseload data'!J:J,'caseload data'!$B:$B,"custody",'caseload data'!$C:$C,'custody %'!$B$36),"")</f>
        <v/>
      </c>
      <c r="I38" s="187" t="str">
        <f>IFERROR(SUMIFS('caseload data'!K:K,'caseload data'!$C:$C,'custody %'!$B$36,'caseload data'!$D:$D,"PO",'caseload data'!$B:$B,"custody")/SUMIFS('caseload data'!K:K,'caseload data'!$B:$B,"custody",'caseload data'!$C:$C,'custody %'!$B$36),"")</f>
        <v/>
      </c>
      <c r="J38" s="187" t="str">
        <f>IFERROR(SUMIFS('caseload data'!L:L,'caseload data'!$C:$C,'custody %'!$B$36,'caseload data'!$D:$D,"PO",'caseload data'!$B:$B,"custody")/SUMIFS('caseload data'!L:L,'caseload data'!$B:$B,"custody",'caseload data'!$C:$C,'custody %'!$B$36),"")</f>
        <v/>
      </c>
      <c r="K38" s="187" t="str">
        <f>IFERROR(SUMIFS('caseload data'!M:M,'caseload data'!$C:$C,'custody %'!$B$36,'caseload data'!$D:$D,"PO",'caseload data'!$B:$B,"custody")/SUMIFS('caseload data'!M:M,'caseload data'!$B:$B,"custody",'caseload data'!$C:$C,'custody %'!$B$36),"")</f>
        <v/>
      </c>
      <c r="L38" s="187" t="str">
        <f>IFERROR(SUMIFS('caseload data'!N:N,'caseload data'!$C:$C,'custody %'!$B$36,'caseload data'!$D:$D,"PO",'caseload data'!$B:$B,"custody")/SUMIFS('caseload data'!N:N,'caseload data'!$B:$B,"custody",'caseload data'!$C:$C,'custody %'!$B$36),"")</f>
        <v/>
      </c>
      <c r="M38" s="187" t="str">
        <f>IFERROR(SUMIFS('caseload data'!O:O,'caseload data'!$C:$C,'custody %'!$B$36,'caseload data'!$D:$D,"PO",'caseload data'!$B:$B,"custody")/SUMIFS('caseload data'!O:O,'caseload data'!$B:$B,"custody",'caseload data'!$C:$C,'custody %'!$B$36),"")</f>
        <v/>
      </c>
      <c r="N38" s="187" t="str">
        <f>IFERROR(SUMIFS('caseload data'!P:P,'caseload data'!$C:$C,'custody %'!$B$36,'caseload data'!$D:$D,"PO",'caseload data'!$B:$B,"custody")/SUMIFS('caseload data'!P:P,'caseload data'!$B:$B,"custody",'caseload data'!$C:$C,'custody %'!$B$36),"")</f>
        <v/>
      </c>
      <c r="O38" s="187" t="str">
        <f>IFERROR(SUMIFS('caseload data'!Q:Q,'caseload data'!$C:$C,'custody %'!$B$36,'caseload data'!$D:$D,"PO",'caseload data'!$B:$B,"custody")/SUMIFS('caseload data'!Q:Q,'caseload data'!$B:$B,"custody",'caseload data'!$C:$C,'custody %'!$B$36),"")</f>
        <v/>
      </c>
      <c r="P38" s="187" t="str">
        <f>IFERROR(SUMIFS('caseload data'!R:R,'caseload data'!$C:$C,'custody %'!$B$36,'caseload data'!$D:$D,"PO",'caseload data'!$B:$B,"custody")/SUMIFS('caseload data'!R:R,'caseload data'!$B:$B,"custody",'caseload data'!$C:$C,'custody %'!$B$36),"")</f>
        <v/>
      </c>
      <c r="Q38" s="187" t="str">
        <f>IFERROR(SUMIFS('caseload data'!S:S,'caseload data'!$C:$C,'custody %'!$B$36,'caseload data'!$D:$D,"PO",'caseload data'!$B:$B,"custody")/SUMIFS('caseload data'!S:S,'caseload data'!$B:$B,"custody",'caseload data'!$C:$C,'custody %'!$B$36),"")</f>
        <v/>
      </c>
      <c r="R38" s="187" t="str">
        <f>IFERROR(SUMIFS('caseload data'!T:T,'caseload data'!$C:$C,'custody %'!$B$36,'caseload data'!$D:$D,"PO",'caseload data'!$B:$B,"custody")/SUMIFS('caseload data'!T:T,'caseload data'!$B:$B,"custody",'caseload data'!$C:$C,'custody %'!$B$36),"")</f>
        <v/>
      </c>
      <c r="S38" s="76"/>
      <c r="T38" s="109" t="s">
        <v>1037</v>
      </c>
      <c r="U38" s="187" t="str">
        <f>IFERROR(SUMIFS('caseload data'!E:E,'caseload data'!$C:$C,'custody %'!$T$36,'caseload data'!$D:$D,"PO",'caseload data'!$B:$B,"custody")/SUMIFS('caseload data'!E:E,'caseload data'!$B:$B,"custody",'caseload data'!$C:$C,'custody %'!$T$36),"")</f>
        <v/>
      </c>
      <c r="V38" s="187" t="str">
        <f>IFERROR(SUMIFS('caseload data'!F:F,'caseload data'!$C:$C,'custody %'!$T$36,'caseload data'!$D:$D,"PO",'caseload data'!$B:$B,"custody")/SUMIFS('caseload data'!F:F,'caseload data'!$B:$B,"custody",'caseload data'!$C:$C,'custody %'!$T$36),"")</f>
        <v/>
      </c>
      <c r="W38" s="187" t="str">
        <f>IFERROR(SUMIFS('caseload data'!G:G,'caseload data'!$C:$C,'custody %'!$T$36,'caseload data'!$D:$D,"PO",'caseload data'!$B:$B,"custody")/SUMIFS('caseload data'!G:G,'caseload data'!$B:$B,"custody",'caseload data'!$C:$C,'custody %'!$T$36),"")</f>
        <v/>
      </c>
      <c r="X38" s="187" t="str">
        <f>IFERROR(SUMIFS('caseload data'!H:H,'caseload data'!$C:$C,'custody %'!$T$36,'caseload data'!$D:$D,"PO",'caseload data'!$B:$B,"custody")/SUMIFS('caseload data'!H:H,'caseload data'!$B:$B,"custody",'caseload data'!$C:$C,'custody %'!$T$36),"")</f>
        <v/>
      </c>
      <c r="Y38" s="187" t="str">
        <f>IFERROR(SUMIFS('caseload data'!I:I,'caseload data'!$C:$C,'custody %'!$T$36,'caseload data'!$D:$D,"PO",'caseload data'!$B:$B,"custody")/SUMIFS('caseload data'!I:I,'caseload data'!$B:$B,"custody",'caseload data'!$C:$C,'custody %'!$T$36),"")</f>
        <v/>
      </c>
      <c r="Z38" s="187" t="str">
        <f>IFERROR(SUMIFS('caseload data'!J:J,'caseload data'!$C:$C,'custody %'!$T$36,'caseload data'!$D:$D,"PO",'caseload data'!$B:$B,"custody")/SUMIFS('caseload data'!J:J,'caseload data'!$B:$B,"custody",'caseload data'!$C:$C,'custody %'!$T$36),"")</f>
        <v/>
      </c>
      <c r="AA38" s="187" t="str">
        <f>IFERROR(SUMIFS('caseload data'!K:K,'caseload data'!$C:$C,'custody %'!$T$36,'caseload data'!$D:$D,"PO",'caseload data'!$B:$B,"custody")/SUMIFS('caseload data'!K:K,'caseload data'!$B:$B,"custody",'caseload data'!$C:$C,'custody %'!$T$36),"")</f>
        <v/>
      </c>
      <c r="AB38" s="187" t="str">
        <f>IFERROR(SUMIFS('caseload data'!L:L,'caseload data'!$C:$C,'custody %'!$T$36,'caseload data'!$D:$D,"PO",'caseload data'!$B:$B,"custody")/SUMIFS('caseload data'!L:L,'caseload data'!$B:$B,"custody",'caseload data'!$C:$C,'custody %'!$T$36),"")</f>
        <v/>
      </c>
      <c r="AC38" s="187" t="str">
        <f>IFERROR(SUMIFS('caseload data'!M:M,'caseload data'!$C:$C,'custody %'!$T$36,'caseload data'!$D:$D,"PO",'caseload data'!$B:$B,"custody")/SUMIFS('caseload data'!M:M,'caseload data'!$B:$B,"custody",'caseload data'!$C:$C,'custody %'!$T$36),"")</f>
        <v/>
      </c>
      <c r="AD38" s="187" t="str">
        <f>IFERROR(SUMIFS('caseload data'!N:N,'caseload data'!$C:$C,'custody %'!$T$36,'caseload data'!$D:$D,"PO",'caseload data'!$B:$B,"custody")/SUMIFS('caseload data'!N:N,'caseload data'!$B:$B,"custody",'caseload data'!$C:$C,'custody %'!$T$36),"")</f>
        <v/>
      </c>
      <c r="AE38" s="187" t="str">
        <f>IFERROR(SUMIFS('caseload data'!O:O,'caseload data'!$C:$C,'custody %'!$T$36,'caseload data'!$D:$D,"PO",'caseload data'!$B:$B,"custody")/SUMIFS('caseload data'!O:O,'caseload data'!$B:$B,"custody",'caseload data'!$C:$C,'custody %'!$T$36),"")</f>
        <v/>
      </c>
      <c r="AF38" s="187" t="str">
        <f>IFERROR(SUMIFS('caseload data'!P:P,'caseload data'!$C:$C,'custody %'!$T$36,'caseload data'!$D:$D,"PO",'caseload data'!$B:$B,"custody")/SUMIFS('caseload data'!P:P,'caseload data'!$B:$B,"custody",'caseload data'!$C:$C,'custody %'!$T$36),"")</f>
        <v/>
      </c>
      <c r="AG38" s="187" t="str">
        <f>IFERROR(SUMIFS('caseload data'!Q:Q,'caseload data'!$C:$C,'custody %'!$T$36,'caseload data'!$D:$D,"PO",'caseload data'!$B:$B,"custody")/SUMIFS('caseload data'!Q:Q,'caseload data'!$B:$B,"custody",'caseload data'!$C:$C,'custody %'!$T$36),"")</f>
        <v/>
      </c>
      <c r="AH38" s="187" t="str">
        <f>IFERROR(SUMIFS('caseload data'!R:R,'caseload data'!$C:$C,'custody %'!$T$36,'caseload data'!$D:$D,"PO",'caseload data'!$B:$B,"custody")/SUMIFS('caseload data'!R:R,'caseload data'!$B:$B,"custody",'caseload data'!$C:$C,'custody %'!$T$36),"")</f>
        <v/>
      </c>
      <c r="AI38" s="187"/>
      <c r="AJ38" s="187"/>
    </row>
    <row r="39" spans="2:36" x14ac:dyDescent="0.15">
      <c r="B39" s="110" t="s">
        <v>1038</v>
      </c>
      <c r="C39" s="187" t="str">
        <f>IFERROR(SUMIFS('caseload data'!E:E,'caseload data'!$C:$C,'custody %'!$B$36,'caseload data'!$D:$D,"PSO",'caseload data'!$B:$B,"custody")/SUMIFS('caseload data'!E:E,'caseload data'!$B:$B,"custody",'caseload data'!$C:$C,'custody %'!$B$36),"")</f>
        <v/>
      </c>
      <c r="D39" s="187" t="str">
        <f>IFERROR(SUMIFS('caseload data'!F:F,'caseload data'!$C:$C,'custody %'!$B$36,'caseload data'!$D:$D,"PSO",'caseload data'!$B:$B,"custody")/SUMIFS('caseload data'!F:F,'caseload data'!$B:$B,"custody",'caseload data'!$C:$C,'custody %'!$B$36),"")</f>
        <v/>
      </c>
      <c r="E39" s="187" t="str">
        <f>IFERROR(SUMIFS('caseload data'!G:G,'caseload data'!$C:$C,'custody %'!$B$36,'caseload data'!$D:$D,"PSO",'caseload data'!$B:$B,"custody")/SUMIFS('caseload data'!G:G,'caseload data'!$B:$B,"custody",'caseload data'!$C:$C,'custody %'!$B$36),"")</f>
        <v/>
      </c>
      <c r="F39" s="187" t="str">
        <f>IFERROR(SUMIFS('caseload data'!H:H,'caseload data'!$C:$C,'custody %'!$B$36,'caseload data'!$D:$D,"PSO",'caseload data'!$B:$B,"custody")/SUMIFS('caseload data'!H:H,'caseload data'!$B:$B,"custody",'caseload data'!$C:$C,'custody %'!$B$36),"")</f>
        <v/>
      </c>
      <c r="G39" s="187" t="str">
        <f>IFERROR(SUMIFS('caseload data'!I:I,'caseload data'!$C:$C,'custody %'!$B$36,'caseload data'!$D:$D,"PSO",'caseload data'!$B:$B,"custody")/SUMIFS('caseload data'!I:I,'caseload data'!$B:$B,"custody",'caseload data'!$C:$C,'custody %'!$B$36),"")</f>
        <v/>
      </c>
      <c r="H39" s="187" t="str">
        <f>IFERROR(SUMIFS('caseload data'!J:J,'caseload data'!$C:$C,'custody %'!$B$36,'caseload data'!$D:$D,"PSO",'caseload data'!$B:$B,"custody")/SUMIFS('caseload data'!J:J,'caseload data'!$B:$B,"custody",'caseload data'!$C:$C,'custody %'!$B$36),"")</f>
        <v/>
      </c>
      <c r="I39" s="187" t="str">
        <f>IFERROR(SUMIFS('caseload data'!K:K,'caseload data'!$C:$C,'custody %'!$B$36,'caseload data'!$D:$D,"PSO",'caseload data'!$B:$B,"custody")/SUMIFS('caseload data'!K:K,'caseload data'!$B:$B,"custody",'caseload data'!$C:$C,'custody %'!$B$36),"")</f>
        <v/>
      </c>
      <c r="J39" s="187" t="str">
        <f>IFERROR(SUMIFS('caseload data'!L:L,'caseload data'!$C:$C,'custody %'!$B$36,'caseload data'!$D:$D,"PSO",'caseload data'!$B:$B,"custody")/SUMIFS('caseload data'!L:L,'caseload data'!$B:$B,"custody",'caseload data'!$C:$C,'custody %'!$B$36),"")</f>
        <v/>
      </c>
      <c r="K39" s="187" t="str">
        <f>IFERROR(SUMIFS('caseload data'!M:M,'caseload data'!$C:$C,'custody %'!$B$36,'caseload data'!$D:$D,"PSO",'caseload data'!$B:$B,"custody")/SUMIFS('caseload data'!M:M,'caseload data'!$B:$B,"custody",'caseload data'!$C:$C,'custody %'!$B$36),"")</f>
        <v/>
      </c>
      <c r="L39" s="187" t="str">
        <f>IFERROR(SUMIFS('caseload data'!N:N,'caseload data'!$C:$C,'custody %'!$B$36,'caseload data'!$D:$D,"PSO",'caseload data'!$B:$B,"custody")/SUMIFS('caseload data'!N:N,'caseload data'!$B:$B,"custody",'caseload data'!$C:$C,'custody %'!$B$36),"")</f>
        <v/>
      </c>
      <c r="M39" s="187" t="str">
        <f>IFERROR(SUMIFS('caseload data'!O:O,'caseload data'!$C:$C,'custody %'!$B$36,'caseload data'!$D:$D,"PSO",'caseload data'!$B:$B,"custody")/SUMIFS('caseload data'!O:O,'caseload data'!$B:$B,"custody",'caseload data'!$C:$C,'custody %'!$B$36),"")</f>
        <v/>
      </c>
      <c r="N39" s="187" t="str">
        <f>IFERROR(SUMIFS('caseload data'!P:P,'caseload data'!$C:$C,'custody %'!$B$36,'caseload data'!$D:$D,"PSO",'caseload data'!$B:$B,"custody")/SUMIFS('caseload data'!P:P,'caseload data'!$B:$B,"custody",'caseload data'!$C:$C,'custody %'!$B$36),"")</f>
        <v/>
      </c>
      <c r="O39" s="187" t="str">
        <f>IFERROR(SUMIFS('caseload data'!Q:Q,'caseload data'!$C:$C,'custody %'!$B$36,'caseload data'!$D:$D,"PSO",'caseload data'!$B:$B,"custody")/SUMIFS('caseload data'!Q:Q,'caseload data'!$B:$B,"custody",'caseload data'!$C:$C,'custody %'!$B$36),"")</f>
        <v/>
      </c>
      <c r="P39" s="187" t="str">
        <f>IFERROR(SUMIFS('caseload data'!R:R,'caseload data'!$C:$C,'custody %'!$B$36,'caseload data'!$D:$D,"PSO",'caseload data'!$B:$B,"custody")/SUMIFS('caseload data'!R:R,'caseload data'!$B:$B,"custody",'caseload data'!$C:$C,'custody %'!$B$36),"")</f>
        <v/>
      </c>
      <c r="Q39" s="187" t="str">
        <f>IFERROR(SUMIFS('caseload data'!S:S,'caseload data'!$C:$C,'custody %'!$B$36,'caseload data'!$D:$D,"PSO",'caseload data'!$B:$B,"custody")/SUMIFS('caseload data'!S:S,'caseload data'!$B:$B,"custody",'caseload data'!$C:$C,'custody %'!$B$36),"")</f>
        <v/>
      </c>
      <c r="R39" s="187" t="str">
        <f>IFERROR(SUMIFS('caseload data'!T:T,'caseload data'!$C:$C,'custody %'!$B$36,'caseload data'!$D:$D,"PSO",'caseload data'!$B:$B,"custody")/SUMIFS('caseload data'!T:T,'caseload data'!$B:$B,"custody",'caseload data'!$C:$C,'custody %'!$B$36),"")</f>
        <v/>
      </c>
      <c r="S39" s="76"/>
      <c r="T39" s="110" t="s">
        <v>1038</v>
      </c>
      <c r="U39" s="187" t="str">
        <f>IFERROR(SUMIFS('caseload data'!E:E,'caseload data'!$C:$C,'custody %'!$T$36,'caseload data'!$D:$D,"PSO",'caseload data'!$B:$B,"custody")/SUMIFS('caseload data'!E:E,'caseload data'!$B:$B,"custody",'caseload data'!$C:$C,'custody %'!$T$36),"")</f>
        <v/>
      </c>
      <c r="V39" s="187" t="str">
        <f>IFERROR(SUMIFS('caseload data'!F:F,'caseload data'!$C:$C,'custody %'!$T$36,'caseload data'!$D:$D,"PSO",'caseload data'!$B:$B,"custody")/SUMIFS('caseload data'!F:F,'caseload data'!$B:$B,"custody",'caseload data'!$C:$C,'custody %'!$T$36),"")</f>
        <v/>
      </c>
      <c r="W39" s="187" t="str">
        <f>IFERROR(SUMIFS('caseload data'!G:G,'caseload data'!$C:$C,'custody %'!$T$36,'caseload data'!$D:$D,"PSO",'caseload data'!$B:$B,"custody")/SUMIFS('caseload data'!G:G,'caseload data'!$B:$B,"custody",'caseload data'!$C:$C,'custody %'!$T$36),"")</f>
        <v/>
      </c>
      <c r="X39" s="187" t="str">
        <f>IFERROR(SUMIFS('caseload data'!H:H,'caseload data'!$C:$C,'custody %'!$T$36,'caseload data'!$D:$D,"PSO",'caseload data'!$B:$B,"custody")/SUMIFS('caseload data'!H:H,'caseload data'!$B:$B,"custody",'caseload data'!$C:$C,'custody %'!$T$36),"")</f>
        <v/>
      </c>
      <c r="Y39" s="187" t="str">
        <f>IFERROR(SUMIFS('caseload data'!I:I,'caseload data'!$C:$C,'custody %'!$T$36,'caseload data'!$D:$D,"PSO",'caseload data'!$B:$B,"custody")/SUMIFS('caseload data'!I:I,'caseload data'!$B:$B,"custody",'caseload data'!$C:$C,'custody %'!$T$36),"")</f>
        <v/>
      </c>
      <c r="Z39" s="187" t="str">
        <f>IFERROR(SUMIFS('caseload data'!J:J,'caseload data'!$C:$C,'custody %'!$T$36,'caseload data'!$D:$D,"PSO",'caseload data'!$B:$B,"custody")/SUMIFS('caseload data'!J:J,'caseload data'!$B:$B,"custody",'caseload data'!$C:$C,'custody %'!$T$36),"")</f>
        <v/>
      </c>
      <c r="AA39" s="187" t="str">
        <f>IFERROR(SUMIFS('caseload data'!K:K,'caseload data'!$C:$C,'custody %'!$T$36,'caseload data'!$D:$D,"PSO",'caseload data'!$B:$B,"custody")/SUMIFS('caseload data'!K:K,'caseload data'!$B:$B,"custody",'caseload data'!$C:$C,'custody %'!$T$36),"")</f>
        <v/>
      </c>
      <c r="AB39" s="187" t="str">
        <f>IFERROR(SUMIFS('caseload data'!L:L,'caseload data'!$C:$C,'custody %'!$T$36,'caseload data'!$D:$D,"PSO",'caseload data'!$B:$B,"custody")/SUMIFS('caseload data'!L:L,'caseload data'!$B:$B,"custody",'caseload data'!$C:$C,'custody %'!$T$36),"")</f>
        <v/>
      </c>
      <c r="AC39" s="187" t="str">
        <f>IFERROR(SUMIFS('caseload data'!M:M,'caseload data'!$C:$C,'custody %'!$T$36,'caseload data'!$D:$D,"PSO",'caseload data'!$B:$B,"custody")/SUMIFS('caseload data'!M:M,'caseload data'!$B:$B,"custody",'caseload data'!$C:$C,'custody %'!$T$36),"")</f>
        <v/>
      </c>
      <c r="AD39" s="187" t="str">
        <f>IFERROR(SUMIFS('caseload data'!N:N,'caseload data'!$C:$C,'custody %'!$T$36,'caseload data'!$D:$D,"PSO",'caseload data'!$B:$B,"custody")/SUMIFS('caseload data'!N:N,'caseload data'!$B:$B,"custody",'caseload data'!$C:$C,'custody %'!$T$36),"")</f>
        <v/>
      </c>
      <c r="AE39" s="187" t="str">
        <f>IFERROR(SUMIFS('caseload data'!O:O,'caseload data'!$C:$C,'custody %'!$T$36,'caseload data'!$D:$D,"PSO",'caseload data'!$B:$B,"custody")/SUMIFS('caseload data'!O:O,'caseload data'!$B:$B,"custody",'caseload data'!$C:$C,'custody %'!$T$36),"")</f>
        <v/>
      </c>
      <c r="AF39" s="187" t="str">
        <f>IFERROR(SUMIFS('caseload data'!P:P,'caseload data'!$C:$C,'custody %'!$T$36,'caseload data'!$D:$D,"PSO",'caseload data'!$B:$B,"custody")/SUMIFS('caseload data'!P:P,'caseload data'!$B:$B,"custody",'caseload data'!$C:$C,'custody %'!$T$36),"")</f>
        <v/>
      </c>
      <c r="AG39" s="187" t="str">
        <f>IFERROR(SUMIFS('caseload data'!Q:Q,'caseload data'!$C:$C,'custody %'!$T$36,'caseload data'!$D:$D,"PSO",'caseload data'!$B:$B,"custody")/SUMIFS('caseload data'!Q:Q,'caseload data'!$B:$B,"custody",'caseload data'!$C:$C,'custody %'!$T$36),"")</f>
        <v/>
      </c>
      <c r="AH39" s="187" t="str">
        <f>IFERROR(SUMIFS('caseload data'!R:R,'caseload data'!$C:$C,'custody %'!$T$36,'caseload data'!$D:$D,"PSO",'caseload data'!$B:$B,"custody")/SUMIFS('caseload data'!R:R,'caseload data'!$B:$B,"custody",'caseload data'!$C:$C,'custody %'!$T$36),"")</f>
        <v/>
      </c>
      <c r="AI39" s="187"/>
      <c r="AJ39" s="187"/>
    </row>
    <row r="40" spans="2:36" x14ac:dyDescent="0.15">
      <c r="B40" s="110" t="s">
        <v>1039</v>
      </c>
      <c r="C40" s="187" t="str">
        <f>IFERROR(SUMIFS('caseload data'!E:E,'caseload data'!$C:$C,'custody %'!$B$36,'caseload data'!$D:$D,"TPO",'caseload data'!$B:$B,"custody")/SUMIFS('caseload data'!E:E,'caseload data'!$B:$B,"custody",'caseload data'!$C:$C,'custody %'!$B$36),"")</f>
        <v/>
      </c>
      <c r="D40" s="187" t="str">
        <f>IFERROR(SUMIFS('caseload data'!F:F,'caseload data'!$C:$C,'custody %'!$B$36,'caseload data'!$D:$D,"TPO",'caseload data'!$B:$B,"custody")/SUMIFS('caseload data'!F:F,'caseload data'!$B:$B,"custody",'caseload data'!$C:$C,'custody %'!$B$36),"")</f>
        <v/>
      </c>
      <c r="E40" s="187" t="str">
        <f>IFERROR(SUMIFS('caseload data'!G:G,'caseload data'!$C:$C,'custody %'!$B$36,'caseload data'!$D:$D,"TPO",'caseload data'!$B:$B,"custody")/SUMIFS('caseload data'!G:G,'caseload data'!$B:$B,"custody",'caseload data'!$C:$C,'custody %'!$B$36),"")</f>
        <v/>
      </c>
      <c r="F40" s="187" t="str">
        <f>IFERROR(SUMIFS('caseload data'!H:H,'caseload data'!$C:$C,'custody %'!$B$36,'caseload data'!$D:$D,"TPO",'caseload data'!$B:$B,"custody")/SUMIFS('caseload data'!H:H,'caseload data'!$B:$B,"custody",'caseload data'!$C:$C,'custody %'!$B$36),"")</f>
        <v/>
      </c>
      <c r="G40" s="187" t="str">
        <f>IFERROR(SUMIFS('caseload data'!I:I,'caseload data'!$C:$C,'custody %'!$B$36,'caseload data'!$D:$D,"TPO",'caseload data'!$B:$B,"custody")/SUMIFS('caseload data'!I:I,'caseload data'!$B:$B,"custody",'caseload data'!$C:$C,'custody %'!$B$36),"")</f>
        <v/>
      </c>
      <c r="H40" s="187" t="str">
        <f>IFERROR(SUMIFS('caseload data'!J:J,'caseload data'!$C:$C,'custody %'!$B$36,'caseload data'!$D:$D,"TPO",'caseload data'!$B:$B,"custody")/SUMIFS('caseload data'!J:J,'caseload data'!$B:$B,"custody",'caseload data'!$C:$C,'custody %'!$B$36),"")</f>
        <v/>
      </c>
      <c r="I40" s="187" t="str">
        <f>IFERROR(SUMIFS('caseload data'!K:K,'caseload data'!$C:$C,'custody %'!$B$36,'caseload data'!$D:$D,"TPO",'caseload data'!$B:$B,"custody")/SUMIFS('caseload data'!K:K,'caseload data'!$B:$B,"custody",'caseload data'!$C:$C,'custody %'!$B$36),"")</f>
        <v/>
      </c>
      <c r="J40" s="187" t="str">
        <f>IFERROR(SUMIFS('caseload data'!L:L,'caseload data'!$C:$C,'custody %'!$B$36,'caseload data'!$D:$D,"TPO",'caseload data'!$B:$B,"custody")/SUMIFS('caseload data'!L:L,'caseload data'!$B:$B,"custody",'caseload data'!$C:$C,'custody %'!$B$36),"")</f>
        <v/>
      </c>
      <c r="K40" s="187" t="str">
        <f>IFERROR(SUMIFS('caseload data'!M:M,'caseload data'!$C:$C,'custody %'!$B$36,'caseload data'!$D:$D,"TPO",'caseload data'!$B:$B,"custody")/SUMIFS('caseload data'!M:M,'caseload data'!$B:$B,"custody",'caseload data'!$C:$C,'custody %'!$B$36),"")</f>
        <v/>
      </c>
      <c r="L40" s="187" t="str">
        <f>IFERROR(SUMIFS('caseload data'!N:N,'caseload data'!$C:$C,'custody %'!$B$36,'caseload data'!$D:$D,"TPO",'caseload data'!$B:$B,"custody")/SUMIFS('caseload data'!N:N,'caseload data'!$B:$B,"custody",'caseload data'!$C:$C,'custody %'!$B$36),"")</f>
        <v/>
      </c>
      <c r="M40" s="187" t="str">
        <f>IFERROR(SUMIFS('caseload data'!O:O,'caseload data'!$C:$C,'custody %'!$B$36,'caseload data'!$D:$D,"TPO",'caseload data'!$B:$B,"custody")/SUMIFS('caseload data'!O:O,'caseload data'!$B:$B,"custody",'caseload data'!$C:$C,'custody %'!$B$36),"")</f>
        <v/>
      </c>
      <c r="N40" s="187" t="str">
        <f>IFERROR(SUMIFS('caseload data'!P:P,'caseload data'!$C:$C,'custody %'!$B$36,'caseload data'!$D:$D,"TPO",'caseload data'!$B:$B,"custody")/SUMIFS('caseload data'!P:P,'caseload data'!$B:$B,"custody",'caseload data'!$C:$C,'custody %'!$B$36),"")</f>
        <v/>
      </c>
      <c r="O40" s="187" t="str">
        <f>IFERROR(SUMIFS('caseload data'!Q:Q,'caseload data'!$C:$C,'custody %'!$B$36,'caseload data'!$D:$D,"TPO",'caseload data'!$B:$B,"custody")/SUMIFS('caseload data'!Q:Q,'caseload data'!$B:$B,"custody",'caseload data'!$C:$C,'custody %'!$B$36),"")</f>
        <v/>
      </c>
      <c r="P40" s="187" t="str">
        <f>IFERROR(SUMIFS('caseload data'!R:R,'caseload data'!$C:$C,'custody %'!$B$36,'caseload data'!$D:$D,"TPO",'caseload data'!$B:$B,"custody")/SUMIFS('caseload data'!R:R,'caseload data'!$B:$B,"custody",'caseload data'!$C:$C,'custody %'!$B$36),"")</f>
        <v/>
      </c>
      <c r="Q40" s="187" t="str">
        <f>IFERROR(SUMIFS('caseload data'!S:S,'caseload data'!$C:$C,'custody %'!$B$36,'caseload data'!$D:$D,"TPO",'caseload data'!$B:$B,"custody")/SUMIFS('caseload data'!S:S,'caseload data'!$B:$B,"custody",'caseload data'!$C:$C,'custody %'!$B$36),"")</f>
        <v/>
      </c>
      <c r="R40" s="187" t="str">
        <f>IFERROR(SUMIFS('caseload data'!T:T,'caseload data'!$C:$C,'custody %'!$B$36,'caseload data'!$D:$D,"TPO",'caseload data'!$B:$B,"custody")/SUMIFS('caseload data'!T:T,'caseload data'!$B:$B,"custody",'caseload data'!$C:$C,'custody %'!$B$36),"")</f>
        <v/>
      </c>
      <c r="S40" s="76"/>
      <c r="T40" s="110" t="s">
        <v>1039</v>
      </c>
      <c r="U40" s="187" t="str">
        <f>IFERROR(SUMIFS('caseload data'!E:E,'caseload data'!$C:$C,'custody %'!$T$36,'caseload data'!$D:$D,"TPO",'caseload data'!$B:$B,"custody")/SUMIFS('caseload data'!E:E,'caseload data'!$B:$B,"custody",'caseload data'!$C:$C,'custody %'!$T$36),"")</f>
        <v/>
      </c>
      <c r="V40" s="187" t="str">
        <f>IFERROR(SUMIFS('caseload data'!F:F,'caseload data'!$C:$C,'custody %'!$T$36,'caseload data'!$D:$D,"TPO",'caseload data'!$B:$B,"custody")/SUMIFS('caseload data'!F:F,'caseload data'!$B:$B,"custody",'caseload data'!$C:$C,'custody %'!$T$36),"")</f>
        <v/>
      </c>
      <c r="W40" s="187" t="str">
        <f>IFERROR(SUMIFS('caseload data'!G:G,'caseload data'!$C:$C,'custody %'!$T$36,'caseload data'!$D:$D,"TPO",'caseload data'!$B:$B,"custody")/SUMIFS('caseload data'!G:G,'caseload data'!$B:$B,"custody",'caseload data'!$C:$C,'custody %'!$T$36),"")</f>
        <v/>
      </c>
      <c r="X40" s="187" t="str">
        <f>IFERROR(SUMIFS('caseload data'!H:H,'caseload data'!$C:$C,'custody %'!$T$36,'caseload data'!$D:$D,"TPO",'caseload data'!$B:$B,"custody")/SUMIFS('caseload data'!H:H,'caseload data'!$B:$B,"custody",'caseload data'!$C:$C,'custody %'!$T$36),"")</f>
        <v/>
      </c>
      <c r="Y40" s="187" t="str">
        <f>IFERROR(SUMIFS('caseload data'!I:I,'caseload data'!$C:$C,'custody %'!$T$36,'caseload data'!$D:$D,"TPO",'caseload data'!$B:$B,"custody")/SUMIFS('caseload data'!I:I,'caseload data'!$B:$B,"custody",'caseload data'!$C:$C,'custody %'!$T$36),"")</f>
        <v/>
      </c>
      <c r="Z40" s="187" t="str">
        <f>IFERROR(SUMIFS('caseload data'!J:J,'caseload data'!$C:$C,'custody %'!$T$36,'caseload data'!$D:$D,"TPO",'caseload data'!$B:$B,"custody")/SUMIFS('caseload data'!J:J,'caseload data'!$B:$B,"custody",'caseload data'!$C:$C,'custody %'!$T$36),"")</f>
        <v/>
      </c>
      <c r="AA40" s="187" t="str">
        <f>IFERROR(SUMIFS('caseload data'!K:K,'caseload data'!$C:$C,'custody %'!$T$36,'caseload data'!$D:$D,"TPO",'caseload data'!$B:$B,"custody")/SUMIFS('caseload data'!K:K,'caseload data'!$B:$B,"custody",'caseload data'!$C:$C,'custody %'!$T$36),"")</f>
        <v/>
      </c>
      <c r="AB40" s="187" t="str">
        <f>IFERROR(SUMIFS('caseload data'!L:L,'caseload data'!$C:$C,'custody %'!$T$36,'caseload data'!$D:$D,"TPO",'caseload data'!$B:$B,"custody")/SUMIFS('caseload data'!L:L,'caseload data'!$B:$B,"custody",'caseload data'!$C:$C,'custody %'!$T$36),"")</f>
        <v/>
      </c>
      <c r="AC40" s="187" t="str">
        <f>IFERROR(SUMIFS('caseload data'!M:M,'caseload data'!$C:$C,'custody %'!$T$36,'caseload data'!$D:$D,"TPO",'caseload data'!$B:$B,"custody")/SUMIFS('caseload data'!M:M,'caseload data'!$B:$B,"custody",'caseload data'!$C:$C,'custody %'!$T$36),"")</f>
        <v/>
      </c>
      <c r="AD40" s="187" t="str">
        <f>IFERROR(SUMIFS('caseload data'!N:N,'caseload data'!$C:$C,'custody %'!$T$36,'caseload data'!$D:$D,"TPO",'caseload data'!$B:$B,"custody")/SUMIFS('caseload data'!N:N,'caseload data'!$B:$B,"custody",'caseload data'!$C:$C,'custody %'!$T$36),"")</f>
        <v/>
      </c>
      <c r="AE40" s="187" t="str">
        <f>IFERROR(SUMIFS('caseload data'!O:O,'caseload data'!$C:$C,'custody %'!$T$36,'caseload data'!$D:$D,"TPO",'caseload data'!$B:$B,"custody")/SUMIFS('caseload data'!O:O,'caseload data'!$B:$B,"custody",'caseload data'!$C:$C,'custody %'!$T$36),"")</f>
        <v/>
      </c>
      <c r="AF40" s="187" t="str">
        <f>IFERROR(SUMIFS('caseload data'!P:P,'caseload data'!$C:$C,'custody %'!$T$36,'caseload data'!$D:$D,"TPO",'caseload data'!$B:$B,"custody")/SUMIFS('caseload data'!P:P,'caseload data'!$B:$B,"custody",'caseload data'!$C:$C,'custody %'!$T$36),"")</f>
        <v/>
      </c>
      <c r="AG40" s="187" t="str">
        <f>IFERROR(SUMIFS('caseload data'!Q:Q,'caseload data'!$C:$C,'custody %'!$T$36,'caseload data'!$D:$D,"TPO",'caseload data'!$B:$B,"custody")/SUMIFS('caseload data'!Q:Q,'caseload data'!$B:$B,"custody",'caseload data'!$C:$C,'custody %'!$T$36),"")</f>
        <v/>
      </c>
      <c r="AH40" s="187" t="str">
        <f>IFERROR(SUMIFS('caseload data'!R:R,'caseload data'!$C:$C,'custody %'!$T$36,'caseload data'!$D:$D,"TPO",'caseload data'!$B:$B,"custody")/SUMIFS('caseload data'!R:R,'caseload data'!$B:$B,"custody",'caseload data'!$C:$C,'custody %'!$T$36),"")</f>
        <v/>
      </c>
      <c r="AI40" s="187"/>
      <c r="AJ40" s="187"/>
    </row>
    <row r="41" spans="2:36" x14ac:dyDescent="0.15">
      <c r="B41" s="111" t="s">
        <v>1040</v>
      </c>
      <c r="C41" s="187" t="str">
        <f>IFERROR(SUMIFS('caseload data'!E:E,'caseload data'!$C:$C,'custody %'!$B$36,'caseload data'!$D:$D,"SPO",'caseload data'!$B:$B,"custody")/SUMIFS('caseload data'!E:E,'caseload data'!$B:$B,"custody",'caseload data'!$C:$C,'custody %'!$B$36),"")</f>
        <v/>
      </c>
      <c r="D41" s="187" t="str">
        <f>IFERROR(SUMIFS('caseload data'!F:F,'caseload data'!$C:$C,'custody %'!$B$36,'caseload data'!$D:$D,"SPO",'caseload data'!$B:$B,"custody")/SUMIFS('caseload data'!F:F,'caseload data'!$B:$B,"custody",'caseload data'!$C:$C,'custody %'!$B$36),"")</f>
        <v/>
      </c>
      <c r="E41" s="187" t="str">
        <f>IFERROR(SUMIFS('caseload data'!G:G,'caseload data'!$C:$C,'custody %'!$B$36,'caseload data'!$D:$D,"SPO",'caseload data'!$B:$B,"custody")/SUMIFS('caseload data'!G:G,'caseload data'!$B:$B,"custody",'caseload data'!$C:$C,'custody %'!$B$36),"")</f>
        <v/>
      </c>
      <c r="F41" s="187" t="str">
        <f>IFERROR(SUMIFS('caseload data'!H:H,'caseload data'!$C:$C,'custody %'!$B$36,'caseload data'!$D:$D,"SPO",'caseload data'!$B:$B,"custody")/SUMIFS('caseload data'!H:H,'caseload data'!$B:$B,"custody",'caseload data'!$C:$C,'custody %'!$B$36),"")</f>
        <v/>
      </c>
      <c r="G41" s="187" t="str">
        <f>IFERROR(SUMIFS('caseload data'!I:I,'caseload data'!$C:$C,'custody %'!$B$36,'caseload data'!$D:$D,"SPO",'caseload data'!$B:$B,"custody")/SUMIFS('caseload data'!I:I,'caseload data'!$B:$B,"custody",'caseload data'!$C:$C,'custody %'!$B$36),"")</f>
        <v/>
      </c>
      <c r="H41" s="187" t="str">
        <f>IFERROR(SUMIFS('caseload data'!J:J,'caseload data'!$C:$C,'custody %'!$B$36,'caseload data'!$D:$D,"SPO",'caseload data'!$B:$B,"custody")/SUMIFS('caseload data'!J:J,'caseload data'!$B:$B,"custody",'caseload data'!$C:$C,'custody %'!$B$36),"")</f>
        <v/>
      </c>
      <c r="I41" s="187" t="str">
        <f>IFERROR(SUMIFS('caseload data'!K:K,'caseload data'!$C:$C,'custody %'!$B$36,'caseload data'!$D:$D,"SPO",'caseload data'!$B:$B,"custody")/SUMIFS('caseload data'!K:K,'caseload data'!$B:$B,"custody",'caseload data'!$C:$C,'custody %'!$B$36),"")</f>
        <v/>
      </c>
      <c r="J41" s="187" t="str">
        <f>IFERROR(SUMIFS('caseload data'!L:L,'caseload data'!$C:$C,'custody %'!$B$36,'caseload data'!$D:$D,"SPO",'caseload data'!$B:$B,"custody")/SUMIFS('caseload data'!L:L,'caseload data'!$B:$B,"custody",'caseload data'!$C:$C,'custody %'!$B$36),"")</f>
        <v/>
      </c>
      <c r="K41" s="187" t="str">
        <f>IFERROR(SUMIFS('caseload data'!M:M,'caseload data'!$C:$C,'custody %'!$B$36,'caseload data'!$D:$D,"SPO",'caseload data'!$B:$B,"custody")/SUMIFS('caseload data'!M:M,'caseload data'!$B:$B,"custody",'caseload data'!$C:$C,'custody %'!$B$36),"")</f>
        <v/>
      </c>
      <c r="L41" s="187" t="str">
        <f>IFERROR(SUMIFS('caseload data'!N:N,'caseload data'!$C:$C,'custody %'!$B$36,'caseload data'!$D:$D,"SPO",'caseload data'!$B:$B,"custody")/SUMIFS('caseload data'!N:N,'caseload data'!$B:$B,"custody",'caseload data'!$C:$C,'custody %'!$B$36),"")</f>
        <v/>
      </c>
      <c r="M41" s="187" t="str">
        <f>IFERROR(SUMIFS('caseload data'!O:O,'caseload data'!$C:$C,'custody %'!$B$36,'caseload data'!$D:$D,"SPO",'caseload data'!$B:$B,"custody")/SUMIFS('caseload data'!O:O,'caseload data'!$B:$B,"custody",'caseload data'!$C:$C,'custody %'!$B$36),"")</f>
        <v/>
      </c>
      <c r="N41" s="187" t="str">
        <f>IFERROR(SUMIFS('caseload data'!P:P,'caseload data'!$C:$C,'custody %'!$B$36,'caseload data'!$D:$D,"SPO",'caseload data'!$B:$B,"custody")/SUMIFS('caseload data'!P:P,'caseload data'!$B:$B,"custody",'caseload data'!$C:$C,'custody %'!$B$36),"")</f>
        <v/>
      </c>
      <c r="O41" s="187" t="str">
        <f>IFERROR(SUMIFS('caseload data'!Q:Q,'caseload data'!$C:$C,'custody %'!$B$36,'caseload data'!$D:$D,"SPO",'caseload data'!$B:$B,"custody")/SUMIFS('caseload data'!Q:Q,'caseload data'!$B:$B,"custody",'caseload data'!$C:$C,'custody %'!$B$36),"")</f>
        <v/>
      </c>
      <c r="P41" s="187" t="str">
        <f>IFERROR(SUMIFS('caseload data'!R:R,'caseload data'!$C:$C,'custody %'!$B$36,'caseload data'!$D:$D,"SPO",'caseload data'!$B:$B,"custody")/SUMIFS('caseload data'!R:R,'caseload data'!$B:$B,"custody",'caseload data'!$C:$C,'custody %'!$B$36),"")</f>
        <v/>
      </c>
      <c r="Q41" s="187" t="str">
        <f>IFERROR(SUMIFS('caseload data'!S:S,'caseload data'!$C:$C,'custody %'!$B$36,'caseload data'!$D:$D,"SPO",'caseload data'!$B:$B,"custody")/SUMIFS('caseload data'!S:S,'caseload data'!$B:$B,"custody",'caseload data'!$C:$C,'custody %'!$B$36),"")</f>
        <v/>
      </c>
      <c r="R41" s="187" t="str">
        <f>IFERROR(SUMIFS('caseload data'!T:T,'caseload data'!$C:$C,'custody %'!$B$36,'caseload data'!$D:$D,"SPO",'caseload data'!$B:$B,"custody")/SUMIFS('caseload data'!T:T,'caseload data'!$B:$B,"custody",'caseload data'!$C:$C,'custody %'!$B$36),"")</f>
        <v/>
      </c>
      <c r="S41" s="76"/>
      <c r="T41" s="111" t="s">
        <v>1040</v>
      </c>
      <c r="U41" s="187" t="str">
        <f>IFERROR(SUMIFS('caseload data'!E:E,'caseload data'!$C:$C,'custody %'!$T$36,'caseload data'!$D:$D,"SPO",'caseload data'!$B:$B,"custody")/SUMIFS('caseload data'!E:E,'caseload data'!$B:$B,"custody",'caseload data'!$C:$C,'custody %'!$T$36),"")</f>
        <v/>
      </c>
      <c r="V41" s="187" t="str">
        <f>IFERROR(SUMIFS('caseload data'!F:F,'caseload data'!$C:$C,'custody %'!$T$36,'caseload data'!$D:$D,"SPO",'caseload data'!$B:$B,"custody")/SUMIFS('caseload data'!F:F,'caseload data'!$B:$B,"custody",'caseload data'!$C:$C,'custody %'!$T$36),"")</f>
        <v/>
      </c>
      <c r="W41" s="187" t="str">
        <f>IFERROR(SUMIFS('caseload data'!G:G,'caseload data'!$C:$C,'custody %'!$T$36,'caseload data'!$D:$D,"SPO",'caseload data'!$B:$B,"custody")/SUMIFS('caseload data'!G:G,'caseload data'!$B:$B,"custody",'caseload data'!$C:$C,'custody %'!$T$36),"")</f>
        <v/>
      </c>
      <c r="X41" s="187" t="str">
        <f>IFERROR(SUMIFS('caseload data'!H:H,'caseload data'!$C:$C,'custody %'!$T$36,'caseload data'!$D:$D,"SPO",'caseload data'!$B:$B,"custody")/SUMIFS('caseload data'!H:H,'caseload data'!$B:$B,"custody",'caseload data'!$C:$C,'custody %'!$T$36),"")</f>
        <v/>
      </c>
      <c r="Y41" s="187" t="str">
        <f>IFERROR(SUMIFS('caseload data'!I:I,'caseload data'!$C:$C,'custody %'!$T$36,'caseload data'!$D:$D,"SPO",'caseload data'!$B:$B,"custody")/SUMIFS('caseload data'!I:I,'caseload data'!$B:$B,"custody",'caseload data'!$C:$C,'custody %'!$T$36),"")</f>
        <v/>
      </c>
      <c r="Z41" s="187" t="str">
        <f>IFERROR(SUMIFS('caseload data'!J:J,'caseload data'!$C:$C,'custody %'!$T$36,'caseload data'!$D:$D,"SPO",'caseload data'!$B:$B,"custody")/SUMIFS('caseload data'!J:J,'caseload data'!$B:$B,"custody",'caseload data'!$C:$C,'custody %'!$T$36),"")</f>
        <v/>
      </c>
      <c r="AA41" s="187" t="str">
        <f>IFERROR(SUMIFS('caseload data'!K:K,'caseload data'!$C:$C,'custody %'!$T$36,'caseload data'!$D:$D,"SPO",'caseload data'!$B:$B,"custody")/SUMIFS('caseload data'!K:K,'caseload data'!$B:$B,"custody",'caseload data'!$C:$C,'custody %'!$T$36),"")</f>
        <v/>
      </c>
      <c r="AB41" s="187" t="str">
        <f>IFERROR(SUMIFS('caseload data'!L:L,'caseload data'!$C:$C,'custody %'!$T$36,'caseload data'!$D:$D,"SPO",'caseload data'!$B:$B,"custody")/SUMIFS('caseload data'!L:L,'caseload data'!$B:$B,"custody",'caseload data'!$C:$C,'custody %'!$T$36),"")</f>
        <v/>
      </c>
      <c r="AC41" s="187" t="str">
        <f>IFERROR(SUMIFS('caseload data'!M:M,'caseload data'!$C:$C,'custody %'!$T$36,'caseload data'!$D:$D,"SPO",'caseload data'!$B:$B,"custody")/SUMIFS('caseload data'!M:M,'caseload data'!$B:$B,"custody",'caseload data'!$C:$C,'custody %'!$T$36),"")</f>
        <v/>
      </c>
      <c r="AD41" s="187" t="str">
        <f>IFERROR(SUMIFS('caseload data'!N:N,'caseload data'!$C:$C,'custody %'!$T$36,'caseload data'!$D:$D,"SPO",'caseload data'!$B:$B,"custody")/SUMIFS('caseload data'!N:N,'caseload data'!$B:$B,"custody",'caseload data'!$C:$C,'custody %'!$T$36),"")</f>
        <v/>
      </c>
      <c r="AE41" s="187" t="str">
        <f>IFERROR(SUMIFS('caseload data'!O:O,'caseload data'!$C:$C,'custody %'!$T$36,'caseload data'!$D:$D,"SPO",'caseload data'!$B:$B,"custody")/SUMIFS('caseload data'!O:O,'caseload data'!$B:$B,"custody",'caseload data'!$C:$C,'custody %'!$T$36),"")</f>
        <v/>
      </c>
      <c r="AF41" s="187" t="str">
        <f>IFERROR(SUMIFS('caseload data'!P:P,'caseload data'!$C:$C,'custody %'!$T$36,'caseload data'!$D:$D,"SPO",'caseload data'!$B:$B,"custody")/SUMIFS('caseload data'!P:P,'caseload data'!$B:$B,"custody",'caseload data'!$C:$C,'custody %'!$T$36),"")</f>
        <v/>
      </c>
      <c r="AG41" s="187" t="str">
        <f>IFERROR(SUMIFS('caseload data'!Q:Q,'caseload data'!$C:$C,'custody %'!$T$36,'caseload data'!$D:$D,"SPO",'caseload data'!$B:$B,"custody")/SUMIFS('caseload data'!Q:Q,'caseload data'!$B:$B,"custody",'caseload data'!$C:$C,'custody %'!$T$36),"")</f>
        <v/>
      </c>
      <c r="AH41" s="187" t="str">
        <f>IFERROR(SUMIFS('caseload data'!R:R,'caseload data'!$C:$C,'custody %'!$T$36,'caseload data'!$D:$D,"SPO",'caseload data'!$B:$B,"custody")/SUMIFS('caseload data'!R:R,'caseload data'!$B:$B,"custody",'caseload data'!$C:$C,'custody %'!$T$36),"")</f>
        <v/>
      </c>
      <c r="AI41" s="187"/>
      <c r="AJ41" s="187"/>
    </row>
    <row r="42" spans="2:36" x14ac:dyDescent="0.15">
      <c r="B42" s="104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104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</row>
    <row r="43" spans="2:36" ht="29.25" customHeight="1" x14ac:dyDescent="0.15">
      <c r="B43" s="162" t="str">
        <f>HLOOKUP($B$5,Region_Table,12,0)</f>
        <v>Greenwich and Bexley</v>
      </c>
      <c r="C43" s="333" t="s">
        <v>1262</v>
      </c>
      <c r="D43" s="334"/>
      <c r="E43" s="334"/>
      <c r="F43" s="334"/>
      <c r="G43" s="334"/>
      <c r="H43" s="334"/>
      <c r="I43" s="334"/>
      <c r="J43" s="334"/>
      <c r="K43" s="334"/>
      <c r="L43" s="334"/>
      <c r="M43" s="343"/>
      <c r="N43" s="343"/>
      <c r="O43" s="344"/>
      <c r="P43" s="337">
        <f>SUMIF('caseload data'!$C:$C,'custody %'!B43,'caseload data'!V:V)</f>
        <v>0</v>
      </c>
      <c r="Q43" s="345"/>
      <c r="R43" s="346"/>
      <c r="S43" s="76"/>
      <c r="T43" s="162" t="str">
        <f>HLOOKUP($B$5,Region_Table,13,0)</f>
        <v>Hackney and City</v>
      </c>
      <c r="U43" s="333" t="s">
        <v>1262</v>
      </c>
      <c r="V43" s="334"/>
      <c r="W43" s="334"/>
      <c r="X43" s="334"/>
      <c r="Y43" s="334"/>
      <c r="Z43" s="334"/>
      <c r="AA43" s="334"/>
      <c r="AB43" s="334"/>
      <c r="AC43" s="343"/>
      <c r="AD43" s="343"/>
      <c r="AE43" s="344"/>
      <c r="AF43" s="337">
        <f>SUMIF('caseload data'!$C:$C,'custody %'!T43,'caseload data'!V:V)</f>
        <v>0</v>
      </c>
      <c r="AG43" s="345"/>
      <c r="AH43" s="346"/>
    </row>
    <row r="44" spans="2:36" x14ac:dyDescent="0.15">
      <c r="B44" s="108" t="s">
        <v>1199</v>
      </c>
      <c r="C44" s="42" t="s">
        <v>1019</v>
      </c>
      <c r="D44" s="42" t="s">
        <v>1020</v>
      </c>
      <c r="E44" s="42" t="s">
        <v>1021</v>
      </c>
      <c r="F44" s="42" t="s">
        <v>1022</v>
      </c>
      <c r="G44" s="42" t="s">
        <v>1023</v>
      </c>
      <c r="H44" s="42" t="s">
        <v>1024</v>
      </c>
      <c r="I44" s="42" t="s">
        <v>1025</v>
      </c>
      <c r="J44" s="42" t="s">
        <v>1026</v>
      </c>
      <c r="K44" s="42" t="s">
        <v>1027</v>
      </c>
      <c r="L44" s="42" t="s">
        <v>1028</v>
      </c>
      <c r="M44" s="42" t="s">
        <v>1029</v>
      </c>
      <c r="N44" s="42" t="s">
        <v>1030</v>
      </c>
      <c r="O44" s="42" t="s">
        <v>1031</v>
      </c>
      <c r="P44" s="42" t="s">
        <v>1032</v>
      </c>
      <c r="Q44" s="42" t="s">
        <v>1033</v>
      </c>
      <c r="R44" s="42" t="s">
        <v>1034</v>
      </c>
      <c r="S44" s="76"/>
      <c r="T44" s="108" t="s">
        <v>1199</v>
      </c>
      <c r="U44" s="42" t="s">
        <v>1019</v>
      </c>
      <c r="V44" s="42" t="s">
        <v>1020</v>
      </c>
      <c r="W44" s="42" t="s">
        <v>1021</v>
      </c>
      <c r="X44" s="42" t="s">
        <v>1022</v>
      </c>
      <c r="Y44" s="42" t="s">
        <v>1023</v>
      </c>
      <c r="Z44" s="42" t="s">
        <v>1024</v>
      </c>
      <c r="AA44" s="42" t="s">
        <v>1025</v>
      </c>
      <c r="AB44" s="42" t="s">
        <v>1026</v>
      </c>
      <c r="AC44" s="42" t="s">
        <v>1027</v>
      </c>
      <c r="AD44" s="42" t="s">
        <v>1028</v>
      </c>
      <c r="AE44" s="42" t="s">
        <v>1029</v>
      </c>
      <c r="AF44" s="42" t="s">
        <v>1030</v>
      </c>
      <c r="AG44" s="42" t="s">
        <v>1031</v>
      </c>
      <c r="AH44" s="42" t="s">
        <v>1032</v>
      </c>
      <c r="AI44" s="42" t="s">
        <v>1033</v>
      </c>
      <c r="AJ44" s="42" t="s">
        <v>1034</v>
      </c>
    </row>
    <row r="45" spans="2:36" x14ac:dyDescent="0.15">
      <c r="B45" s="109" t="s">
        <v>1037</v>
      </c>
      <c r="C45" s="187" t="str">
        <f>IFERROR(SUMIFS('caseload data'!E:E,'caseload data'!$C:$C,'custody %'!$B$43,'caseload data'!$D:$D,"PO",'caseload data'!$B:$B,"custody")/SUMIFS('caseload data'!E:E,'caseload data'!$B:$B,"custody",'caseload data'!$C:$C,'custody %'!$B$43),"")</f>
        <v/>
      </c>
      <c r="D45" s="187" t="str">
        <f>IFERROR(SUMIFS('caseload data'!F:F,'caseload data'!$C:$C,'custody %'!$B$43,'caseload data'!$D:$D,"PO",'caseload data'!$B:$B,"custody")/SUMIFS('caseload data'!F:F,'caseload data'!$B:$B,"custody",'caseload data'!$C:$C,'custody %'!$B$43),"")</f>
        <v/>
      </c>
      <c r="E45" s="187" t="str">
        <f>IFERROR(SUMIFS('caseload data'!G:G,'caseload data'!$C:$C,'custody %'!$B$43,'caseload data'!$D:$D,"PO",'caseload data'!$B:$B,"custody")/SUMIFS('caseload data'!G:G,'caseload data'!$B:$B,"custody",'caseload data'!$C:$C,'custody %'!$B$43),"")</f>
        <v/>
      </c>
      <c r="F45" s="187" t="str">
        <f>IFERROR(SUMIFS('caseload data'!H:H,'caseload data'!$C:$C,'custody %'!$B$43,'caseload data'!$D:$D,"PO",'caseload data'!$B:$B,"custody")/SUMIFS('caseload data'!H:H,'caseload data'!$B:$B,"custody",'caseload data'!$C:$C,'custody %'!$B$43),"")</f>
        <v/>
      </c>
      <c r="G45" s="187" t="str">
        <f>IFERROR(SUMIFS('caseload data'!I:I,'caseload data'!$C:$C,'custody %'!$B$43,'caseload data'!$D:$D,"PO",'caseload data'!$B:$B,"custody")/SUMIFS('caseload data'!I:I,'caseload data'!$B:$B,"custody",'caseload data'!$C:$C,'custody %'!$B$43),"")</f>
        <v/>
      </c>
      <c r="H45" s="187" t="str">
        <f>IFERROR(SUMIFS('caseload data'!J:J,'caseload data'!$C:$C,'custody %'!$B$43,'caseload data'!$D:$D,"PO",'caseload data'!$B:$B,"custody")/SUMIFS('caseload data'!J:J,'caseload data'!$B:$B,"custody",'caseload data'!$C:$C,'custody %'!$B$43),"")</f>
        <v/>
      </c>
      <c r="I45" s="187" t="str">
        <f>IFERROR(SUMIFS('caseload data'!K:K,'caseload data'!$C:$C,'custody %'!$B$43,'caseload data'!$D:$D,"PO",'caseload data'!$B:$B,"custody")/SUMIFS('caseload data'!K:K,'caseload data'!$B:$B,"custody",'caseload data'!$C:$C,'custody %'!$B$43),"")</f>
        <v/>
      </c>
      <c r="J45" s="187" t="str">
        <f>IFERROR(SUMIFS('caseload data'!L:L,'caseload data'!$C:$C,'custody %'!$B$43,'caseload data'!$D:$D,"PO",'caseload data'!$B:$B,"custody")/SUMIFS('caseload data'!L:L,'caseload data'!$B:$B,"custody",'caseload data'!$C:$C,'custody %'!$B$43),"")</f>
        <v/>
      </c>
      <c r="K45" s="187" t="str">
        <f>IFERROR(SUMIFS('caseload data'!M:M,'caseload data'!$C:$C,'custody %'!$B$43,'caseload data'!$D:$D,"PO",'caseload data'!$B:$B,"custody")/SUMIFS('caseload data'!M:M,'caseload data'!$B:$B,"custody",'caseload data'!$C:$C,'custody %'!$B$43),"")</f>
        <v/>
      </c>
      <c r="L45" s="187" t="str">
        <f>IFERROR(SUMIFS('caseload data'!N:N,'caseload data'!$C:$C,'custody %'!$B$43,'caseload data'!$D:$D,"PO",'caseload data'!$B:$B,"custody")/SUMIFS('caseload data'!N:N,'caseload data'!$B:$B,"custody",'caseload data'!$C:$C,'custody %'!$B$43),"")</f>
        <v/>
      </c>
      <c r="M45" s="187" t="str">
        <f>IFERROR(SUMIFS('caseload data'!O:O,'caseload data'!$C:$C,'custody %'!$B$43,'caseload data'!$D:$D,"PO",'caseload data'!$B:$B,"custody")/SUMIFS('caseload data'!O:O,'caseload data'!$B:$B,"custody",'caseload data'!$C:$C,'custody %'!$B$43),"")</f>
        <v/>
      </c>
      <c r="N45" s="187" t="str">
        <f>IFERROR(SUMIFS('caseload data'!P:P,'caseload data'!$C:$C,'custody %'!$B$43,'caseload data'!$D:$D,"PO",'caseload data'!$B:$B,"custody")/SUMIFS('caseload data'!P:P,'caseload data'!$B:$B,"custody",'caseload data'!$C:$C,'custody %'!$B$43),"")</f>
        <v/>
      </c>
      <c r="O45" s="187" t="str">
        <f>IFERROR(SUMIFS('caseload data'!Q:Q,'caseload data'!$C:$C,'custody %'!$B$43,'caseload data'!$D:$D,"PO",'caseload data'!$B:$B,"custody")/SUMIFS('caseload data'!Q:Q,'caseload data'!$B:$B,"custody",'caseload data'!$C:$C,'custody %'!$B$43),"")</f>
        <v/>
      </c>
      <c r="P45" s="187" t="str">
        <f>IFERROR(SUMIFS('caseload data'!R:R,'caseload data'!$C:$C,'custody %'!$B$43,'caseload data'!$D:$D,"PO",'caseload data'!$B:$B,"custody")/SUMIFS('caseload data'!R:R,'caseload data'!$B:$B,"custody",'caseload data'!$C:$C,'custody %'!$B$43),"")</f>
        <v/>
      </c>
      <c r="Q45" s="187" t="str">
        <f>IFERROR(SUMIFS('caseload data'!S:S,'caseload data'!$C:$C,'custody %'!$B$43,'caseload data'!$D:$D,"PO",'caseload data'!$B:$B,"custody")/SUMIFS('caseload data'!S:S,'caseload data'!$B:$B,"custody",'caseload data'!$C:$C,'custody %'!$B$43),"")</f>
        <v/>
      </c>
      <c r="R45" s="187" t="str">
        <f>IFERROR(SUMIFS('caseload data'!T:T,'caseload data'!$C:$C,'custody %'!$B$43,'caseload data'!$D:$D,"PO",'caseload data'!$B:$B,"custody")/SUMIFS('caseload data'!T:T,'caseload data'!$B:$B,"custody",'caseload data'!$C:$C,'custody %'!$B$43),"")</f>
        <v/>
      </c>
      <c r="S45" s="76"/>
      <c r="T45" s="109" t="s">
        <v>1037</v>
      </c>
      <c r="U45" s="187" t="str">
        <f>IFERROR(SUMIFS('caseload data'!E:E,'caseload data'!$C:$C,'custody %'!$T$43,'caseload data'!$D:$D,"PO",'caseload data'!$B:$B,"custody")/SUMIFS('caseload data'!E:E,'caseload data'!$B:$B,"custody",'caseload data'!$C:$C,'custody %'!$T$43),"")</f>
        <v/>
      </c>
      <c r="V45" s="187" t="str">
        <f>IFERROR(SUMIFS('caseload data'!F:F,'caseload data'!$C:$C,'custody %'!$T$43,'caseload data'!$D:$D,"PO",'caseload data'!$B:$B,"custody")/SUMIFS('caseload data'!F:F,'caseload data'!$B:$B,"custody",'caseload data'!$C:$C,'custody %'!$T$43),"")</f>
        <v/>
      </c>
      <c r="W45" s="187" t="str">
        <f>IFERROR(SUMIFS('caseload data'!G:G,'caseload data'!$C:$C,'custody %'!$T$43,'caseload data'!$D:$D,"PO",'caseload data'!$B:$B,"custody")/SUMIFS('caseload data'!G:G,'caseload data'!$B:$B,"custody",'caseload data'!$C:$C,'custody %'!$T$43),"")</f>
        <v/>
      </c>
      <c r="X45" s="187" t="str">
        <f>IFERROR(SUMIFS('caseload data'!H:H,'caseload data'!$C:$C,'custody %'!$T$43,'caseload data'!$D:$D,"PO",'caseload data'!$B:$B,"custody")/SUMIFS('caseload data'!H:H,'caseload data'!$B:$B,"custody",'caseload data'!$C:$C,'custody %'!$T$43),"")</f>
        <v/>
      </c>
      <c r="Y45" s="187" t="str">
        <f>IFERROR(SUMIFS('caseload data'!I:I,'caseload data'!$C:$C,'custody %'!$T$43,'caseload data'!$D:$D,"PO",'caseload data'!$B:$B,"custody")/SUMIFS('caseload data'!I:I,'caseload data'!$B:$B,"custody",'caseload data'!$C:$C,'custody %'!$T$43),"")</f>
        <v/>
      </c>
      <c r="Z45" s="187" t="str">
        <f>IFERROR(SUMIFS('caseload data'!J:J,'caseload data'!$C:$C,'custody %'!$T$43,'caseload data'!$D:$D,"PO",'caseload data'!$B:$B,"custody")/SUMIFS('caseload data'!J:J,'caseload data'!$B:$B,"custody",'caseload data'!$C:$C,'custody %'!$T$43),"")</f>
        <v/>
      </c>
      <c r="AA45" s="187" t="str">
        <f>IFERROR(SUMIFS('caseload data'!K:K,'caseload data'!$C:$C,'custody %'!$T$43,'caseload data'!$D:$D,"PO",'caseload data'!$B:$B,"custody")/SUMIFS('caseload data'!K:K,'caseload data'!$B:$B,"custody",'caseload data'!$C:$C,'custody %'!$T$43),"")</f>
        <v/>
      </c>
      <c r="AB45" s="187" t="str">
        <f>IFERROR(SUMIFS('caseload data'!L:L,'caseload data'!$C:$C,'custody %'!$T$43,'caseload data'!$D:$D,"PO",'caseload data'!$B:$B,"custody")/SUMIFS('caseload data'!L:L,'caseload data'!$B:$B,"custody",'caseload data'!$C:$C,'custody %'!$T$43),"")</f>
        <v/>
      </c>
      <c r="AC45" s="187" t="str">
        <f>IFERROR(SUMIFS('caseload data'!M:M,'caseload data'!$C:$C,'custody %'!$T$43,'caseload data'!$D:$D,"PO",'caseload data'!$B:$B,"custody")/SUMIFS('caseload data'!M:M,'caseload data'!$B:$B,"custody",'caseload data'!$C:$C,'custody %'!$T$43),"")</f>
        <v/>
      </c>
      <c r="AD45" s="187" t="str">
        <f>IFERROR(SUMIFS('caseload data'!N:N,'caseload data'!$C:$C,'custody %'!$T$43,'caseload data'!$D:$D,"PO",'caseload data'!$B:$B,"custody")/SUMIFS('caseload data'!N:N,'caseload data'!$B:$B,"custody",'caseload data'!$C:$C,'custody %'!$T$43),"")</f>
        <v/>
      </c>
      <c r="AE45" s="187" t="str">
        <f>IFERROR(SUMIFS('caseload data'!O:O,'caseload data'!$C:$C,'custody %'!$T$43,'caseload data'!$D:$D,"PO",'caseload data'!$B:$B,"custody")/SUMIFS('caseload data'!O:O,'caseload data'!$B:$B,"custody",'caseload data'!$C:$C,'custody %'!$T$43),"")</f>
        <v/>
      </c>
      <c r="AF45" s="187" t="str">
        <f>IFERROR(SUMIFS('caseload data'!P:P,'caseload data'!$C:$C,'custody %'!$T$43,'caseload data'!$D:$D,"PO",'caseload data'!$B:$B,"custody")/SUMIFS('caseload data'!P:P,'caseload data'!$B:$B,"custody",'caseload data'!$C:$C,'custody %'!$T$43),"")</f>
        <v/>
      </c>
      <c r="AG45" s="187" t="str">
        <f>IFERROR(SUMIFS('caseload data'!Q:Q,'caseload data'!$C:$C,'custody %'!$T$43,'caseload data'!$D:$D,"PO",'caseload data'!$B:$B,"custody")/SUMIFS('caseload data'!Q:Q,'caseload data'!$B:$B,"custody",'caseload data'!$C:$C,'custody %'!$T$43),"")</f>
        <v/>
      </c>
      <c r="AH45" s="187" t="str">
        <f>IFERROR(SUMIFS('caseload data'!R:R,'caseload data'!$C:$C,'custody %'!$T$43,'caseload data'!$D:$D,"PO",'caseload data'!$B:$B,"custody")/SUMIFS('caseload data'!R:R,'caseload data'!$B:$B,"custody",'caseload data'!$C:$C,'custody %'!$T$43),"")</f>
        <v/>
      </c>
      <c r="AI45" s="187"/>
      <c r="AJ45" s="187"/>
    </row>
    <row r="46" spans="2:36" x14ac:dyDescent="0.15">
      <c r="B46" s="110" t="s">
        <v>1038</v>
      </c>
      <c r="C46" s="187" t="str">
        <f>IFERROR(SUMIFS('caseload data'!E:E,'caseload data'!$C:$C,'custody %'!$B$43,'caseload data'!$D:$D,"PSO",'caseload data'!$B:$B,"custody")/SUMIFS('caseload data'!E:E,'caseload data'!$B:$B,"custody",'caseload data'!$C:$C,'custody %'!$B$43),"")</f>
        <v/>
      </c>
      <c r="D46" s="187" t="str">
        <f>IFERROR(SUMIFS('caseload data'!F:F,'caseload data'!$C:$C,'custody %'!$B$43,'caseload data'!$D:$D,"PSO",'caseload data'!$B:$B,"custody")/SUMIFS('caseload data'!F:F,'caseload data'!$B:$B,"custody",'caseload data'!$C:$C,'custody %'!$B$43),"")</f>
        <v/>
      </c>
      <c r="E46" s="187" t="str">
        <f>IFERROR(SUMIFS('caseload data'!G:G,'caseload data'!$C:$C,'custody %'!$B$43,'caseload data'!$D:$D,"PSO",'caseload data'!$B:$B,"custody")/SUMIFS('caseload data'!G:G,'caseload data'!$B:$B,"custody",'caseload data'!$C:$C,'custody %'!$B$43),"")</f>
        <v/>
      </c>
      <c r="F46" s="187" t="str">
        <f>IFERROR(SUMIFS('caseload data'!H:H,'caseload data'!$C:$C,'custody %'!$B$43,'caseload data'!$D:$D,"PSO",'caseload data'!$B:$B,"custody")/SUMIFS('caseload data'!H:H,'caseload data'!$B:$B,"custody",'caseload data'!$C:$C,'custody %'!$B$43),"")</f>
        <v/>
      </c>
      <c r="G46" s="187" t="str">
        <f>IFERROR(SUMIFS('caseload data'!I:I,'caseload data'!$C:$C,'custody %'!$B$43,'caseload data'!$D:$D,"PSO",'caseload data'!$B:$B,"custody")/SUMIFS('caseload data'!I:I,'caseload data'!$B:$B,"custody",'caseload data'!$C:$C,'custody %'!$B$43),"")</f>
        <v/>
      </c>
      <c r="H46" s="187" t="str">
        <f>IFERROR(SUMIFS('caseload data'!J:J,'caseload data'!$C:$C,'custody %'!$B$43,'caseload data'!$D:$D,"PSO",'caseload data'!$B:$B,"custody")/SUMIFS('caseload data'!J:J,'caseload data'!$B:$B,"custody",'caseload data'!$C:$C,'custody %'!$B$43),"")</f>
        <v/>
      </c>
      <c r="I46" s="187" t="str">
        <f>IFERROR(SUMIFS('caseload data'!K:K,'caseload data'!$C:$C,'custody %'!$B$43,'caseload data'!$D:$D,"PSO",'caseload data'!$B:$B,"custody")/SUMIFS('caseload data'!K:K,'caseload data'!$B:$B,"custody",'caseload data'!$C:$C,'custody %'!$B$43),"")</f>
        <v/>
      </c>
      <c r="J46" s="187" t="str">
        <f>IFERROR(SUMIFS('caseload data'!L:L,'caseload data'!$C:$C,'custody %'!$B$43,'caseload data'!$D:$D,"PSO",'caseload data'!$B:$B,"custody")/SUMIFS('caseload data'!L:L,'caseload data'!$B:$B,"custody",'caseload data'!$C:$C,'custody %'!$B$43),"")</f>
        <v/>
      </c>
      <c r="K46" s="187" t="str">
        <f>IFERROR(SUMIFS('caseload data'!M:M,'caseload data'!$C:$C,'custody %'!$B$43,'caseload data'!$D:$D,"PSO",'caseload data'!$B:$B,"custody")/SUMIFS('caseload data'!M:M,'caseload data'!$B:$B,"custody",'caseload data'!$C:$C,'custody %'!$B$43),"")</f>
        <v/>
      </c>
      <c r="L46" s="187" t="str">
        <f>IFERROR(SUMIFS('caseload data'!N:N,'caseload data'!$C:$C,'custody %'!$B$43,'caseload data'!$D:$D,"PSO",'caseload data'!$B:$B,"custody")/SUMIFS('caseload data'!N:N,'caseload data'!$B:$B,"custody",'caseload data'!$C:$C,'custody %'!$B$43),"")</f>
        <v/>
      </c>
      <c r="M46" s="187" t="str">
        <f>IFERROR(SUMIFS('caseload data'!O:O,'caseload data'!$C:$C,'custody %'!$B$43,'caseload data'!$D:$D,"PSO",'caseload data'!$B:$B,"custody")/SUMIFS('caseload data'!O:O,'caseload data'!$B:$B,"custody",'caseload data'!$C:$C,'custody %'!$B$43),"")</f>
        <v/>
      </c>
      <c r="N46" s="187" t="str">
        <f>IFERROR(SUMIFS('caseload data'!P:P,'caseload data'!$C:$C,'custody %'!$B$43,'caseload data'!$D:$D,"PSO",'caseload data'!$B:$B,"custody")/SUMIFS('caseload data'!P:P,'caseload data'!$B:$B,"custody",'caseload data'!$C:$C,'custody %'!$B$43),"")</f>
        <v/>
      </c>
      <c r="O46" s="187" t="str">
        <f>IFERROR(SUMIFS('caseload data'!Q:Q,'caseload data'!$C:$C,'custody %'!$B$43,'caseload data'!$D:$D,"PSO",'caseload data'!$B:$B,"custody")/SUMIFS('caseload data'!Q:Q,'caseload data'!$B:$B,"custody",'caseload data'!$C:$C,'custody %'!$B$43),"")</f>
        <v/>
      </c>
      <c r="P46" s="187" t="str">
        <f>IFERROR(SUMIFS('caseload data'!R:R,'caseload data'!$C:$C,'custody %'!$B$43,'caseload data'!$D:$D,"PSO",'caseload data'!$B:$B,"custody")/SUMIFS('caseload data'!R:R,'caseload data'!$B:$B,"custody",'caseload data'!$C:$C,'custody %'!$B$43),"")</f>
        <v/>
      </c>
      <c r="Q46" s="187" t="str">
        <f>IFERROR(SUMIFS('caseload data'!S:S,'caseload data'!$C:$C,'custody %'!$B$43,'caseload data'!$D:$D,"PSO",'caseload data'!$B:$B,"custody")/SUMIFS('caseload data'!S:S,'caseload data'!$B:$B,"custody",'caseload data'!$C:$C,'custody %'!$B$43),"")</f>
        <v/>
      </c>
      <c r="R46" s="187" t="str">
        <f>IFERROR(SUMIFS('caseload data'!T:T,'caseload data'!$C:$C,'custody %'!$B$43,'caseload data'!$D:$D,"PSO",'caseload data'!$B:$B,"custody")/SUMIFS('caseload data'!T:T,'caseload data'!$B:$B,"custody",'caseload data'!$C:$C,'custody %'!$B$43),"")</f>
        <v/>
      </c>
      <c r="S46" s="76"/>
      <c r="T46" s="110" t="s">
        <v>1038</v>
      </c>
      <c r="U46" s="187" t="str">
        <f>IFERROR(SUMIFS('caseload data'!E:E,'caseload data'!$C:$C,'custody %'!$T$43,'caseload data'!$D:$D,"PSO",'caseload data'!$B:$B,"custody")/SUMIFS('caseload data'!E:E,'caseload data'!$B:$B,"custody",'caseload data'!$C:$C,'custody %'!$T$43),"")</f>
        <v/>
      </c>
      <c r="V46" s="187" t="str">
        <f>IFERROR(SUMIFS('caseload data'!F:F,'caseload data'!$C:$C,'custody %'!$T$43,'caseload data'!$D:$D,"PSO",'caseload data'!$B:$B,"custody")/SUMIFS('caseload data'!F:F,'caseload data'!$B:$B,"custody",'caseload data'!$C:$C,'custody %'!$T$43),"")</f>
        <v/>
      </c>
      <c r="W46" s="187" t="str">
        <f>IFERROR(SUMIFS('caseload data'!G:G,'caseload data'!$C:$C,'custody %'!$T$43,'caseload data'!$D:$D,"PSO",'caseload data'!$B:$B,"custody")/SUMIFS('caseload data'!G:G,'caseload data'!$B:$B,"custody",'caseload data'!$C:$C,'custody %'!$T$43),"")</f>
        <v/>
      </c>
      <c r="X46" s="187" t="str">
        <f>IFERROR(SUMIFS('caseload data'!H:H,'caseload data'!$C:$C,'custody %'!$T$43,'caseload data'!$D:$D,"PSO",'caseload data'!$B:$B,"custody")/SUMIFS('caseload data'!H:H,'caseload data'!$B:$B,"custody",'caseload data'!$C:$C,'custody %'!$T$43),"")</f>
        <v/>
      </c>
      <c r="Y46" s="187" t="str">
        <f>IFERROR(SUMIFS('caseload data'!I:I,'caseload data'!$C:$C,'custody %'!$T$43,'caseload data'!$D:$D,"PSO",'caseload data'!$B:$B,"custody")/SUMIFS('caseload data'!I:I,'caseload data'!$B:$B,"custody",'caseload data'!$C:$C,'custody %'!$T$43),"")</f>
        <v/>
      </c>
      <c r="Z46" s="187" t="str">
        <f>IFERROR(SUMIFS('caseload data'!J:J,'caseload data'!$C:$C,'custody %'!$T$43,'caseload data'!$D:$D,"PSO",'caseload data'!$B:$B,"custody")/SUMIFS('caseload data'!J:J,'caseload data'!$B:$B,"custody",'caseload data'!$C:$C,'custody %'!$T$43),"")</f>
        <v/>
      </c>
      <c r="AA46" s="187" t="str">
        <f>IFERROR(SUMIFS('caseload data'!K:K,'caseload data'!$C:$C,'custody %'!$T$43,'caseload data'!$D:$D,"PSO",'caseload data'!$B:$B,"custody")/SUMIFS('caseload data'!K:K,'caseload data'!$B:$B,"custody",'caseload data'!$C:$C,'custody %'!$T$43),"")</f>
        <v/>
      </c>
      <c r="AB46" s="187" t="str">
        <f>IFERROR(SUMIFS('caseload data'!L:L,'caseload data'!$C:$C,'custody %'!$T$43,'caseload data'!$D:$D,"PSO",'caseload data'!$B:$B,"custody")/SUMIFS('caseload data'!L:L,'caseload data'!$B:$B,"custody",'caseload data'!$C:$C,'custody %'!$T$43),"")</f>
        <v/>
      </c>
      <c r="AC46" s="187" t="str">
        <f>IFERROR(SUMIFS('caseload data'!M:M,'caseload data'!$C:$C,'custody %'!$T$43,'caseload data'!$D:$D,"PSO",'caseload data'!$B:$B,"custody")/SUMIFS('caseload data'!M:M,'caseload data'!$B:$B,"custody",'caseload data'!$C:$C,'custody %'!$T$43),"")</f>
        <v/>
      </c>
      <c r="AD46" s="187" t="str">
        <f>IFERROR(SUMIFS('caseload data'!N:N,'caseload data'!$C:$C,'custody %'!$T$43,'caseload data'!$D:$D,"PSO",'caseload data'!$B:$B,"custody")/SUMIFS('caseload data'!N:N,'caseload data'!$B:$B,"custody",'caseload data'!$C:$C,'custody %'!$T$43),"")</f>
        <v/>
      </c>
      <c r="AE46" s="187" t="str">
        <f>IFERROR(SUMIFS('caseload data'!O:O,'caseload data'!$C:$C,'custody %'!$T$43,'caseload data'!$D:$D,"PSO",'caseload data'!$B:$B,"custody")/SUMIFS('caseload data'!O:O,'caseload data'!$B:$B,"custody",'caseload data'!$C:$C,'custody %'!$T$43),"")</f>
        <v/>
      </c>
      <c r="AF46" s="187" t="str">
        <f>IFERROR(SUMIFS('caseload data'!P:P,'caseload data'!$C:$C,'custody %'!$T$43,'caseload data'!$D:$D,"PSO",'caseload data'!$B:$B,"custody")/SUMIFS('caseload data'!P:P,'caseload data'!$B:$B,"custody",'caseload data'!$C:$C,'custody %'!$T$43),"")</f>
        <v/>
      </c>
      <c r="AG46" s="187" t="str">
        <f>IFERROR(SUMIFS('caseload data'!Q:Q,'caseload data'!$C:$C,'custody %'!$T$43,'caseload data'!$D:$D,"PSO",'caseload data'!$B:$B,"custody")/SUMIFS('caseload data'!Q:Q,'caseload data'!$B:$B,"custody",'caseload data'!$C:$C,'custody %'!$T$43),"")</f>
        <v/>
      </c>
      <c r="AH46" s="187" t="str">
        <f>IFERROR(SUMIFS('caseload data'!R:R,'caseload data'!$C:$C,'custody %'!$T$43,'caseload data'!$D:$D,"PSO",'caseload data'!$B:$B,"custody")/SUMIFS('caseload data'!R:R,'caseload data'!$B:$B,"custody",'caseload data'!$C:$C,'custody %'!$T$43),"")</f>
        <v/>
      </c>
      <c r="AI46" s="187"/>
      <c r="AJ46" s="187"/>
    </row>
    <row r="47" spans="2:36" x14ac:dyDescent="0.15">
      <c r="B47" s="110" t="s">
        <v>1039</v>
      </c>
      <c r="C47" s="187" t="str">
        <f>IFERROR(SUMIFS('caseload data'!E:E,'caseload data'!$C:$C,'custody %'!$B$43,'caseload data'!$D:$D,"TPO",'caseload data'!$B:$B,"custody")/SUMIFS('caseload data'!E:E,'caseload data'!$B:$B,"custody",'caseload data'!$C:$C,'custody %'!$B$43),"")</f>
        <v/>
      </c>
      <c r="D47" s="187" t="str">
        <f>IFERROR(SUMIFS('caseload data'!F:F,'caseload data'!$C:$C,'custody %'!$B$43,'caseload data'!$D:$D,"TPO",'caseload data'!$B:$B,"custody")/SUMIFS('caseload data'!F:F,'caseload data'!$B:$B,"custody",'caseload data'!$C:$C,'custody %'!$B$43),"")</f>
        <v/>
      </c>
      <c r="E47" s="187" t="str">
        <f>IFERROR(SUMIFS('caseload data'!G:G,'caseload data'!$C:$C,'custody %'!$B$43,'caseload data'!$D:$D,"TPO",'caseload data'!$B:$B,"custody")/SUMIFS('caseload data'!G:G,'caseload data'!$B:$B,"custody",'caseload data'!$C:$C,'custody %'!$B$43),"")</f>
        <v/>
      </c>
      <c r="F47" s="187" t="str">
        <f>IFERROR(SUMIFS('caseload data'!H:H,'caseload data'!$C:$C,'custody %'!$B$43,'caseload data'!$D:$D,"TPO",'caseload data'!$B:$B,"custody")/SUMIFS('caseload data'!H:H,'caseload data'!$B:$B,"custody",'caseload data'!$C:$C,'custody %'!$B$43),"")</f>
        <v/>
      </c>
      <c r="G47" s="187" t="str">
        <f>IFERROR(SUMIFS('caseload data'!I:I,'caseload data'!$C:$C,'custody %'!$B$43,'caseload data'!$D:$D,"TPO",'caseload data'!$B:$B,"custody")/SUMIFS('caseload data'!I:I,'caseload data'!$B:$B,"custody",'caseload data'!$C:$C,'custody %'!$B$43),"")</f>
        <v/>
      </c>
      <c r="H47" s="187" t="str">
        <f>IFERROR(SUMIFS('caseload data'!J:J,'caseload data'!$C:$C,'custody %'!$B$43,'caseload data'!$D:$D,"TPO",'caseload data'!$B:$B,"custody")/SUMIFS('caseload data'!J:J,'caseload data'!$B:$B,"custody",'caseload data'!$C:$C,'custody %'!$B$43),"")</f>
        <v/>
      </c>
      <c r="I47" s="187" t="str">
        <f>IFERROR(SUMIFS('caseload data'!K:K,'caseload data'!$C:$C,'custody %'!$B$43,'caseload data'!$D:$D,"TPO",'caseload data'!$B:$B,"custody")/SUMIFS('caseload data'!K:K,'caseload data'!$B:$B,"custody",'caseload data'!$C:$C,'custody %'!$B$43),"")</f>
        <v/>
      </c>
      <c r="J47" s="187" t="str">
        <f>IFERROR(SUMIFS('caseload data'!L:L,'caseload data'!$C:$C,'custody %'!$B$43,'caseload data'!$D:$D,"TPO",'caseload data'!$B:$B,"custody")/SUMIFS('caseload data'!L:L,'caseload data'!$B:$B,"custody",'caseload data'!$C:$C,'custody %'!$B$43),"")</f>
        <v/>
      </c>
      <c r="K47" s="187" t="str">
        <f>IFERROR(SUMIFS('caseload data'!M:M,'caseload data'!$C:$C,'custody %'!$B$43,'caseload data'!$D:$D,"TPO",'caseload data'!$B:$B,"custody")/SUMIFS('caseload data'!M:M,'caseload data'!$B:$B,"custody",'caseload data'!$C:$C,'custody %'!$B$43),"")</f>
        <v/>
      </c>
      <c r="L47" s="187" t="str">
        <f>IFERROR(SUMIFS('caseload data'!N:N,'caseload data'!$C:$C,'custody %'!$B$43,'caseload data'!$D:$D,"TPO",'caseload data'!$B:$B,"custody")/SUMIFS('caseload data'!N:N,'caseload data'!$B:$B,"custody",'caseload data'!$C:$C,'custody %'!$B$43),"")</f>
        <v/>
      </c>
      <c r="M47" s="187" t="str">
        <f>IFERROR(SUMIFS('caseload data'!O:O,'caseload data'!$C:$C,'custody %'!$B$43,'caseload data'!$D:$D,"TPO",'caseload data'!$B:$B,"custody")/SUMIFS('caseload data'!O:O,'caseload data'!$B:$B,"custody",'caseload data'!$C:$C,'custody %'!$B$43),"")</f>
        <v/>
      </c>
      <c r="N47" s="187" t="str">
        <f>IFERROR(SUMIFS('caseload data'!P:P,'caseload data'!$C:$C,'custody %'!$B$43,'caseload data'!$D:$D,"TPO",'caseload data'!$B:$B,"custody")/SUMIFS('caseload data'!P:P,'caseload data'!$B:$B,"custody",'caseload data'!$C:$C,'custody %'!$B$43),"")</f>
        <v/>
      </c>
      <c r="O47" s="187" t="str">
        <f>IFERROR(SUMIFS('caseload data'!Q:Q,'caseload data'!$C:$C,'custody %'!$B$43,'caseload data'!$D:$D,"TPO",'caseload data'!$B:$B,"custody")/SUMIFS('caseload data'!Q:Q,'caseload data'!$B:$B,"custody",'caseload data'!$C:$C,'custody %'!$B$43),"")</f>
        <v/>
      </c>
      <c r="P47" s="187" t="str">
        <f>IFERROR(SUMIFS('caseload data'!R:R,'caseload data'!$C:$C,'custody %'!$B$43,'caseload data'!$D:$D,"TPO",'caseload data'!$B:$B,"custody")/SUMIFS('caseload data'!R:R,'caseload data'!$B:$B,"custody",'caseload data'!$C:$C,'custody %'!$B$43),"")</f>
        <v/>
      </c>
      <c r="Q47" s="187" t="str">
        <f>IFERROR(SUMIFS('caseload data'!S:S,'caseload data'!$C:$C,'custody %'!$B$43,'caseload data'!$D:$D,"TPO",'caseload data'!$B:$B,"custody")/SUMIFS('caseload data'!S:S,'caseload data'!$B:$B,"custody",'caseload data'!$C:$C,'custody %'!$B$43),"")</f>
        <v/>
      </c>
      <c r="R47" s="187" t="str">
        <f>IFERROR(SUMIFS('caseload data'!T:T,'caseload data'!$C:$C,'custody %'!$B$43,'caseload data'!$D:$D,"TPO",'caseload data'!$B:$B,"custody")/SUMIFS('caseload data'!T:T,'caseload data'!$B:$B,"custody",'caseload data'!$C:$C,'custody %'!$B$43),"")</f>
        <v/>
      </c>
      <c r="S47" s="76"/>
      <c r="T47" s="110" t="s">
        <v>1039</v>
      </c>
      <c r="U47" s="187" t="str">
        <f>IFERROR(SUMIFS('caseload data'!E:E,'caseload data'!$C:$C,'custody %'!$T$43,'caseload data'!$D:$D,"TPO",'caseload data'!$B:$B,"custody")/SUMIFS('caseload data'!E:E,'caseload data'!$B:$B,"custody",'caseload data'!$C:$C,'custody %'!$T$43),"")</f>
        <v/>
      </c>
      <c r="V47" s="187" t="str">
        <f>IFERROR(SUMIFS('caseload data'!F:F,'caseload data'!$C:$C,'custody %'!$T$43,'caseload data'!$D:$D,"TPO",'caseload data'!$B:$B,"custody")/SUMIFS('caseload data'!F:F,'caseload data'!$B:$B,"custody",'caseload data'!$C:$C,'custody %'!$T$43),"")</f>
        <v/>
      </c>
      <c r="W47" s="187" t="str">
        <f>IFERROR(SUMIFS('caseload data'!G:G,'caseload data'!$C:$C,'custody %'!$T$43,'caseload data'!$D:$D,"TPO",'caseload data'!$B:$B,"custody")/SUMIFS('caseload data'!G:G,'caseload data'!$B:$B,"custody",'caseload data'!$C:$C,'custody %'!$T$43),"")</f>
        <v/>
      </c>
      <c r="X47" s="187" t="str">
        <f>IFERROR(SUMIFS('caseload data'!H:H,'caseload data'!$C:$C,'custody %'!$T$43,'caseload data'!$D:$D,"TPO",'caseload data'!$B:$B,"custody")/SUMIFS('caseload data'!H:H,'caseload data'!$B:$B,"custody",'caseload data'!$C:$C,'custody %'!$T$43),"")</f>
        <v/>
      </c>
      <c r="Y47" s="187" t="str">
        <f>IFERROR(SUMIFS('caseload data'!I:I,'caseload data'!$C:$C,'custody %'!$T$43,'caseload data'!$D:$D,"TPO",'caseload data'!$B:$B,"custody")/SUMIFS('caseload data'!I:I,'caseload data'!$B:$B,"custody",'caseload data'!$C:$C,'custody %'!$T$43),"")</f>
        <v/>
      </c>
      <c r="Z47" s="187" t="str">
        <f>IFERROR(SUMIFS('caseload data'!J:J,'caseload data'!$C:$C,'custody %'!$T$43,'caseload data'!$D:$D,"TPO",'caseload data'!$B:$B,"custody")/SUMIFS('caseload data'!J:J,'caseload data'!$B:$B,"custody",'caseload data'!$C:$C,'custody %'!$T$43),"")</f>
        <v/>
      </c>
      <c r="AA47" s="187" t="str">
        <f>IFERROR(SUMIFS('caseload data'!K:K,'caseload data'!$C:$C,'custody %'!$T$43,'caseload data'!$D:$D,"TPO",'caseload data'!$B:$B,"custody")/SUMIFS('caseload data'!K:K,'caseload data'!$B:$B,"custody",'caseload data'!$C:$C,'custody %'!$T$43),"")</f>
        <v/>
      </c>
      <c r="AB47" s="187" t="str">
        <f>IFERROR(SUMIFS('caseload data'!L:L,'caseload data'!$C:$C,'custody %'!$T$43,'caseload data'!$D:$D,"TPO",'caseload data'!$B:$B,"custody")/SUMIFS('caseload data'!L:L,'caseload data'!$B:$B,"custody",'caseload data'!$C:$C,'custody %'!$T$43),"")</f>
        <v/>
      </c>
      <c r="AC47" s="187" t="str">
        <f>IFERROR(SUMIFS('caseload data'!M:M,'caseload data'!$C:$C,'custody %'!$T$43,'caseload data'!$D:$D,"TPO",'caseload data'!$B:$B,"custody")/SUMIFS('caseload data'!M:M,'caseload data'!$B:$B,"custody",'caseload data'!$C:$C,'custody %'!$T$43),"")</f>
        <v/>
      </c>
      <c r="AD47" s="187" t="str">
        <f>IFERROR(SUMIFS('caseload data'!N:N,'caseload data'!$C:$C,'custody %'!$T$43,'caseload data'!$D:$D,"TPO",'caseload data'!$B:$B,"custody")/SUMIFS('caseload data'!N:N,'caseload data'!$B:$B,"custody",'caseload data'!$C:$C,'custody %'!$T$43),"")</f>
        <v/>
      </c>
      <c r="AE47" s="187" t="str">
        <f>IFERROR(SUMIFS('caseload data'!O:O,'caseload data'!$C:$C,'custody %'!$T$43,'caseload data'!$D:$D,"TPO",'caseload data'!$B:$B,"custody")/SUMIFS('caseload data'!O:O,'caseload data'!$B:$B,"custody",'caseload data'!$C:$C,'custody %'!$T$43),"")</f>
        <v/>
      </c>
      <c r="AF47" s="187" t="str">
        <f>IFERROR(SUMIFS('caseload data'!P:P,'caseload data'!$C:$C,'custody %'!$T$43,'caseload data'!$D:$D,"TPO",'caseload data'!$B:$B,"custody")/SUMIFS('caseload data'!P:P,'caseload data'!$B:$B,"custody",'caseload data'!$C:$C,'custody %'!$T$43),"")</f>
        <v/>
      </c>
      <c r="AG47" s="187" t="str">
        <f>IFERROR(SUMIFS('caseload data'!Q:Q,'caseload data'!$C:$C,'custody %'!$T$43,'caseload data'!$D:$D,"TPO",'caseload data'!$B:$B,"custody")/SUMIFS('caseload data'!Q:Q,'caseload data'!$B:$B,"custody",'caseload data'!$C:$C,'custody %'!$T$43),"")</f>
        <v/>
      </c>
      <c r="AH47" s="187" t="str">
        <f>IFERROR(SUMIFS('caseload data'!R:R,'caseload data'!$C:$C,'custody %'!$T$43,'caseload data'!$D:$D,"TPO",'caseload data'!$B:$B,"custody")/SUMIFS('caseload data'!R:R,'caseload data'!$B:$B,"custody",'caseload data'!$C:$C,'custody %'!$T$43),"")</f>
        <v/>
      </c>
      <c r="AI47" s="187"/>
      <c r="AJ47" s="187"/>
    </row>
    <row r="48" spans="2:36" x14ac:dyDescent="0.15">
      <c r="B48" s="111" t="s">
        <v>1040</v>
      </c>
      <c r="C48" s="187" t="str">
        <f>IFERROR(SUMIFS('caseload data'!E:E,'caseload data'!$C:$C,'custody %'!$B$43,'caseload data'!$D:$D,"SPO",'caseload data'!$B:$B,"custody")/SUMIFS('caseload data'!E:E,'caseload data'!$B:$B,"custody",'caseload data'!$C:$C,'custody %'!$B$43),"")</f>
        <v/>
      </c>
      <c r="D48" s="187" t="str">
        <f>IFERROR(SUMIFS('caseload data'!F:F,'caseload data'!$C:$C,'custody %'!$B$43,'caseload data'!$D:$D,"SPO",'caseload data'!$B:$B,"custody")/SUMIFS('caseload data'!F:F,'caseload data'!$B:$B,"custody",'caseload data'!$C:$C,'custody %'!$B$43),"")</f>
        <v/>
      </c>
      <c r="E48" s="187" t="str">
        <f>IFERROR(SUMIFS('caseload data'!G:G,'caseload data'!$C:$C,'custody %'!$B$43,'caseload data'!$D:$D,"SPO",'caseload data'!$B:$B,"custody")/SUMIFS('caseload data'!G:G,'caseload data'!$B:$B,"custody",'caseload data'!$C:$C,'custody %'!$B$43),"")</f>
        <v/>
      </c>
      <c r="F48" s="187" t="str">
        <f>IFERROR(SUMIFS('caseload data'!H:H,'caseload data'!$C:$C,'custody %'!$B$43,'caseload data'!$D:$D,"SPO",'caseload data'!$B:$B,"custody")/SUMIFS('caseload data'!H:H,'caseload data'!$B:$B,"custody",'caseload data'!$C:$C,'custody %'!$B$43),"")</f>
        <v/>
      </c>
      <c r="G48" s="187" t="str">
        <f>IFERROR(SUMIFS('caseload data'!I:I,'caseload data'!$C:$C,'custody %'!$B$43,'caseload data'!$D:$D,"SPO",'caseload data'!$B:$B,"custody")/SUMIFS('caseload data'!I:I,'caseload data'!$B:$B,"custody",'caseload data'!$C:$C,'custody %'!$B$43),"")</f>
        <v/>
      </c>
      <c r="H48" s="187" t="str">
        <f>IFERROR(SUMIFS('caseload data'!J:J,'caseload data'!$C:$C,'custody %'!$B$43,'caseload data'!$D:$D,"SPO",'caseload data'!$B:$B,"custody")/SUMIFS('caseload data'!J:J,'caseload data'!$B:$B,"custody",'caseload data'!$C:$C,'custody %'!$B$43),"")</f>
        <v/>
      </c>
      <c r="I48" s="187" t="str">
        <f>IFERROR(SUMIFS('caseload data'!K:K,'caseload data'!$C:$C,'custody %'!$B$43,'caseload data'!$D:$D,"SPO",'caseload data'!$B:$B,"custody")/SUMIFS('caseload data'!K:K,'caseload data'!$B:$B,"custody",'caseload data'!$C:$C,'custody %'!$B$43),"")</f>
        <v/>
      </c>
      <c r="J48" s="187" t="str">
        <f>IFERROR(SUMIFS('caseload data'!L:L,'caseload data'!$C:$C,'custody %'!$B$43,'caseload data'!$D:$D,"SPO",'caseload data'!$B:$B,"custody")/SUMIFS('caseload data'!L:L,'caseload data'!$B:$B,"custody",'caseload data'!$C:$C,'custody %'!$B$43),"")</f>
        <v/>
      </c>
      <c r="K48" s="187" t="str">
        <f>IFERROR(SUMIFS('caseload data'!M:M,'caseload data'!$C:$C,'custody %'!$B$43,'caseload data'!$D:$D,"SPO",'caseload data'!$B:$B,"custody")/SUMIFS('caseload data'!M:M,'caseload data'!$B:$B,"custody",'caseload data'!$C:$C,'custody %'!$B$43),"")</f>
        <v/>
      </c>
      <c r="L48" s="187" t="str">
        <f>IFERROR(SUMIFS('caseload data'!N:N,'caseload data'!$C:$C,'custody %'!$B$43,'caseload data'!$D:$D,"SPO",'caseload data'!$B:$B,"custody")/SUMIFS('caseload data'!N:N,'caseload data'!$B:$B,"custody",'caseload data'!$C:$C,'custody %'!$B$43),"")</f>
        <v/>
      </c>
      <c r="M48" s="187" t="str">
        <f>IFERROR(SUMIFS('caseload data'!O:O,'caseload data'!$C:$C,'custody %'!$B$43,'caseload data'!$D:$D,"SPO",'caseload data'!$B:$B,"custody")/SUMIFS('caseload data'!O:O,'caseload data'!$B:$B,"custody",'caseload data'!$C:$C,'custody %'!$B$43),"")</f>
        <v/>
      </c>
      <c r="N48" s="187" t="str">
        <f>IFERROR(SUMIFS('caseload data'!P:P,'caseload data'!$C:$C,'custody %'!$B$43,'caseload data'!$D:$D,"SPO",'caseload data'!$B:$B,"custody")/SUMIFS('caseload data'!P:P,'caseload data'!$B:$B,"custody",'caseload data'!$C:$C,'custody %'!$B$43),"")</f>
        <v/>
      </c>
      <c r="O48" s="187" t="str">
        <f>IFERROR(SUMIFS('caseload data'!Q:Q,'caseload data'!$C:$C,'custody %'!$B$43,'caseload data'!$D:$D,"SPO",'caseload data'!$B:$B,"custody")/SUMIFS('caseload data'!Q:Q,'caseload data'!$B:$B,"custody",'caseload data'!$C:$C,'custody %'!$B$43),"")</f>
        <v/>
      </c>
      <c r="P48" s="187" t="str">
        <f>IFERROR(SUMIFS('caseload data'!R:R,'caseload data'!$C:$C,'custody %'!$B$43,'caseload data'!$D:$D,"SPO",'caseload data'!$B:$B,"custody")/SUMIFS('caseload data'!R:R,'caseload data'!$B:$B,"custody",'caseload data'!$C:$C,'custody %'!$B$43),"")</f>
        <v/>
      </c>
      <c r="Q48" s="187" t="str">
        <f>IFERROR(SUMIFS('caseload data'!S:S,'caseload data'!$C:$C,'custody %'!$B$43,'caseload data'!$D:$D,"SPO",'caseload data'!$B:$B,"custody")/SUMIFS('caseload data'!S:S,'caseload data'!$B:$B,"custody",'caseload data'!$C:$C,'custody %'!$B$43),"")</f>
        <v/>
      </c>
      <c r="R48" s="187" t="str">
        <f>IFERROR(SUMIFS('caseload data'!T:T,'caseload data'!$C:$C,'custody %'!$B$43,'caseload data'!$D:$D,"SPO",'caseload data'!$B:$B,"custody")/SUMIFS('caseload data'!T:T,'caseload data'!$B:$B,"custody",'caseload data'!$C:$C,'custody %'!$B$43),"")</f>
        <v/>
      </c>
      <c r="S48" s="76"/>
      <c r="T48" s="111" t="s">
        <v>1040</v>
      </c>
      <c r="U48" s="187" t="str">
        <f>IFERROR(SUMIFS('caseload data'!E:E,'caseload data'!$C:$C,'custody %'!$T$43,'caseload data'!$D:$D,"SPO",'caseload data'!$B:$B,"custody")/SUMIFS('caseload data'!E:E,'caseload data'!$B:$B,"custody",'caseload data'!$C:$C,'custody %'!$T$43),"")</f>
        <v/>
      </c>
      <c r="V48" s="187" t="str">
        <f>IFERROR(SUMIFS('caseload data'!F:F,'caseload data'!$C:$C,'custody %'!$T$43,'caseload data'!$D:$D,"SPO",'caseload data'!$B:$B,"custody")/SUMIFS('caseload data'!F:F,'caseload data'!$B:$B,"custody",'caseload data'!$C:$C,'custody %'!$T$43),"")</f>
        <v/>
      </c>
      <c r="W48" s="187" t="str">
        <f>IFERROR(SUMIFS('caseload data'!G:G,'caseload data'!$C:$C,'custody %'!$T$43,'caseload data'!$D:$D,"SPO",'caseload data'!$B:$B,"custody")/SUMIFS('caseload data'!G:G,'caseload data'!$B:$B,"custody",'caseload data'!$C:$C,'custody %'!$T$43),"")</f>
        <v/>
      </c>
      <c r="X48" s="187" t="str">
        <f>IFERROR(SUMIFS('caseload data'!H:H,'caseload data'!$C:$C,'custody %'!$T$43,'caseload data'!$D:$D,"SPO",'caseload data'!$B:$B,"custody")/SUMIFS('caseload data'!H:H,'caseload data'!$B:$B,"custody",'caseload data'!$C:$C,'custody %'!$T$43),"")</f>
        <v/>
      </c>
      <c r="Y48" s="187" t="str">
        <f>IFERROR(SUMIFS('caseload data'!I:I,'caseload data'!$C:$C,'custody %'!$T$43,'caseload data'!$D:$D,"SPO",'caseload data'!$B:$B,"custody")/SUMIFS('caseload data'!I:I,'caseload data'!$B:$B,"custody",'caseload data'!$C:$C,'custody %'!$T$43),"")</f>
        <v/>
      </c>
      <c r="Z48" s="187" t="str">
        <f>IFERROR(SUMIFS('caseload data'!J:J,'caseload data'!$C:$C,'custody %'!$T$43,'caseload data'!$D:$D,"SPO",'caseload data'!$B:$B,"custody")/SUMIFS('caseload data'!J:J,'caseload data'!$B:$B,"custody",'caseload data'!$C:$C,'custody %'!$T$43),"")</f>
        <v/>
      </c>
      <c r="AA48" s="187" t="str">
        <f>IFERROR(SUMIFS('caseload data'!K:K,'caseload data'!$C:$C,'custody %'!$T$43,'caseload data'!$D:$D,"SPO",'caseload data'!$B:$B,"custody")/SUMIFS('caseload data'!K:K,'caseload data'!$B:$B,"custody",'caseload data'!$C:$C,'custody %'!$T$43),"")</f>
        <v/>
      </c>
      <c r="AB48" s="187" t="str">
        <f>IFERROR(SUMIFS('caseload data'!L:L,'caseload data'!$C:$C,'custody %'!$T$43,'caseload data'!$D:$D,"SPO",'caseload data'!$B:$B,"custody")/SUMIFS('caseload data'!L:L,'caseload data'!$B:$B,"custody",'caseload data'!$C:$C,'custody %'!$T$43),"")</f>
        <v/>
      </c>
      <c r="AC48" s="187" t="str">
        <f>IFERROR(SUMIFS('caseload data'!M:M,'caseload data'!$C:$C,'custody %'!$T$43,'caseload data'!$D:$D,"SPO",'caseload data'!$B:$B,"custody")/SUMIFS('caseload data'!M:M,'caseload data'!$B:$B,"custody",'caseload data'!$C:$C,'custody %'!$T$43),"")</f>
        <v/>
      </c>
      <c r="AD48" s="187" t="str">
        <f>IFERROR(SUMIFS('caseload data'!N:N,'caseload data'!$C:$C,'custody %'!$T$43,'caseload data'!$D:$D,"SPO",'caseload data'!$B:$B,"custody")/SUMIFS('caseload data'!N:N,'caseload data'!$B:$B,"custody",'caseload data'!$C:$C,'custody %'!$T$43),"")</f>
        <v/>
      </c>
      <c r="AE48" s="187" t="str">
        <f>IFERROR(SUMIFS('caseload data'!O:O,'caseload data'!$C:$C,'custody %'!$T$43,'caseload data'!$D:$D,"SPO",'caseload data'!$B:$B,"custody")/SUMIFS('caseload data'!O:O,'caseload data'!$B:$B,"custody",'caseload data'!$C:$C,'custody %'!$T$43),"")</f>
        <v/>
      </c>
      <c r="AF48" s="187" t="str">
        <f>IFERROR(SUMIFS('caseload data'!P:P,'caseload data'!$C:$C,'custody %'!$T$43,'caseload data'!$D:$D,"SPO",'caseload data'!$B:$B,"custody")/SUMIFS('caseload data'!P:P,'caseload data'!$B:$B,"custody",'caseload data'!$C:$C,'custody %'!$T$43),"")</f>
        <v/>
      </c>
      <c r="AG48" s="187" t="str">
        <f>IFERROR(SUMIFS('caseload data'!Q:Q,'caseload data'!$C:$C,'custody %'!$T$43,'caseload data'!$D:$D,"SPO",'caseload data'!$B:$B,"custody")/SUMIFS('caseload data'!Q:Q,'caseload data'!$B:$B,"custody",'caseload data'!$C:$C,'custody %'!$T$43),"")</f>
        <v/>
      </c>
      <c r="AH48" s="187" t="str">
        <f>IFERROR(SUMIFS('caseload data'!R:R,'caseload data'!$C:$C,'custody %'!$T$43,'caseload data'!$D:$D,"SPO",'caseload data'!$B:$B,"custody")/SUMIFS('caseload data'!R:R,'caseload data'!$B:$B,"custody",'caseload data'!$C:$C,'custody %'!$T$43),"")</f>
        <v/>
      </c>
      <c r="AI48" s="187"/>
      <c r="AJ48" s="187"/>
    </row>
    <row r="49" spans="2:36" x14ac:dyDescent="0.15">
      <c r="B49" s="104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0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</row>
    <row r="50" spans="2:36" ht="30" customHeight="1" x14ac:dyDescent="0.15">
      <c r="B50" s="162" t="str">
        <f>HLOOKUP($B$5,Region_Table,14,0)</f>
        <v>Hammersmith, Fulham, Kensington, Chelsea and Westminster</v>
      </c>
      <c r="C50" s="333" t="s">
        <v>1262</v>
      </c>
      <c r="D50" s="334"/>
      <c r="E50" s="334"/>
      <c r="F50" s="334"/>
      <c r="G50" s="334"/>
      <c r="H50" s="334"/>
      <c r="I50" s="334"/>
      <c r="J50" s="334"/>
      <c r="K50" s="334"/>
      <c r="L50" s="334"/>
      <c r="M50" s="343"/>
      <c r="N50" s="343"/>
      <c r="O50" s="344"/>
      <c r="P50" s="337">
        <f>SUMIF('caseload data'!$C:$C,'custody %'!B50,'caseload data'!V:V)</f>
        <v>0</v>
      </c>
      <c r="Q50" s="345"/>
      <c r="R50" s="346"/>
      <c r="S50" s="76"/>
      <c r="T50" s="162" t="str">
        <f>HLOOKUP($B$5,Region_Table,15,0)</f>
        <v>Harrow and Barnet</v>
      </c>
      <c r="U50" s="333" t="s">
        <v>1262</v>
      </c>
      <c r="V50" s="334"/>
      <c r="W50" s="334"/>
      <c r="X50" s="334"/>
      <c r="Y50" s="334"/>
      <c r="Z50" s="334"/>
      <c r="AA50" s="334"/>
      <c r="AB50" s="334"/>
      <c r="AC50" s="343"/>
      <c r="AD50" s="343"/>
      <c r="AE50" s="344"/>
      <c r="AF50" s="337">
        <f>SUMIF('caseload data'!$C:$C,'custody %'!T50,'caseload data'!V:V)</f>
        <v>0</v>
      </c>
      <c r="AG50" s="345"/>
      <c r="AH50" s="346"/>
    </row>
    <row r="51" spans="2:36" x14ac:dyDescent="0.15">
      <c r="B51" s="108" t="s">
        <v>1199</v>
      </c>
      <c r="C51" s="42" t="s">
        <v>1019</v>
      </c>
      <c r="D51" s="42" t="s">
        <v>1020</v>
      </c>
      <c r="E51" s="42" t="s">
        <v>1021</v>
      </c>
      <c r="F51" s="42" t="s">
        <v>1022</v>
      </c>
      <c r="G51" s="42" t="s">
        <v>1023</v>
      </c>
      <c r="H51" s="42" t="s">
        <v>1024</v>
      </c>
      <c r="I51" s="42" t="s">
        <v>1025</v>
      </c>
      <c r="J51" s="42" t="s">
        <v>1026</v>
      </c>
      <c r="K51" s="42" t="s">
        <v>1027</v>
      </c>
      <c r="L51" s="42" t="s">
        <v>1028</v>
      </c>
      <c r="M51" s="42" t="s">
        <v>1029</v>
      </c>
      <c r="N51" s="42" t="s">
        <v>1030</v>
      </c>
      <c r="O51" s="42" t="s">
        <v>1031</v>
      </c>
      <c r="P51" s="42" t="s">
        <v>1032</v>
      </c>
      <c r="Q51" s="42" t="s">
        <v>1033</v>
      </c>
      <c r="R51" s="42" t="s">
        <v>1034</v>
      </c>
      <c r="S51" s="76"/>
      <c r="T51" s="108" t="s">
        <v>1199</v>
      </c>
      <c r="U51" s="42" t="s">
        <v>1019</v>
      </c>
      <c r="V51" s="42" t="s">
        <v>1020</v>
      </c>
      <c r="W51" s="42" t="s">
        <v>1021</v>
      </c>
      <c r="X51" s="42" t="s">
        <v>1022</v>
      </c>
      <c r="Y51" s="42" t="s">
        <v>1023</v>
      </c>
      <c r="Z51" s="42" t="s">
        <v>1024</v>
      </c>
      <c r="AA51" s="42" t="s">
        <v>1025</v>
      </c>
      <c r="AB51" s="42" t="s">
        <v>1026</v>
      </c>
      <c r="AC51" s="42" t="s">
        <v>1027</v>
      </c>
      <c r="AD51" s="42" t="s">
        <v>1028</v>
      </c>
      <c r="AE51" s="42" t="s">
        <v>1029</v>
      </c>
      <c r="AF51" s="42" t="s">
        <v>1030</v>
      </c>
      <c r="AG51" s="42" t="s">
        <v>1031</v>
      </c>
      <c r="AH51" s="42" t="s">
        <v>1032</v>
      </c>
      <c r="AI51" s="42" t="s">
        <v>1033</v>
      </c>
      <c r="AJ51" s="42" t="s">
        <v>1034</v>
      </c>
    </row>
    <row r="52" spans="2:36" x14ac:dyDescent="0.15">
      <c r="B52" s="109" t="s">
        <v>1037</v>
      </c>
      <c r="C52" s="187" t="str">
        <f>IFERROR(SUMIFS('caseload data'!E:E,'caseload data'!$C:$C,'custody %'!$B$50,'caseload data'!$D:$D,"PO",'caseload data'!$B:$B,"custody")/SUMIFS('caseload data'!E:E,'caseload data'!$B:$B,"custody",'caseload data'!$C:$C,'custody %'!$B$50),"")</f>
        <v/>
      </c>
      <c r="D52" s="187" t="str">
        <f>IFERROR(SUMIFS('caseload data'!F:F,'caseload data'!$C:$C,'custody %'!$B$50,'caseload data'!$D:$D,"PO",'caseload data'!$B:$B,"custody")/SUMIFS('caseload data'!F:F,'caseload data'!$B:$B,"custody",'caseload data'!$C:$C,'custody %'!$B$50),"")</f>
        <v/>
      </c>
      <c r="E52" s="187" t="str">
        <f>IFERROR(SUMIFS('caseload data'!G:G,'caseload data'!$C:$C,'custody %'!$B$50,'caseload data'!$D:$D,"PO",'caseload data'!$B:$B,"custody")/SUMIFS('caseload data'!G:G,'caseload data'!$B:$B,"custody",'caseload data'!$C:$C,'custody %'!$B$50),"")</f>
        <v/>
      </c>
      <c r="F52" s="187" t="str">
        <f>IFERROR(SUMIFS('caseload data'!H:H,'caseload data'!$C:$C,'custody %'!$B$50,'caseload data'!$D:$D,"PO",'caseload data'!$B:$B,"custody")/SUMIFS('caseload data'!H:H,'caseload data'!$B:$B,"custody",'caseload data'!$C:$C,'custody %'!$B$50),"")</f>
        <v/>
      </c>
      <c r="G52" s="187" t="str">
        <f>IFERROR(SUMIFS('caseload data'!I:I,'caseload data'!$C:$C,'custody %'!$B$50,'caseload data'!$D:$D,"PO",'caseload data'!$B:$B,"custody")/SUMIFS('caseload data'!I:I,'caseload data'!$B:$B,"custody",'caseload data'!$C:$C,'custody %'!$B$50),"")</f>
        <v/>
      </c>
      <c r="H52" s="187" t="str">
        <f>IFERROR(SUMIFS('caseload data'!J:J,'caseload data'!$C:$C,'custody %'!$B$50,'caseload data'!$D:$D,"PO",'caseload data'!$B:$B,"custody")/SUMIFS('caseload data'!J:J,'caseload data'!$B:$B,"custody",'caseload data'!$C:$C,'custody %'!$B$50),"")</f>
        <v/>
      </c>
      <c r="I52" s="187" t="str">
        <f>IFERROR(SUMIFS('caseload data'!K:K,'caseload data'!$C:$C,'custody %'!$B$50,'caseload data'!$D:$D,"PO",'caseload data'!$B:$B,"custody")/SUMIFS('caseload data'!K:K,'caseload data'!$B:$B,"custody",'caseload data'!$C:$C,'custody %'!$B$50),"")</f>
        <v/>
      </c>
      <c r="J52" s="187" t="str">
        <f>IFERROR(SUMIFS('caseload data'!L:L,'caseload data'!$C:$C,'custody %'!$B$50,'caseload data'!$D:$D,"PO",'caseload data'!$B:$B,"custody")/SUMIFS('caseload data'!L:L,'caseload data'!$B:$B,"custody",'caseload data'!$C:$C,'custody %'!$B$50),"")</f>
        <v/>
      </c>
      <c r="K52" s="187" t="str">
        <f>IFERROR(SUMIFS('caseload data'!M:M,'caseload data'!$C:$C,'custody %'!$B$50,'caseload data'!$D:$D,"PO",'caseload data'!$B:$B,"custody")/SUMIFS('caseload data'!M:M,'caseload data'!$B:$B,"custody",'caseload data'!$C:$C,'custody %'!$B$50),"")</f>
        <v/>
      </c>
      <c r="L52" s="187" t="str">
        <f>IFERROR(SUMIFS('caseload data'!N:N,'caseload data'!$C:$C,'custody %'!$B$50,'caseload data'!$D:$D,"PO",'caseload data'!$B:$B,"custody")/SUMIFS('caseload data'!N:N,'caseload data'!$B:$B,"custody",'caseload data'!$C:$C,'custody %'!$B$50),"")</f>
        <v/>
      </c>
      <c r="M52" s="187" t="str">
        <f>IFERROR(SUMIFS('caseload data'!O:O,'caseload data'!$C:$C,'custody %'!$B$50,'caseload data'!$D:$D,"PO",'caseload data'!$B:$B,"custody")/SUMIFS('caseload data'!O:O,'caseload data'!$B:$B,"custody",'caseload data'!$C:$C,'custody %'!$B$50),"")</f>
        <v/>
      </c>
      <c r="N52" s="187" t="str">
        <f>IFERROR(SUMIFS('caseload data'!P:P,'caseload data'!$C:$C,'custody %'!$B$50,'caseload data'!$D:$D,"PO",'caseload data'!$B:$B,"custody")/SUMIFS('caseload data'!P:P,'caseload data'!$B:$B,"custody",'caseload data'!$C:$C,'custody %'!$B$50),"")</f>
        <v/>
      </c>
      <c r="O52" s="187" t="str">
        <f>IFERROR(SUMIFS('caseload data'!Q:Q,'caseload data'!$C:$C,'custody %'!$B$50,'caseload data'!$D:$D,"PO",'caseload data'!$B:$B,"custody")/SUMIFS('caseload data'!Q:Q,'caseload data'!$B:$B,"custody",'caseload data'!$C:$C,'custody %'!$B$50),"")</f>
        <v/>
      </c>
      <c r="P52" s="187" t="str">
        <f>IFERROR(SUMIFS('caseload data'!R:R,'caseload data'!$C:$C,'custody %'!$B$50,'caseload data'!$D:$D,"PO",'caseload data'!$B:$B,"custody")/SUMIFS('caseload data'!R:R,'caseload data'!$B:$B,"custody",'caseload data'!$C:$C,'custody %'!$B$50),"")</f>
        <v/>
      </c>
      <c r="Q52" s="187" t="str">
        <f>IFERROR(SUMIFS('caseload data'!S:S,'caseload data'!$C:$C,'custody %'!$B$50,'caseload data'!$D:$D,"PO",'caseload data'!$B:$B,"custody")/SUMIFS('caseload data'!S:S,'caseload data'!$B:$B,"custody",'caseload data'!$C:$C,'custody %'!$B$50),"")</f>
        <v/>
      </c>
      <c r="R52" s="187" t="str">
        <f>IFERROR(SUMIFS('caseload data'!T:T,'caseload data'!$C:$C,'custody %'!$B$50,'caseload data'!$D:$D,"PO",'caseload data'!$B:$B,"custody")/SUMIFS('caseload data'!T:T,'caseload data'!$B:$B,"custody",'caseload data'!$C:$C,'custody %'!$B$50),"")</f>
        <v/>
      </c>
      <c r="S52" s="76"/>
      <c r="T52" s="109" t="s">
        <v>1037</v>
      </c>
      <c r="U52" s="187" t="str">
        <f>IFERROR(SUMIFS('caseload data'!E:E,'caseload data'!$C:$C,'custody %'!$T$50,'caseload data'!$D:$D,"PO",'caseload data'!$B:$B,"custody")/SUMIFS('caseload data'!E:E,'caseload data'!$B:$B,"custody",'caseload data'!$C:$C,'custody %'!$T$50),"")</f>
        <v/>
      </c>
      <c r="V52" s="187" t="str">
        <f>IFERROR(SUMIFS('caseload data'!F:F,'caseload data'!$C:$C,'custody %'!$T$50,'caseload data'!$D:$D,"PO",'caseload data'!$B:$B,"custody")/SUMIFS('caseload data'!F:F,'caseload data'!$B:$B,"custody",'caseload data'!$C:$C,'custody %'!$T$50),"")</f>
        <v/>
      </c>
      <c r="W52" s="187" t="str">
        <f>IFERROR(SUMIFS('caseload data'!G:G,'caseload data'!$C:$C,'custody %'!$T$50,'caseload data'!$D:$D,"PO",'caseload data'!$B:$B,"custody")/SUMIFS('caseload data'!G:G,'caseload data'!$B:$B,"custody",'caseload data'!$C:$C,'custody %'!$T$50),"")</f>
        <v/>
      </c>
      <c r="X52" s="187" t="str">
        <f>IFERROR(SUMIFS('caseload data'!H:H,'caseload data'!$C:$C,'custody %'!$T$50,'caseload data'!$D:$D,"PO",'caseload data'!$B:$B,"custody")/SUMIFS('caseload data'!H:H,'caseload data'!$B:$B,"custody",'caseload data'!$C:$C,'custody %'!$T$50),"")</f>
        <v/>
      </c>
      <c r="Y52" s="187" t="str">
        <f>IFERROR(SUMIFS('caseload data'!I:I,'caseload data'!$C:$C,'custody %'!$T$50,'caseload data'!$D:$D,"PO",'caseload data'!$B:$B,"custody")/SUMIFS('caseload data'!I:I,'caseload data'!$B:$B,"custody",'caseload data'!$C:$C,'custody %'!$T$50),"")</f>
        <v/>
      </c>
      <c r="Z52" s="187" t="str">
        <f>IFERROR(SUMIFS('caseload data'!J:J,'caseload data'!$C:$C,'custody %'!$T$50,'caseload data'!$D:$D,"PO",'caseload data'!$B:$B,"custody")/SUMIFS('caseload data'!J:J,'caseload data'!$B:$B,"custody",'caseload data'!$C:$C,'custody %'!$T$50),"")</f>
        <v/>
      </c>
      <c r="AA52" s="187" t="str">
        <f>IFERROR(SUMIFS('caseload data'!K:K,'caseload data'!$C:$C,'custody %'!$T$50,'caseload data'!$D:$D,"PO",'caseload data'!$B:$B,"custody")/SUMIFS('caseload data'!K:K,'caseload data'!$B:$B,"custody",'caseload data'!$C:$C,'custody %'!$T$50),"")</f>
        <v/>
      </c>
      <c r="AB52" s="187" t="str">
        <f>IFERROR(SUMIFS('caseload data'!L:L,'caseload data'!$C:$C,'custody %'!$T$50,'caseload data'!$D:$D,"PO",'caseload data'!$B:$B,"custody")/SUMIFS('caseload data'!L:L,'caseload data'!$B:$B,"custody",'caseload data'!$C:$C,'custody %'!$T$50),"")</f>
        <v/>
      </c>
      <c r="AC52" s="187" t="str">
        <f>IFERROR(SUMIFS('caseload data'!M:M,'caseload data'!$C:$C,'custody %'!$T$50,'caseload data'!$D:$D,"PO",'caseload data'!$B:$B,"custody")/SUMIFS('caseload data'!M:M,'caseload data'!$B:$B,"custody",'caseload data'!$C:$C,'custody %'!$T$50),"")</f>
        <v/>
      </c>
      <c r="AD52" s="187" t="str">
        <f>IFERROR(SUMIFS('caseload data'!N:N,'caseload data'!$C:$C,'custody %'!$T$50,'caseload data'!$D:$D,"PO",'caseload data'!$B:$B,"custody")/SUMIFS('caseload data'!N:N,'caseload data'!$B:$B,"custody",'caseload data'!$C:$C,'custody %'!$T$50),"")</f>
        <v/>
      </c>
      <c r="AE52" s="187" t="str">
        <f>IFERROR(SUMIFS('caseload data'!O:O,'caseload data'!$C:$C,'custody %'!$T$50,'caseload data'!$D:$D,"PO",'caseload data'!$B:$B,"custody")/SUMIFS('caseload data'!O:O,'caseload data'!$B:$B,"custody",'caseload data'!$C:$C,'custody %'!$T$50),"")</f>
        <v/>
      </c>
      <c r="AF52" s="187" t="str">
        <f>IFERROR(SUMIFS('caseload data'!P:P,'caseload data'!$C:$C,'custody %'!$T$50,'caseload data'!$D:$D,"PO",'caseload data'!$B:$B,"custody")/SUMIFS('caseload data'!P:P,'caseload data'!$B:$B,"custody",'caseload data'!$C:$C,'custody %'!$T$50),"")</f>
        <v/>
      </c>
      <c r="AG52" s="187" t="str">
        <f>IFERROR(SUMIFS('caseload data'!Q:Q,'caseload data'!$C:$C,'custody %'!$T$50,'caseload data'!$D:$D,"PO",'caseload data'!$B:$B,"custody")/SUMIFS('caseload data'!Q:Q,'caseload data'!$B:$B,"custody",'caseload data'!$C:$C,'custody %'!$T$50),"")</f>
        <v/>
      </c>
      <c r="AH52" s="187" t="str">
        <f>IFERROR(SUMIFS('caseload data'!R:R,'caseload data'!$C:$C,'custody %'!$T$50,'caseload data'!$D:$D,"PO",'caseload data'!$B:$B,"custody")/SUMIFS('caseload data'!R:R,'caseload data'!$B:$B,"custody",'caseload data'!$C:$C,'custody %'!$T$50),"")</f>
        <v/>
      </c>
      <c r="AI52" s="187"/>
      <c r="AJ52" s="187"/>
    </row>
    <row r="53" spans="2:36" x14ac:dyDescent="0.15">
      <c r="B53" s="110" t="s">
        <v>1038</v>
      </c>
      <c r="C53" s="187" t="str">
        <f>IFERROR(SUMIFS('caseload data'!E:E,'caseload data'!$C:$C,'custody %'!$B$50,'caseload data'!$D:$D,"PSO",'caseload data'!$B:$B,"custody")/SUMIFS('caseload data'!E:E,'caseload data'!$B:$B,"custody",'caseload data'!$C:$C,'custody %'!$B$50),"")</f>
        <v/>
      </c>
      <c r="D53" s="187" t="str">
        <f>IFERROR(SUMIFS('caseload data'!F:F,'caseload data'!$C:$C,'custody %'!$B$50,'caseload data'!$D:$D,"PSO",'caseload data'!$B:$B,"custody")/SUMIFS('caseload data'!F:F,'caseload data'!$B:$B,"custody",'caseload data'!$C:$C,'custody %'!$B$50),"")</f>
        <v/>
      </c>
      <c r="E53" s="187" t="str">
        <f>IFERROR(SUMIFS('caseload data'!G:G,'caseload data'!$C:$C,'custody %'!$B$50,'caseload data'!$D:$D,"PSO",'caseload data'!$B:$B,"custody")/SUMIFS('caseload data'!G:G,'caseload data'!$B:$B,"custody",'caseload data'!$C:$C,'custody %'!$B$50),"")</f>
        <v/>
      </c>
      <c r="F53" s="187" t="str">
        <f>IFERROR(SUMIFS('caseload data'!H:H,'caseload data'!$C:$C,'custody %'!$B$50,'caseload data'!$D:$D,"PSO",'caseload data'!$B:$B,"custody")/SUMIFS('caseload data'!H:H,'caseload data'!$B:$B,"custody",'caseload data'!$C:$C,'custody %'!$B$50),"")</f>
        <v/>
      </c>
      <c r="G53" s="187" t="str">
        <f>IFERROR(SUMIFS('caseload data'!I:I,'caseload data'!$C:$C,'custody %'!$B$50,'caseload data'!$D:$D,"PSO",'caseload data'!$B:$B,"custody")/SUMIFS('caseload data'!I:I,'caseload data'!$B:$B,"custody",'caseload data'!$C:$C,'custody %'!$B$50),"")</f>
        <v/>
      </c>
      <c r="H53" s="187" t="str">
        <f>IFERROR(SUMIFS('caseload data'!J:J,'caseload data'!$C:$C,'custody %'!$B$50,'caseload data'!$D:$D,"PSO",'caseload data'!$B:$B,"custody")/SUMIFS('caseload data'!J:J,'caseload data'!$B:$B,"custody",'caseload data'!$C:$C,'custody %'!$B$50),"")</f>
        <v/>
      </c>
      <c r="I53" s="187" t="str">
        <f>IFERROR(SUMIFS('caseload data'!K:K,'caseload data'!$C:$C,'custody %'!$B$50,'caseload data'!$D:$D,"PSO",'caseload data'!$B:$B,"custody")/SUMIFS('caseload data'!K:K,'caseload data'!$B:$B,"custody",'caseload data'!$C:$C,'custody %'!$B$50),"")</f>
        <v/>
      </c>
      <c r="J53" s="187" t="str">
        <f>IFERROR(SUMIFS('caseload data'!L:L,'caseload data'!$C:$C,'custody %'!$B$50,'caseload data'!$D:$D,"PSO",'caseload data'!$B:$B,"custody")/SUMIFS('caseload data'!L:L,'caseload data'!$B:$B,"custody",'caseload data'!$C:$C,'custody %'!$B$50),"")</f>
        <v/>
      </c>
      <c r="K53" s="187" t="str">
        <f>IFERROR(SUMIFS('caseload data'!M:M,'caseload data'!$C:$C,'custody %'!$B$50,'caseload data'!$D:$D,"PSO",'caseload data'!$B:$B,"custody")/SUMIFS('caseload data'!M:M,'caseload data'!$B:$B,"custody",'caseload data'!$C:$C,'custody %'!$B$50),"")</f>
        <v/>
      </c>
      <c r="L53" s="187" t="str">
        <f>IFERROR(SUMIFS('caseload data'!N:N,'caseload data'!$C:$C,'custody %'!$B$50,'caseload data'!$D:$D,"PSO",'caseload data'!$B:$B,"custody")/SUMIFS('caseload data'!N:N,'caseload data'!$B:$B,"custody",'caseload data'!$C:$C,'custody %'!$B$50),"")</f>
        <v/>
      </c>
      <c r="M53" s="187" t="str">
        <f>IFERROR(SUMIFS('caseload data'!O:O,'caseload data'!$C:$C,'custody %'!$B$50,'caseload data'!$D:$D,"PSO",'caseload data'!$B:$B,"custody")/SUMIFS('caseload data'!O:O,'caseload data'!$B:$B,"custody",'caseload data'!$C:$C,'custody %'!$B$50),"")</f>
        <v/>
      </c>
      <c r="N53" s="187" t="str">
        <f>IFERROR(SUMIFS('caseload data'!P:P,'caseload data'!$C:$C,'custody %'!$B$50,'caseload data'!$D:$D,"PSO",'caseload data'!$B:$B,"custody")/SUMIFS('caseload data'!P:P,'caseload data'!$B:$B,"custody",'caseload data'!$C:$C,'custody %'!$B$50),"")</f>
        <v/>
      </c>
      <c r="O53" s="187" t="str">
        <f>IFERROR(SUMIFS('caseload data'!Q:Q,'caseload data'!$C:$C,'custody %'!$B$50,'caseload data'!$D:$D,"PSO",'caseload data'!$B:$B,"custody")/SUMIFS('caseload data'!Q:Q,'caseload data'!$B:$B,"custody",'caseload data'!$C:$C,'custody %'!$B$50),"")</f>
        <v/>
      </c>
      <c r="P53" s="187" t="str">
        <f>IFERROR(SUMIFS('caseload data'!R:R,'caseload data'!$C:$C,'custody %'!$B$50,'caseload data'!$D:$D,"PSO",'caseload data'!$B:$B,"custody")/SUMIFS('caseload data'!R:R,'caseload data'!$B:$B,"custody",'caseload data'!$C:$C,'custody %'!$B$50),"")</f>
        <v/>
      </c>
      <c r="Q53" s="187" t="str">
        <f>IFERROR(SUMIFS('caseload data'!S:S,'caseload data'!$C:$C,'custody %'!$B$50,'caseload data'!$D:$D,"PSO",'caseload data'!$B:$B,"custody")/SUMIFS('caseload data'!S:S,'caseload data'!$B:$B,"custody",'caseload data'!$C:$C,'custody %'!$B$50),"")</f>
        <v/>
      </c>
      <c r="R53" s="187" t="str">
        <f>IFERROR(SUMIFS('caseload data'!T:T,'caseload data'!$C:$C,'custody %'!$B$50,'caseload data'!$D:$D,"PSO",'caseload data'!$B:$B,"custody")/SUMIFS('caseload data'!T:T,'caseload data'!$B:$B,"custody",'caseload data'!$C:$C,'custody %'!$B$50),"")</f>
        <v/>
      </c>
      <c r="S53" s="76"/>
      <c r="T53" s="110" t="s">
        <v>1038</v>
      </c>
      <c r="U53" s="187" t="str">
        <f>IFERROR(SUMIFS('caseload data'!E:E,'caseload data'!$C:$C,'custody %'!$T$50,'caseload data'!$D:$D,"PSO",'caseload data'!$B:$B,"custody")/SUMIFS('caseload data'!E:E,'caseload data'!$B:$B,"custody",'caseload data'!$C:$C,'custody %'!$T$50),"")</f>
        <v/>
      </c>
      <c r="V53" s="187" t="str">
        <f>IFERROR(SUMIFS('caseload data'!F:F,'caseload data'!$C:$C,'custody %'!$T$50,'caseload data'!$D:$D,"PSO",'caseload data'!$B:$B,"custody")/SUMIFS('caseload data'!F:F,'caseload data'!$B:$B,"custody",'caseload data'!$C:$C,'custody %'!$T$50),"")</f>
        <v/>
      </c>
      <c r="W53" s="187" t="str">
        <f>IFERROR(SUMIFS('caseload data'!G:G,'caseload data'!$C:$C,'custody %'!$T$50,'caseload data'!$D:$D,"PSO",'caseload data'!$B:$B,"custody")/SUMIFS('caseload data'!G:G,'caseload data'!$B:$B,"custody",'caseload data'!$C:$C,'custody %'!$T$50),"")</f>
        <v/>
      </c>
      <c r="X53" s="187" t="str">
        <f>IFERROR(SUMIFS('caseload data'!H:H,'caseload data'!$C:$C,'custody %'!$T$50,'caseload data'!$D:$D,"PSO",'caseload data'!$B:$B,"custody")/SUMIFS('caseload data'!H:H,'caseload data'!$B:$B,"custody",'caseload data'!$C:$C,'custody %'!$T$50),"")</f>
        <v/>
      </c>
      <c r="Y53" s="187" t="str">
        <f>IFERROR(SUMIFS('caseload data'!I:I,'caseload data'!$C:$C,'custody %'!$T$50,'caseload data'!$D:$D,"PSO",'caseload data'!$B:$B,"custody")/SUMIFS('caseload data'!I:I,'caseload data'!$B:$B,"custody",'caseload data'!$C:$C,'custody %'!$T$50),"")</f>
        <v/>
      </c>
      <c r="Z53" s="187" t="str">
        <f>IFERROR(SUMIFS('caseload data'!J:J,'caseload data'!$C:$C,'custody %'!$T$50,'caseload data'!$D:$D,"PSO",'caseload data'!$B:$B,"custody")/SUMIFS('caseload data'!J:J,'caseload data'!$B:$B,"custody",'caseload data'!$C:$C,'custody %'!$T$50),"")</f>
        <v/>
      </c>
      <c r="AA53" s="187" t="str">
        <f>IFERROR(SUMIFS('caseload data'!K:K,'caseload data'!$C:$C,'custody %'!$T$50,'caseload data'!$D:$D,"PSO",'caseload data'!$B:$B,"custody")/SUMIFS('caseload data'!K:K,'caseload data'!$B:$B,"custody",'caseload data'!$C:$C,'custody %'!$T$50),"")</f>
        <v/>
      </c>
      <c r="AB53" s="187" t="str">
        <f>IFERROR(SUMIFS('caseload data'!L:L,'caseload data'!$C:$C,'custody %'!$T$50,'caseload data'!$D:$D,"PSO",'caseload data'!$B:$B,"custody")/SUMIFS('caseload data'!L:L,'caseload data'!$B:$B,"custody",'caseload data'!$C:$C,'custody %'!$T$50),"")</f>
        <v/>
      </c>
      <c r="AC53" s="187" t="str">
        <f>IFERROR(SUMIFS('caseload data'!M:M,'caseload data'!$C:$C,'custody %'!$T$50,'caseload data'!$D:$D,"PSO",'caseload data'!$B:$B,"custody")/SUMIFS('caseload data'!M:M,'caseload data'!$B:$B,"custody",'caseload data'!$C:$C,'custody %'!$T$50),"")</f>
        <v/>
      </c>
      <c r="AD53" s="187" t="str">
        <f>IFERROR(SUMIFS('caseload data'!N:N,'caseload data'!$C:$C,'custody %'!$T$50,'caseload data'!$D:$D,"PSO",'caseload data'!$B:$B,"custody")/SUMIFS('caseload data'!N:N,'caseload data'!$B:$B,"custody",'caseload data'!$C:$C,'custody %'!$T$50),"")</f>
        <v/>
      </c>
      <c r="AE53" s="187" t="str">
        <f>IFERROR(SUMIFS('caseload data'!O:O,'caseload data'!$C:$C,'custody %'!$T$50,'caseload data'!$D:$D,"PSO",'caseload data'!$B:$B,"custody")/SUMIFS('caseload data'!O:O,'caseload data'!$B:$B,"custody",'caseload data'!$C:$C,'custody %'!$T$50),"")</f>
        <v/>
      </c>
      <c r="AF53" s="187" t="str">
        <f>IFERROR(SUMIFS('caseload data'!P:P,'caseload data'!$C:$C,'custody %'!$T$50,'caseload data'!$D:$D,"PSO",'caseload data'!$B:$B,"custody")/SUMIFS('caseload data'!P:P,'caseload data'!$B:$B,"custody",'caseload data'!$C:$C,'custody %'!$T$50),"")</f>
        <v/>
      </c>
      <c r="AG53" s="187" t="str">
        <f>IFERROR(SUMIFS('caseload data'!Q:Q,'caseload data'!$C:$C,'custody %'!$T$50,'caseload data'!$D:$D,"PSO",'caseload data'!$B:$B,"custody")/SUMIFS('caseload data'!Q:Q,'caseload data'!$B:$B,"custody",'caseload data'!$C:$C,'custody %'!$T$50),"")</f>
        <v/>
      </c>
      <c r="AH53" s="187" t="str">
        <f>IFERROR(SUMIFS('caseload data'!R:R,'caseload data'!$C:$C,'custody %'!$T$50,'caseload data'!$D:$D,"PSO",'caseload data'!$B:$B,"custody")/SUMIFS('caseload data'!R:R,'caseload data'!$B:$B,"custody",'caseload data'!$C:$C,'custody %'!$T$50),"")</f>
        <v/>
      </c>
      <c r="AI53" s="187"/>
      <c r="AJ53" s="187"/>
    </row>
    <row r="54" spans="2:36" x14ac:dyDescent="0.15">
      <c r="B54" s="110" t="s">
        <v>1039</v>
      </c>
      <c r="C54" s="187" t="str">
        <f>IFERROR(SUMIFS('caseload data'!E:E,'caseload data'!$C:$C,'custody %'!$B$50,'caseload data'!$D:$D,"TPO",'caseload data'!$B:$B,"custody")/SUMIFS('caseload data'!E:E,'caseload data'!$B:$B,"custody",'caseload data'!$C:$C,'custody %'!$B$50),"")</f>
        <v/>
      </c>
      <c r="D54" s="187" t="str">
        <f>IFERROR(SUMIFS('caseload data'!F:F,'caseload data'!$C:$C,'custody %'!$B$50,'caseload data'!$D:$D,"TPO",'caseload data'!$B:$B,"custody")/SUMIFS('caseload data'!F:F,'caseload data'!$B:$B,"custody",'caseload data'!$C:$C,'custody %'!$B$50),"")</f>
        <v/>
      </c>
      <c r="E54" s="187" t="str">
        <f>IFERROR(SUMIFS('caseload data'!G:G,'caseload data'!$C:$C,'custody %'!$B$50,'caseload data'!$D:$D,"TPO",'caseload data'!$B:$B,"custody")/SUMIFS('caseload data'!G:G,'caseload data'!$B:$B,"custody",'caseload data'!$C:$C,'custody %'!$B$50),"")</f>
        <v/>
      </c>
      <c r="F54" s="187" t="str">
        <f>IFERROR(SUMIFS('caseload data'!H:H,'caseload data'!$C:$C,'custody %'!$B$50,'caseload data'!$D:$D,"TPO",'caseload data'!$B:$B,"custody")/SUMIFS('caseload data'!H:H,'caseload data'!$B:$B,"custody",'caseload data'!$C:$C,'custody %'!$B$50),"")</f>
        <v/>
      </c>
      <c r="G54" s="187" t="str">
        <f>IFERROR(SUMIFS('caseload data'!I:I,'caseload data'!$C:$C,'custody %'!$B$50,'caseload data'!$D:$D,"TPO",'caseload data'!$B:$B,"custody")/SUMIFS('caseload data'!I:I,'caseload data'!$B:$B,"custody",'caseload data'!$C:$C,'custody %'!$B$50),"")</f>
        <v/>
      </c>
      <c r="H54" s="187" t="str">
        <f>IFERROR(SUMIFS('caseload data'!J:J,'caseload data'!$C:$C,'custody %'!$B$50,'caseload data'!$D:$D,"TPO",'caseload data'!$B:$B,"custody")/SUMIFS('caseload data'!J:J,'caseload data'!$B:$B,"custody",'caseload data'!$C:$C,'custody %'!$B$50),"")</f>
        <v/>
      </c>
      <c r="I54" s="187" t="str">
        <f>IFERROR(SUMIFS('caseload data'!K:K,'caseload data'!$C:$C,'custody %'!$B$50,'caseload data'!$D:$D,"TPO",'caseload data'!$B:$B,"custody")/SUMIFS('caseload data'!K:K,'caseload data'!$B:$B,"custody",'caseload data'!$C:$C,'custody %'!$B$50),"")</f>
        <v/>
      </c>
      <c r="J54" s="187" t="str">
        <f>IFERROR(SUMIFS('caseload data'!L:L,'caseload data'!$C:$C,'custody %'!$B$50,'caseload data'!$D:$D,"TPO",'caseload data'!$B:$B,"custody")/SUMIFS('caseload data'!L:L,'caseload data'!$B:$B,"custody",'caseload data'!$C:$C,'custody %'!$B$50),"")</f>
        <v/>
      </c>
      <c r="K54" s="187" t="str">
        <f>IFERROR(SUMIFS('caseload data'!M:M,'caseload data'!$C:$C,'custody %'!$B$50,'caseload data'!$D:$D,"TPO",'caseload data'!$B:$B,"custody")/SUMIFS('caseload data'!M:M,'caseload data'!$B:$B,"custody",'caseload data'!$C:$C,'custody %'!$B$50),"")</f>
        <v/>
      </c>
      <c r="L54" s="187" t="str">
        <f>IFERROR(SUMIFS('caseload data'!N:N,'caseload data'!$C:$C,'custody %'!$B$50,'caseload data'!$D:$D,"TPO",'caseload data'!$B:$B,"custody")/SUMIFS('caseload data'!N:N,'caseload data'!$B:$B,"custody",'caseload data'!$C:$C,'custody %'!$B$50),"")</f>
        <v/>
      </c>
      <c r="M54" s="187" t="str">
        <f>IFERROR(SUMIFS('caseload data'!O:O,'caseload data'!$C:$C,'custody %'!$B$50,'caseload data'!$D:$D,"TPO",'caseload data'!$B:$B,"custody")/SUMIFS('caseload data'!O:O,'caseload data'!$B:$B,"custody",'caseload data'!$C:$C,'custody %'!$B$50),"")</f>
        <v/>
      </c>
      <c r="N54" s="187" t="str">
        <f>IFERROR(SUMIFS('caseload data'!P:P,'caseload data'!$C:$C,'custody %'!$B$50,'caseload data'!$D:$D,"TPO",'caseload data'!$B:$B,"custody")/SUMIFS('caseload data'!P:P,'caseload data'!$B:$B,"custody",'caseload data'!$C:$C,'custody %'!$B$50),"")</f>
        <v/>
      </c>
      <c r="O54" s="187" t="str">
        <f>IFERROR(SUMIFS('caseload data'!Q:Q,'caseload data'!$C:$C,'custody %'!$B$50,'caseload data'!$D:$D,"TPO",'caseload data'!$B:$B,"custody")/SUMIFS('caseload data'!Q:Q,'caseload data'!$B:$B,"custody",'caseload data'!$C:$C,'custody %'!$B$50),"")</f>
        <v/>
      </c>
      <c r="P54" s="187" t="str">
        <f>IFERROR(SUMIFS('caseload data'!R:R,'caseload data'!$C:$C,'custody %'!$B$50,'caseload data'!$D:$D,"TPO",'caseload data'!$B:$B,"custody")/SUMIFS('caseload data'!R:R,'caseload data'!$B:$B,"custody",'caseload data'!$C:$C,'custody %'!$B$50),"")</f>
        <v/>
      </c>
      <c r="Q54" s="187" t="str">
        <f>IFERROR(SUMIFS('caseload data'!S:S,'caseload data'!$C:$C,'custody %'!$B$50,'caseload data'!$D:$D,"TPO",'caseload data'!$B:$B,"custody")/SUMIFS('caseload data'!S:S,'caseload data'!$B:$B,"custody",'caseload data'!$C:$C,'custody %'!$B$50),"")</f>
        <v/>
      </c>
      <c r="R54" s="187" t="str">
        <f>IFERROR(SUMIFS('caseload data'!T:T,'caseload data'!$C:$C,'custody %'!$B$50,'caseload data'!$D:$D,"TPO",'caseload data'!$B:$B,"custody")/SUMIFS('caseload data'!T:T,'caseload data'!$B:$B,"custody",'caseload data'!$C:$C,'custody %'!$B$50),"")</f>
        <v/>
      </c>
      <c r="S54" s="76"/>
      <c r="T54" s="110" t="s">
        <v>1039</v>
      </c>
      <c r="U54" s="187" t="str">
        <f>IFERROR(SUMIFS('caseload data'!E:E,'caseload data'!$C:$C,'custody %'!$T$50,'caseload data'!$D:$D,"TPO",'caseload data'!$B:$B,"custody")/SUMIFS('caseload data'!E:E,'caseload data'!$B:$B,"custody",'caseload data'!$C:$C,'custody %'!$T$50),"")</f>
        <v/>
      </c>
      <c r="V54" s="187" t="str">
        <f>IFERROR(SUMIFS('caseload data'!F:F,'caseload data'!$C:$C,'custody %'!$T$50,'caseload data'!$D:$D,"TPO",'caseload data'!$B:$B,"custody")/SUMIFS('caseload data'!F:F,'caseload data'!$B:$B,"custody",'caseload data'!$C:$C,'custody %'!$T$50),"")</f>
        <v/>
      </c>
      <c r="W54" s="187" t="str">
        <f>IFERROR(SUMIFS('caseload data'!G:G,'caseload data'!$C:$C,'custody %'!$T$50,'caseload data'!$D:$D,"TPO",'caseload data'!$B:$B,"custody")/SUMIFS('caseload data'!G:G,'caseload data'!$B:$B,"custody",'caseload data'!$C:$C,'custody %'!$T$50),"")</f>
        <v/>
      </c>
      <c r="X54" s="187" t="str">
        <f>IFERROR(SUMIFS('caseload data'!H:H,'caseload data'!$C:$C,'custody %'!$T$50,'caseload data'!$D:$D,"TPO",'caseload data'!$B:$B,"custody")/SUMIFS('caseload data'!H:H,'caseload data'!$B:$B,"custody",'caseload data'!$C:$C,'custody %'!$T$50),"")</f>
        <v/>
      </c>
      <c r="Y54" s="187" t="str">
        <f>IFERROR(SUMIFS('caseload data'!I:I,'caseload data'!$C:$C,'custody %'!$T$50,'caseload data'!$D:$D,"TPO",'caseload data'!$B:$B,"custody")/SUMIFS('caseload data'!I:I,'caseload data'!$B:$B,"custody",'caseload data'!$C:$C,'custody %'!$T$50),"")</f>
        <v/>
      </c>
      <c r="Z54" s="187" t="str">
        <f>IFERROR(SUMIFS('caseload data'!J:J,'caseload data'!$C:$C,'custody %'!$T$50,'caseload data'!$D:$D,"TPO",'caseload data'!$B:$B,"custody")/SUMIFS('caseload data'!J:J,'caseload data'!$B:$B,"custody",'caseload data'!$C:$C,'custody %'!$T$50),"")</f>
        <v/>
      </c>
      <c r="AA54" s="187" t="str">
        <f>IFERROR(SUMIFS('caseload data'!K:K,'caseload data'!$C:$C,'custody %'!$T$50,'caseload data'!$D:$D,"TPO",'caseload data'!$B:$B,"custody")/SUMIFS('caseload data'!K:K,'caseload data'!$B:$B,"custody",'caseload data'!$C:$C,'custody %'!$T$50),"")</f>
        <v/>
      </c>
      <c r="AB54" s="187" t="str">
        <f>IFERROR(SUMIFS('caseload data'!L:L,'caseload data'!$C:$C,'custody %'!$T$50,'caseload data'!$D:$D,"TPO",'caseload data'!$B:$B,"custody")/SUMIFS('caseload data'!L:L,'caseload data'!$B:$B,"custody",'caseload data'!$C:$C,'custody %'!$T$50),"")</f>
        <v/>
      </c>
      <c r="AC54" s="187" t="str">
        <f>IFERROR(SUMIFS('caseload data'!M:M,'caseload data'!$C:$C,'custody %'!$T$50,'caseload data'!$D:$D,"TPO",'caseload data'!$B:$B,"custody")/SUMIFS('caseload data'!M:M,'caseload data'!$B:$B,"custody",'caseload data'!$C:$C,'custody %'!$T$50),"")</f>
        <v/>
      </c>
      <c r="AD54" s="187" t="str">
        <f>IFERROR(SUMIFS('caseload data'!N:N,'caseload data'!$C:$C,'custody %'!$T$50,'caseload data'!$D:$D,"TPO",'caseload data'!$B:$B,"custody")/SUMIFS('caseload data'!N:N,'caseload data'!$B:$B,"custody",'caseload data'!$C:$C,'custody %'!$T$50),"")</f>
        <v/>
      </c>
      <c r="AE54" s="187" t="str">
        <f>IFERROR(SUMIFS('caseload data'!O:O,'caseload data'!$C:$C,'custody %'!$T$50,'caseload data'!$D:$D,"TPO",'caseload data'!$B:$B,"custody")/SUMIFS('caseload data'!O:O,'caseload data'!$B:$B,"custody",'caseload data'!$C:$C,'custody %'!$T$50),"")</f>
        <v/>
      </c>
      <c r="AF54" s="187" t="str">
        <f>IFERROR(SUMIFS('caseload data'!P:P,'caseload data'!$C:$C,'custody %'!$T$50,'caseload data'!$D:$D,"TPO",'caseload data'!$B:$B,"custody")/SUMIFS('caseload data'!P:P,'caseload data'!$B:$B,"custody",'caseload data'!$C:$C,'custody %'!$T$50),"")</f>
        <v/>
      </c>
      <c r="AG54" s="187" t="str">
        <f>IFERROR(SUMIFS('caseload data'!Q:Q,'caseload data'!$C:$C,'custody %'!$T$50,'caseload data'!$D:$D,"TPO",'caseload data'!$B:$B,"custody")/SUMIFS('caseload data'!Q:Q,'caseload data'!$B:$B,"custody",'caseload data'!$C:$C,'custody %'!$T$50),"")</f>
        <v/>
      </c>
      <c r="AH54" s="187" t="str">
        <f>IFERROR(SUMIFS('caseload data'!R:R,'caseload data'!$C:$C,'custody %'!$T$50,'caseload data'!$D:$D,"TPO",'caseload data'!$B:$B,"custody")/SUMIFS('caseload data'!R:R,'caseload data'!$B:$B,"custody",'caseload data'!$C:$C,'custody %'!$T$50),"")</f>
        <v/>
      </c>
      <c r="AI54" s="187"/>
      <c r="AJ54" s="187"/>
    </row>
    <row r="55" spans="2:36" x14ac:dyDescent="0.15">
      <c r="B55" s="111" t="s">
        <v>1040</v>
      </c>
      <c r="C55" s="187" t="str">
        <f>IFERROR(SUMIFS('caseload data'!E:E,'caseload data'!$C:$C,'custody %'!$B$50,'caseload data'!$D:$D,"SPO",'caseload data'!$B:$B,"custody")/SUMIFS('caseload data'!E:E,'caseload data'!$B:$B,"custody",'caseload data'!$C:$C,'custody %'!$B$50),"")</f>
        <v/>
      </c>
      <c r="D55" s="187" t="str">
        <f>IFERROR(SUMIFS('caseload data'!F:F,'caseload data'!$C:$C,'custody %'!$B$50,'caseload data'!$D:$D,"SPO",'caseload data'!$B:$B,"custody")/SUMIFS('caseload data'!F:F,'caseload data'!$B:$B,"custody",'caseload data'!$C:$C,'custody %'!$B$50),"")</f>
        <v/>
      </c>
      <c r="E55" s="187" t="str">
        <f>IFERROR(SUMIFS('caseload data'!G:G,'caseload data'!$C:$C,'custody %'!$B$50,'caseload data'!$D:$D,"SPO",'caseload data'!$B:$B,"custody")/SUMIFS('caseload data'!G:G,'caseload data'!$B:$B,"custody",'caseload data'!$C:$C,'custody %'!$B$50),"")</f>
        <v/>
      </c>
      <c r="F55" s="187" t="str">
        <f>IFERROR(SUMIFS('caseload data'!H:H,'caseload data'!$C:$C,'custody %'!$B$50,'caseload data'!$D:$D,"SPO",'caseload data'!$B:$B,"custody")/SUMIFS('caseload data'!H:H,'caseload data'!$B:$B,"custody",'caseload data'!$C:$C,'custody %'!$B$50),"")</f>
        <v/>
      </c>
      <c r="G55" s="187" t="str">
        <f>IFERROR(SUMIFS('caseload data'!I:I,'caseload data'!$C:$C,'custody %'!$B$50,'caseload data'!$D:$D,"SPO",'caseload data'!$B:$B,"custody")/SUMIFS('caseload data'!I:I,'caseload data'!$B:$B,"custody",'caseload data'!$C:$C,'custody %'!$B$50),"")</f>
        <v/>
      </c>
      <c r="H55" s="187" t="str">
        <f>IFERROR(SUMIFS('caseload data'!J:J,'caseload data'!$C:$C,'custody %'!$B$50,'caseload data'!$D:$D,"SPO",'caseload data'!$B:$B,"custody")/SUMIFS('caseload data'!J:J,'caseload data'!$B:$B,"custody",'caseload data'!$C:$C,'custody %'!$B$50),"")</f>
        <v/>
      </c>
      <c r="I55" s="187" t="str">
        <f>IFERROR(SUMIFS('caseload data'!K:K,'caseload data'!$C:$C,'custody %'!$B$50,'caseload data'!$D:$D,"SPO",'caseload data'!$B:$B,"custody")/SUMIFS('caseload data'!K:K,'caseload data'!$B:$B,"custody",'caseload data'!$C:$C,'custody %'!$B$50),"")</f>
        <v/>
      </c>
      <c r="J55" s="187" t="str">
        <f>IFERROR(SUMIFS('caseload data'!L:L,'caseload data'!$C:$C,'custody %'!$B$50,'caseload data'!$D:$D,"SPO",'caseload data'!$B:$B,"custody")/SUMIFS('caseload data'!L:L,'caseload data'!$B:$B,"custody",'caseload data'!$C:$C,'custody %'!$B$50),"")</f>
        <v/>
      </c>
      <c r="K55" s="187" t="str">
        <f>IFERROR(SUMIFS('caseload data'!M:M,'caseload data'!$C:$C,'custody %'!$B$50,'caseload data'!$D:$D,"SPO",'caseload data'!$B:$B,"custody")/SUMIFS('caseload data'!M:M,'caseload data'!$B:$B,"custody",'caseload data'!$C:$C,'custody %'!$B$50),"")</f>
        <v/>
      </c>
      <c r="L55" s="187" t="str">
        <f>IFERROR(SUMIFS('caseload data'!N:N,'caseload data'!$C:$C,'custody %'!$B$50,'caseload data'!$D:$D,"SPO",'caseload data'!$B:$B,"custody")/SUMIFS('caseload data'!N:N,'caseload data'!$B:$B,"custody",'caseload data'!$C:$C,'custody %'!$B$50),"")</f>
        <v/>
      </c>
      <c r="M55" s="187" t="str">
        <f>IFERROR(SUMIFS('caseload data'!O:O,'caseload data'!$C:$C,'custody %'!$B$50,'caseload data'!$D:$D,"SPO",'caseload data'!$B:$B,"custody")/SUMIFS('caseload data'!O:O,'caseload data'!$B:$B,"custody",'caseload data'!$C:$C,'custody %'!$B$50),"")</f>
        <v/>
      </c>
      <c r="N55" s="187" t="str">
        <f>IFERROR(SUMIFS('caseload data'!P:P,'caseload data'!$C:$C,'custody %'!$B$50,'caseload data'!$D:$D,"SPO",'caseload data'!$B:$B,"custody")/SUMIFS('caseload data'!P:P,'caseload data'!$B:$B,"custody",'caseload data'!$C:$C,'custody %'!$B$50),"")</f>
        <v/>
      </c>
      <c r="O55" s="187" t="str">
        <f>IFERROR(SUMIFS('caseload data'!Q:Q,'caseload data'!$C:$C,'custody %'!$B$50,'caseload data'!$D:$D,"SPO",'caseload data'!$B:$B,"custody")/SUMIFS('caseload data'!Q:Q,'caseload data'!$B:$B,"custody",'caseload data'!$C:$C,'custody %'!$B$50),"")</f>
        <v/>
      </c>
      <c r="P55" s="187" t="str">
        <f>IFERROR(SUMIFS('caseload data'!R:R,'caseload data'!$C:$C,'custody %'!$B$50,'caseload data'!$D:$D,"SPO",'caseload data'!$B:$B,"custody")/SUMIFS('caseload data'!R:R,'caseload data'!$B:$B,"custody",'caseload data'!$C:$C,'custody %'!$B$50),"")</f>
        <v/>
      </c>
      <c r="Q55" s="187" t="str">
        <f>IFERROR(SUMIFS('caseload data'!S:S,'caseload data'!$C:$C,'custody %'!$B$50,'caseload data'!$D:$D,"SPO",'caseload data'!$B:$B,"custody")/SUMIFS('caseload data'!S:S,'caseload data'!$B:$B,"custody",'caseload data'!$C:$C,'custody %'!$B$50),"")</f>
        <v/>
      </c>
      <c r="R55" s="187" t="str">
        <f>IFERROR(SUMIFS('caseload data'!T:T,'caseload data'!$C:$C,'custody %'!$B$50,'caseload data'!$D:$D,"SPO",'caseload data'!$B:$B,"custody")/SUMIFS('caseload data'!T:T,'caseload data'!$B:$B,"custody",'caseload data'!$C:$C,'custody %'!$B$50),"")</f>
        <v/>
      </c>
      <c r="S55" s="76"/>
      <c r="T55" s="111" t="s">
        <v>1040</v>
      </c>
      <c r="U55" s="187" t="str">
        <f>IFERROR(SUMIFS('caseload data'!E:E,'caseload data'!$C:$C,'custody %'!$T$50,'caseload data'!$D:$D,"SPO",'caseload data'!$B:$B,"custody")/SUMIFS('caseload data'!E:E,'caseload data'!$B:$B,"custody",'caseload data'!$C:$C,'custody %'!$T$50),"")</f>
        <v/>
      </c>
      <c r="V55" s="187" t="str">
        <f>IFERROR(SUMIFS('caseload data'!F:F,'caseload data'!$C:$C,'custody %'!$T$50,'caseload data'!$D:$D,"SPO",'caseload data'!$B:$B,"custody")/SUMIFS('caseload data'!F:F,'caseload data'!$B:$B,"custody",'caseload data'!$C:$C,'custody %'!$T$50),"")</f>
        <v/>
      </c>
      <c r="W55" s="187" t="str">
        <f>IFERROR(SUMIFS('caseload data'!G:G,'caseload data'!$C:$C,'custody %'!$T$50,'caseload data'!$D:$D,"SPO",'caseload data'!$B:$B,"custody")/SUMIFS('caseload data'!G:G,'caseload data'!$B:$B,"custody",'caseload data'!$C:$C,'custody %'!$T$50),"")</f>
        <v/>
      </c>
      <c r="X55" s="187" t="str">
        <f>IFERROR(SUMIFS('caseload data'!H:H,'caseload data'!$C:$C,'custody %'!$T$50,'caseload data'!$D:$D,"SPO",'caseload data'!$B:$B,"custody")/SUMIFS('caseload data'!H:H,'caseload data'!$B:$B,"custody",'caseload data'!$C:$C,'custody %'!$T$50),"")</f>
        <v/>
      </c>
      <c r="Y55" s="187" t="str">
        <f>IFERROR(SUMIFS('caseload data'!I:I,'caseload data'!$C:$C,'custody %'!$T$50,'caseload data'!$D:$D,"SPO",'caseload data'!$B:$B,"custody")/SUMIFS('caseload data'!I:I,'caseload data'!$B:$B,"custody",'caseload data'!$C:$C,'custody %'!$T$50),"")</f>
        <v/>
      </c>
      <c r="Z55" s="187" t="str">
        <f>IFERROR(SUMIFS('caseload data'!J:J,'caseload data'!$C:$C,'custody %'!$T$50,'caseload data'!$D:$D,"SPO",'caseload data'!$B:$B,"custody")/SUMIFS('caseload data'!J:J,'caseload data'!$B:$B,"custody",'caseload data'!$C:$C,'custody %'!$T$50),"")</f>
        <v/>
      </c>
      <c r="AA55" s="187" t="str">
        <f>IFERROR(SUMIFS('caseload data'!K:K,'caseload data'!$C:$C,'custody %'!$T$50,'caseload data'!$D:$D,"SPO",'caseload data'!$B:$B,"custody")/SUMIFS('caseload data'!K:K,'caseload data'!$B:$B,"custody",'caseload data'!$C:$C,'custody %'!$T$50),"")</f>
        <v/>
      </c>
      <c r="AB55" s="187" t="str">
        <f>IFERROR(SUMIFS('caseload data'!L:L,'caseload data'!$C:$C,'custody %'!$T$50,'caseload data'!$D:$D,"SPO",'caseload data'!$B:$B,"custody")/SUMIFS('caseload data'!L:L,'caseload data'!$B:$B,"custody",'caseload data'!$C:$C,'custody %'!$T$50),"")</f>
        <v/>
      </c>
      <c r="AC55" s="187" t="str">
        <f>IFERROR(SUMIFS('caseload data'!M:M,'caseload data'!$C:$C,'custody %'!$T$50,'caseload data'!$D:$D,"SPO",'caseload data'!$B:$B,"custody")/SUMIFS('caseload data'!M:M,'caseload data'!$B:$B,"custody",'caseload data'!$C:$C,'custody %'!$T$50),"")</f>
        <v/>
      </c>
      <c r="AD55" s="187" t="str">
        <f>IFERROR(SUMIFS('caseload data'!N:N,'caseload data'!$C:$C,'custody %'!$T$50,'caseload data'!$D:$D,"SPO",'caseload data'!$B:$B,"custody")/SUMIFS('caseload data'!N:N,'caseload data'!$B:$B,"custody",'caseload data'!$C:$C,'custody %'!$T$50),"")</f>
        <v/>
      </c>
      <c r="AE55" s="187" t="str">
        <f>IFERROR(SUMIFS('caseload data'!O:O,'caseload data'!$C:$C,'custody %'!$T$50,'caseload data'!$D:$D,"SPO",'caseload data'!$B:$B,"custody")/SUMIFS('caseload data'!O:O,'caseload data'!$B:$B,"custody",'caseload data'!$C:$C,'custody %'!$T$50),"")</f>
        <v/>
      </c>
      <c r="AF55" s="187" t="str">
        <f>IFERROR(SUMIFS('caseload data'!P:P,'caseload data'!$C:$C,'custody %'!$T$50,'caseload data'!$D:$D,"SPO",'caseload data'!$B:$B,"custody")/SUMIFS('caseload data'!P:P,'caseload data'!$B:$B,"custody",'caseload data'!$C:$C,'custody %'!$T$50),"")</f>
        <v/>
      </c>
      <c r="AG55" s="187" t="str">
        <f>IFERROR(SUMIFS('caseload data'!Q:Q,'caseload data'!$C:$C,'custody %'!$T$50,'caseload data'!$D:$D,"SPO",'caseload data'!$B:$B,"custody")/SUMIFS('caseload data'!Q:Q,'caseload data'!$B:$B,"custody",'caseload data'!$C:$C,'custody %'!$T$50),"")</f>
        <v/>
      </c>
      <c r="AH55" s="187" t="str">
        <f>IFERROR(SUMIFS('caseload data'!R:R,'caseload data'!$C:$C,'custody %'!$T$50,'caseload data'!$D:$D,"SPO",'caseload data'!$B:$B,"custody")/SUMIFS('caseload data'!R:R,'caseload data'!$B:$B,"custody",'caseload data'!$C:$C,'custody %'!$T$50),"")</f>
        <v/>
      </c>
      <c r="AI55" s="187"/>
      <c r="AJ55" s="187"/>
    </row>
    <row r="56" spans="2:36" x14ac:dyDescent="0.15">
      <c r="B56" s="104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04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</row>
    <row r="57" spans="2:36" ht="28.5" customHeight="1" x14ac:dyDescent="0.15">
      <c r="B57" s="162" t="str">
        <f>HLOOKUP($B$5,Region_Table,16,0)</f>
        <v>Headquarters - N07</v>
      </c>
      <c r="C57" s="333" t="s">
        <v>1262</v>
      </c>
      <c r="D57" s="334"/>
      <c r="E57" s="334"/>
      <c r="F57" s="334"/>
      <c r="G57" s="334"/>
      <c r="H57" s="334"/>
      <c r="I57" s="334"/>
      <c r="J57" s="334"/>
      <c r="K57" s="334"/>
      <c r="L57" s="334"/>
      <c r="M57" s="343"/>
      <c r="N57" s="343"/>
      <c r="O57" s="344"/>
      <c r="P57" s="337">
        <f>SUMIF('caseload data'!$C:$C,'custody %'!B57,'caseload data'!V:V)</f>
        <v>0</v>
      </c>
      <c r="Q57" s="345"/>
      <c r="R57" s="346"/>
      <c r="S57" s="76"/>
      <c r="T57" s="162" t="str">
        <f>HLOOKUP($B$5,Region_Table,17,0)</f>
        <v>Inactive Level 2(N07)</v>
      </c>
      <c r="U57" s="333" t="s">
        <v>1262</v>
      </c>
      <c r="V57" s="334"/>
      <c r="W57" s="334"/>
      <c r="X57" s="334"/>
      <c r="Y57" s="334"/>
      <c r="Z57" s="334"/>
      <c r="AA57" s="334"/>
      <c r="AB57" s="334"/>
      <c r="AC57" s="343"/>
      <c r="AD57" s="343"/>
      <c r="AE57" s="344"/>
      <c r="AF57" s="337">
        <f>SUMIF('caseload data'!$C:$C,'custody %'!T57,'caseload data'!V:V)</f>
        <v>0</v>
      </c>
      <c r="AG57" s="345"/>
      <c r="AH57" s="346"/>
    </row>
    <row r="58" spans="2:36" x14ac:dyDescent="0.15">
      <c r="B58" s="108" t="s">
        <v>1199</v>
      </c>
      <c r="C58" s="42" t="s">
        <v>1019</v>
      </c>
      <c r="D58" s="42" t="s">
        <v>1020</v>
      </c>
      <c r="E58" s="42" t="s">
        <v>1021</v>
      </c>
      <c r="F58" s="42" t="s">
        <v>1022</v>
      </c>
      <c r="G58" s="42" t="s">
        <v>1023</v>
      </c>
      <c r="H58" s="42" t="s">
        <v>1024</v>
      </c>
      <c r="I58" s="42" t="s">
        <v>1025</v>
      </c>
      <c r="J58" s="42" t="s">
        <v>1026</v>
      </c>
      <c r="K58" s="42" t="s">
        <v>1027</v>
      </c>
      <c r="L58" s="42" t="s">
        <v>1028</v>
      </c>
      <c r="M58" s="42" t="s">
        <v>1029</v>
      </c>
      <c r="N58" s="42" t="s">
        <v>1030</v>
      </c>
      <c r="O58" s="42" t="s">
        <v>1031</v>
      </c>
      <c r="P58" s="42" t="s">
        <v>1032</v>
      </c>
      <c r="Q58" s="42" t="s">
        <v>1033</v>
      </c>
      <c r="R58" s="42" t="s">
        <v>1034</v>
      </c>
      <c r="S58" s="76"/>
      <c r="T58" s="108" t="s">
        <v>1199</v>
      </c>
      <c r="U58" s="42" t="s">
        <v>1019</v>
      </c>
      <c r="V58" s="42" t="s">
        <v>1020</v>
      </c>
      <c r="W58" s="42" t="s">
        <v>1021</v>
      </c>
      <c r="X58" s="42" t="s">
        <v>1022</v>
      </c>
      <c r="Y58" s="42" t="s">
        <v>1023</v>
      </c>
      <c r="Z58" s="42" t="s">
        <v>1024</v>
      </c>
      <c r="AA58" s="42" t="s">
        <v>1025</v>
      </c>
      <c r="AB58" s="42" t="s">
        <v>1026</v>
      </c>
      <c r="AC58" s="42" t="s">
        <v>1027</v>
      </c>
      <c r="AD58" s="42" t="s">
        <v>1028</v>
      </c>
      <c r="AE58" s="42" t="s">
        <v>1029</v>
      </c>
      <c r="AF58" s="42" t="s">
        <v>1030</v>
      </c>
      <c r="AG58" s="42" t="s">
        <v>1031</v>
      </c>
      <c r="AH58" s="42" t="s">
        <v>1032</v>
      </c>
      <c r="AI58" s="42" t="s">
        <v>1033</v>
      </c>
      <c r="AJ58" s="42" t="s">
        <v>1034</v>
      </c>
    </row>
    <row r="59" spans="2:36" x14ac:dyDescent="0.15">
      <c r="B59" s="109" t="s">
        <v>1037</v>
      </c>
      <c r="C59" s="187" t="str">
        <f>IFERROR(SUMIFS('caseload data'!E:E,'caseload data'!$C:$C,'custody %'!$B$57,'caseload data'!$D:$D,"PO",'caseload data'!$B:$B,"custody")/SUMIFS('caseload data'!E:E,'caseload data'!$B:$B,"custody",'caseload data'!$C:$C,'custody %'!$B$57),"")</f>
        <v/>
      </c>
      <c r="D59" s="187" t="str">
        <f>IFERROR(SUMIFS('caseload data'!F:F,'caseload data'!$C:$C,'custody %'!$B$57,'caseload data'!$D:$D,"PO",'caseload data'!$B:$B,"custody")/SUMIFS('caseload data'!F:F,'caseload data'!$B:$B,"custody",'caseload data'!$C:$C,'custody %'!$B$57),"")</f>
        <v/>
      </c>
      <c r="E59" s="187" t="str">
        <f>IFERROR(SUMIFS('caseload data'!G:G,'caseload data'!$C:$C,'custody %'!$B$57,'caseload data'!$D:$D,"PO",'caseload data'!$B:$B,"custody")/SUMIFS('caseload data'!G:G,'caseload data'!$B:$B,"custody",'caseload data'!$C:$C,'custody %'!$B$57),"")</f>
        <v/>
      </c>
      <c r="F59" s="187" t="str">
        <f>IFERROR(SUMIFS('caseload data'!H:H,'caseload data'!$C:$C,'custody %'!$B$57,'caseload data'!$D:$D,"PO",'caseload data'!$B:$B,"custody")/SUMIFS('caseload data'!H:H,'caseload data'!$B:$B,"custody",'caseload data'!$C:$C,'custody %'!$B$57),"")</f>
        <v/>
      </c>
      <c r="G59" s="187" t="str">
        <f>IFERROR(SUMIFS('caseload data'!I:I,'caseload data'!$C:$C,'custody %'!$B$57,'caseload data'!$D:$D,"PO",'caseload data'!$B:$B,"custody")/SUMIFS('caseload data'!I:I,'caseload data'!$B:$B,"custody",'caseload data'!$C:$C,'custody %'!$B$57),"")</f>
        <v/>
      </c>
      <c r="H59" s="187" t="str">
        <f>IFERROR(SUMIFS('caseload data'!J:J,'caseload data'!$C:$C,'custody %'!$B$57,'caseload data'!$D:$D,"PO",'caseload data'!$B:$B,"custody")/SUMIFS('caseload data'!J:J,'caseload data'!$B:$B,"custody",'caseload data'!$C:$C,'custody %'!$B$57),"")</f>
        <v/>
      </c>
      <c r="I59" s="187" t="str">
        <f>IFERROR(SUMIFS('caseload data'!K:K,'caseload data'!$C:$C,'custody %'!$B$57,'caseload data'!$D:$D,"PO",'caseload data'!$B:$B,"custody")/SUMIFS('caseload data'!K:K,'caseload data'!$B:$B,"custody",'caseload data'!$C:$C,'custody %'!$B$57),"")</f>
        <v/>
      </c>
      <c r="J59" s="187" t="str">
        <f>IFERROR(SUMIFS('caseload data'!L:L,'caseload data'!$C:$C,'custody %'!$B$57,'caseload data'!$D:$D,"PO",'caseload data'!$B:$B,"custody")/SUMIFS('caseload data'!L:L,'caseload data'!$B:$B,"custody",'caseload data'!$C:$C,'custody %'!$B$57),"")</f>
        <v/>
      </c>
      <c r="K59" s="187" t="str">
        <f>IFERROR(SUMIFS('caseload data'!M:M,'caseload data'!$C:$C,'custody %'!$B$57,'caseload data'!$D:$D,"PO",'caseload data'!$B:$B,"custody")/SUMIFS('caseload data'!M:M,'caseload data'!$B:$B,"custody",'caseload data'!$C:$C,'custody %'!$B$57),"")</f>
        <v/>
      </c>
      <c r="L59" s="187" t="str">
        <f>IFERROR(SUMIFS('caseload data'!N:N,'caseload data'!$C:$C,'custody %'!$B$57,'caseload data'!$D:$D,"PO",'caseload data'!$B:$B,"custody")/SUMIFS('caseload data'!N:N,'caseload data'!$B:$B,"custody",'caseload data'!$C:$C,'custody %'!$B$57),"")</f>
        <v/>
      </c>
      <c r="M59" s="187" t="str">
        <f>IFERROR(SUMIFS('caseload data'!O:O,'caseload data'!$C:$C,'custody %'!$B$57,'caseload data'!$D:$D,"PO",'caseload data'!$B:$B,"custody")/SUMIFS('caseload data'!O:O,'caseload data'!$B:$B,"custody",'caseload data'!$C:$C,'custody %'!$B$57),"")</f>
        <v/>
      </c>
      <c r="N59" s="187" t="str">
        <f>IFERROR(SUMIFS('caseload data'!P:P,'caseload data'!$C:$C,'custody %'!$B$57,'caseload data'!$D:$D,"PO",'caseload data'!$B:$B,"custody")/SUMIFS('caseload data'!P:P,'caseload data'!$B:$B,"custody",'caseload data'!$C:$C,'custody %'!$B$57),"")</f>
        <v/>
      </c>
      <c r="O59" s="187" t="str">
        <f>IFERROR(SUMIFS('caseload data'!Q:Q,'caseload data'!$C:$C,'custody %'!$B$57,'caseload data'!$D:$D,"PO",'caseload data'!$B:$B,"custody")/SUMIFS('caseload data'!Q:Q,'caseload data'!$B:$B,"custody",'caseload data'!$C:$C,'custody %'!$B$57),"")</f>
        <v/>
      </c>
      <c r="P59" s="187" t="str">
        <f>IFERROR(SUMIFS('caseload data'!R:R,'caseload data'!$C:$C,'custody %'!$B$57,'caseload data'!$D:$D,"PO",'caseload data'!$B:$B,"custody")/SUMIFS('caseload data'!R:R,'caseload data'!$B:$B,"custody",'caseload data'!$C:$C,'custody %'!$B$57),"")</f>
        <v/>
      </c>
      <c r="Q59" s="187" t="str">
        <f>IFERROR(SUMIFS('caseload data'!S:S,'caseload data'!$C:$C,'custody %'!$B$57,'caseload data'!$D:$D,"PO",'caseload data'!$B:$B,"custody")/SUMIFS('caseload data'!S:S,'caseload data'!$B:$B,"custody",'caseload data'!$C:$C,'custody %'!$B$57),"")</f>
        <v/>
      </c>
      <c r="R59" s="187" t="str">
        <f>IFERROR(SUMIFS('caseload data'!T:T,'caseload data'!$C:$C,'custody %'!$B$57,'caseload data'!$D:$D,"PO",'caseload data'!$B:$B,"custody")/SUMIFS('caseload data'!T:T,'caseload data'!$B:$B,"custody",'caseload data'!$C:$C,'custody %'!$B$57),"")</f>
        <v/>
      </c>
      <c r="S59" s="76"/>
      <c r="T59" s="109" t="s">
        <v>1037</v>
      </c>
      <c r="U59" s="187" t="str">
        <f>IFERROR(SUMIFS('caseload data'!E:E,'caseload data'!$C:$C,'custody %'!$T$57,'caseload data'!$D:$D,"PO",'caseload data'!$B:$B,"custody")/SUMIFS('caseload data'!E:E,'caseload data'!$B:$B,"custody",'caseload data'!$C:$C,'custody %'!$T$57),"")</f>
        <v/>
      </c>
      <c r="V59" s="187" t="str">
        <f>IFERROR(SUMIFS('caseload data'!F:F,'caseload data'!$C:$C,'custody %'!$T$57,'caseload data'!$D:$D,"PO",'caseload data'!$B:$B,"custody")/SUMIFS('caseload data'!F:F,'caseload data'!$B:$B,"custody",'caseload data'!$C:$C,'custody %'!$T$57),"")</f>
        <v/>
      </c>
      <c r="W59" s="187" t="str">
        <f>IFERROR(SUMIFS('caseload data'!G:G,'caseload data'!$C:$C,'custody %'!$T$57,'caseload data'!$D:$D,"PO",'caseload data'!$B:$B,"custody")/SUMIFS('caseload data'!G:G,'caseload data'!$B:$B,"custody",'caseload data'!$C:$C,'custody %'!$T$57),"")</f>
        <v/>
      </c>
      <c r="X59" s="187" t="str">
        <f>IFERROR(SUMIFS('caseload data'!H:H,'caseload data'!$C:$C,'custody %'!$T$57,'caseload data'!$D:$D,"PO",'caseload data'!$B:$B,"custody")/SUMIFS('caseload data'!H:H,'caseload data'!$B:$B,"custody",'caseload data'!$C:$C,'custody %'!$T$57),"")</f>
        <v/>
      </c>
      <c r="Y59" s="187" t="str">
        <f>IFERROR(SUMIFS('caseload data'!I:I,'caseload data'!$C:$C,'custody %'!$T$57,'caseload data'!$D:$D,"PO",'caseload data'!$B:$B,"custody")/SUMIFS('caseload data'!I:I,'caseload data'!$B:$B,"custody",'caseload data'!$C:$C,'custody %'!$T$57),"")</f>
        <v/>
      </c>
      <c r="Z59" s="187" t="str">
        <f>IFERROR(SUMIFS('caseload data'!J:J,'caseload data'!$C:$C,'custody %'!$T$57,'caseload data'!$D:$D,"PO",'caseload data'!$B:$B,"custody")/SUMIFS('caseload data'!J:J,'caseload data'!$B:$B,"custody",'caseload data'!$C:$C,'custody %'!$T$57),"")</f>
        <v/>
      </c>
      <c r="AA59" s="187" t="str">
        <f>IFERROR(SUMIFS('caseload data'!K:K,'caseload data'!$C:$C,'custody %'!$T$57,'caseload data'!$D:$D,"PO",'caseload data'!$B:$B,"custody")/SUMIFS('caseload data'!K:K,'caseload data'!$B:$B,"custody",'caseload data'!$C:$C,'custody %'!$T$57),"")</f>
        <v/>
      </c>
      <c r="AB59" s="187" t="str">
        <f>IFERROR(SUMIFS('caseload data'!L:L,'caseload data'!$C:$C,'custody %'!$T$57,'caseload data'!$D:$D,"PO",'caseload data'!$B:$B,"custody")/SUMIFS('caseload data'!L:L,'caseload data'!$B:$B,"custody",'caseload data'!$C:$C,'custody %'!$T$57),"")</f>
        <v/>
      </c>
      <c r="AC59" s="187" t="str">
        <f>IFERROR(SUMIFS('caseload data'!M:M,'caseload data'!$C:$C,'custody %'!$T$57,'caseload data'!$D:$D,"PO",'caseload data'!$B:$B,"custody")/SUMIFS('caseload data'!M:M,'caseload data'!$B:$B,"custody",'caseload data'!$C:$C,'custody %'!$T$57),"")</f>
        <v/>
      </c>
      <c r="AD59" s="187" t="str">
        <f>IFERROR(SUMIFS('caseload data'!N:N,'caseload data'!$C:$C,'custody %'!$T$57,'caseload data'!$D:$D,"PO",'caseload data'!$B:$B,"custody")/SUMIFS('caseload data'!N:N,'caseload data'!$B:$B,"custody",'caseload data'!$C:$C,'custody %'!$T$57),"")</f>
        <v/>
      </c>
      <c r="AE59" s="187" t="str">
        <f>IFERROR(SUMIFS('caseload data'!O:O,'caseload data'!$C:$C,'custody %'!$T$57,'caseload data'!$D:$D,"PO",'caseload data'!$B:$B,"custody")/SUMIFS('caseload data'!O:O,'caseload data'!$B:$B,"custody",'caseload data'!$C:$C,'custody %'!$T$57),"")</f>
        <v/>
      </c>
      <c r="AF59" s="187" t="str">
        <f>IFERROR(SUMIFS('caseload data'!P:P,'caseload data'!$C:$C,'custody %'!$T$57,'caseload data'!$D:$D,"PO",'caseload data'!$B:$B,"custody")/SUMIFS('caseload data'!P:P,'caseload data'!$B:$B,"custody",'caseload data'!$C:$C,'custody %'!$T$57),"")</f>
        <v/>
      </c>
      <c r="AG59" s="187" t="str">
        <f>IFERROR(SUMIFS('caseload data'!Q:Q,'caseload data'!$C:$C,'custody %'!$T$57,'caseload data'!$D:$D,"PO",'caseload data'!$B:$B,"custody")/SUMIFS('caseload data'!Q:Q,'caseload data'!$B:$B,"custody",'caseload data'!$C:$C,'custody %'!$T$57),"")</f>
        <v/>
      </c>
      <c r="AH59" s="187" t="str">
        <f>IFERROR(SUMIFS('caseload data'!R:R,'caseload data'!$C:$C,'custody %'!$T$57,'caseload data'!$D:$D,"PO",'caseload data'!$B:$B,"custody")/SUMIFS('caseload data'!R:R,'caseload data'!$B:$B,"custody",'caseload data'!$C:$C,'custody %'!$T$57),"")</f>
        <v/>
      </c>
      <c r="AI59" s="187"/>
      <c r="AJ59" s="187"/>
    </row>
    <row r="60" spans="2:36" x14ac:dyDescent="0.15">
      <c r="B60" s="110" t="s">
        <v>1038</v>
      </c>
      <c r="C60" s="187" t="str">
        <f>IFERROR(SUMIFS('caseload data'!E:E,'caseload data'!$C:$C,'custody %'!$B$57,'caseload data'!$D:$D,"PSO",'caseload data'!$B:$B,"custody")/SUMIFS('caseload data'!E:E,'caseload data'!$B:$B,"custody",'caseload data'!$C:$C,'custody %'!$B$57),"")</f>
        <v/>
      </c>
      <c r="D60" s="187" t="str">
        <f>IFERROR(SUMIFS('caseload data'!F:F,'caseload data'!$C:$C,'custody %'!$B$57,'caseload data'!$D:$D,"PSO",'caseload data'!$B:$B,"custody")/SUMIFS('caseload data'!F:F,'caseload data'!$B:$B,"custody",'caseload data'!$C:$C,'custody %'!$B$57),"")</f>
        <v/>
      </c>
      <c r="E60" s="187" t="str">
        <f>IFERROR(SUMIFS('caseload data'!G:G,'caseload data'!$C:$C,'custody %'!$B$57,'caseload data'!$D:$D,"PSO",'caseload data'!$B:$B,"custody")/SUMIFS('caseload data'!G:G,'caseload data'!$B:$B,"custody",'caseload data'!$C:$C,'custody %'!$B$57),"")</f>
        <v/>
      </c>
      <c r="F60" s="187" t="str">
        <f>IFERROR(SUMIFS('caseload data'!H:H,'caseload data'!$C:$C,'custody %'!$B$57,'caseload data'!$D:$D,"PSO",'caseload data'!$B:$B,"custody")/SUMIFS('caseload data'!H:H,'caseload data'!$B:$B,"custody",'caseload data'!$C:$C,'custody %'!$B$57),"")</f>
        <v/>
      </c>
      <c r="G60" s="187" t="str">
        <f>IFERROR(SUMIFS('caseload data'!I:I,'caseload data'!$C:$C,'custody %'!$B$57,'caseload data'!$D:$D,"PSO",'caseload data'!$B:$B,"custody")/SUMIFS('caseload data'!I:I,'caseload data'!$B:$B,"custody",'caseload data'!$C:$C,'custody %'!$B$57),"")</f>
        <v/>
      </c>
      <c r="H60" s="187" t="str">
        <f>IFERROR(SUMIFS('caseload data'!J:J,'caseload data'!$C:$C,'custody %'!$B$57,'caseload data'!$D:$D,"PSO",'caseload data'!$B:$B,"custody")/SUMIFS('caseload data'!J:J,'caseload data'!$B:$B,"custody",'caseload data'!$C:$C,'custody %'!$B$57),"")</f>
        <v/>
      </c>
      <c r="I60" s="187" t="str">
        <f>IFERROR(SUMIFS('caseload data'!K:K,'caseload data'!$C:$C,'custody %'!$B$57,'caseload data'!$D:$D,"PSO",'caseload data'!$B:$B,"custody")/SUMIFS('caseload data'!K:K,'caseload data'!$B:$B,"custody",'caseload data'!$C:$C,'custody %'!$B$57),"")</f>
        <v/>
      </c>
      <c r="J60" s="187" t="str">
        <f>IFERROR(SUMIFS('caseload data'!L:L,'caseload data'!$C:$C,'custody %'!$B$57,'caseload data'!$D:$D,"PSO",'caseload data'!$B:$B,"custody")/SUMIFS('caseload data'!L:L,'caseload data'!$B:$B,"custody",'caseload data'!$C:$C,'custody %'!$B$57),"")</f>
        <v/>
      </c>
      <c r="K60" s="187" t="str">
        <f>IFERROR(SUMIFS('caseload data'!M:M,'caseload data'!$C:$C,'custody %'!$B$57,'caseload data'!$D:$D,"PSO",'caseload data'!$B:$B,"custody")/SUMIFS('caseload data'!M:M,'caseload data'!$B:$B,"custody",'caseload data'!$C:$C,'custody %'!$B$57),"")</f>
        <v/>
      </c>
      <c r="L60" s="187" t="str">
        <f>IFERROR(SUMIFS('caseload data'!N:N,'caseload data'!$C:$C,'custody %'!$B$57,'caseload data'!$D:$D,"PSO",'caseload data'!$B:$B,"custody")/SUMIFS('caseload data'!N:N,'caseload data'!$B:$B,"custody",'caseload data'!$C:$C,'custody %'!$B$57),"")</f>
        <v/>
      </c>
      <c r="M60" s="187" t="str">
        <f>IFERROR(SUMIFS('caseload data'!O:O,'caseload data'!$C:$C,'custody %'!$B$57,'caseload data'!$D:$D,"PSO",'caseload data'!$B:$B,"custody")/SUMIFS('caseload data'!O:O,'caseload data'!$B:$B,"custody",'caseload data'!$C:$C,'custody %'!$B$57),"")</f>
        <v/>
      </c>
      <c r="N60" s="187" t="str">
        <f>IFERROR(SUMIFS('caseload data'!P:P,'caseload data'!$C:$C,'custody %'!$B$57,'caseload data'!$D:$D,"PSO",'caseload data'!$B:$B,"custody")/SUMIFS('caseload data'!P:P,'caseload data'!$B:$B,"custody",'caseload data'!$C:$C,'custody %'!$B$57),"")</f>
        <v/>
      </c>
      <c r="O60" s="187" t="str">
        <f>IFERROR(SUMIFS('caseload data'!Q:Q,'caseload data'!$C:$C,'custody %'!$B$57,'caseload data'!$D:$D,"PSO",'caseload data'!$B:$B,"custody")/SUMIFS('caseload data'!Q:Q,'caseload data'!$B:$B,"custody",'caseload data'!$C:$C,'custody %'!$B$57),"")</f>
        <v/>
      </c>
      <c r="P60" s="187" t="str">
        <f>IFERROR(SUMIFS('caseload data'!R:R,'caseload data'!$C:$C,'custody %'!$B$57,'caseload data'!$D:$D,"PSO",'caseload data'!$B:$B,"custody")/SUMIFS('caseload data'!R:R,'caseload data'!$B:$B,"custody",'caseload data'!$C:$C,'custody %'!$B$57),"")</f>
        <v/>
      </c>
      <c r="Q60" s="187" t="str">
        <f>IFERROR(SUMIFS('caseload data'!S:S,'caseload data'!$C:$C,'custody %'!$B$57,'caseload data'!$D:$D,"PSO",'caseload data'!$B:$B,"custody")/SUMIFS('caseload data'!S:S,'caseload data'!$B:$B,"custody",'caseload data'!$C:$C,'custody %'!$B$57),"")</f>
        <v/>
      </c>
      <c r="R60" s="187" t="str">
        <f>IFERROR(SUMIFS('caseload data'!T:T,'caseload data'!$C:$C,'custody %'!$B$57,'caseload data'!$D:$D,"PSO",'caseload data'!$B:$B,"custody")/SUMIFS('caseload data'!T:T,'caseload data'!$B:$B,"custody",'caseload data'!$C:$C,'custody %'!$B$57),"")</f>
        <v/>
      </c>
      <c r="S60" s="76"/>
      <c r="T60" s="110" t="s">
        <v>1038</v>
      </c>
      <c r="U60" s="187" t="str">
        <f>IFERROR(SUMIFS('caseload data'!E:E,'caseload data'!$C:$C,'custody %'!$T$57,'caseload data'!$D:$D,"PSO",'caseload data'!$B:$B,"custody")/SUMIFS('caseload data'!E:E,'caseload data'!$B:$B,"custody",'caseload data'!$C:$C,'custody %'!$T$57),"")</f>
        <v/>
      </c>
      <c r="V60" s="187" t="str">
        <f>IFERROR(SUMIFS('caseload data'!F:F,'caseload data'!$C:$C,'custody %'!$T$57,'caseload data'!$D:$D,"PSO",'caseload data'!$B:$B,"custody")/SUMIFS('caseload data'!F:F,'caseload data'!$B:$B,"custody",'caseload data'!$C:$C,'custody %'!$T$57),"")</f>
        <v/>
      </c>
      <c r="W60" s="187" t="str">
        <f>IFERROR(SUMIFS('caseload data'!G:G,'caseload data'!$C:$C,'custody %'!$T$57,'caseload data'!$D:$D,"PSO",'caseload data'!$B:$B,"custody")/SUMIFS('caseload data'!G:G,'caseload data'!$B:$B,"custody",'caseload data'!$C:$C,'custody %'!$T$57),"")</f>
        <v/>
      </c>
      <c r="X60" s="187" t="str">
        <f>IFERROR(SUMIFS('caseload data'!H:H,'caseload data'!$C:$C,'custody %'!$T$57,'caseload data'!$D:$D,"PSO",'caseload data'!$B:$B,"custody")/SUMIFS('caseload data'!H:H,'caseload data'!$B:$B,"custody",'caseload data'!$C:$C,'custody %'!$T$57),"")</f>
        <v/>
      </c>
      <c r="Y60" s="187" t="str">
        <f>IFERROR(SUMIFS('caseload data'!I:I,'caseload data'!$C:$C,'custody %'!$T$57,'caseload data'!$D:$D,"PSO",'caseload data'!$B:$B,"custody")/SUMIFS('caseload data'!I:I,'caseload data'!$B:$B,"custody",'caseload data'!$C:$C,'custody %'!$T$57),"")</f>
        <v/>
      </c>
      <c r="Z60" s="187" t="str">
        <f>IFERROR(SUMIFS('caseload data'!J:J,'caseload data'!$C:$C,'custody %'!$T$57,'caseload data'!$D:$D,"PSO",'caseload data'!$B:$B,"custody")/SUMIFS('caseload data'!J:J,'caseload data'!$B:$B,"custody",'caseload data'!$C:$C,'custody %'!$T$57),"")</f>
        <v/>
      </c>
      <c r="AA60" s="187" t="str">
        <f>IFERROR(SUMIFS('caseload data'!K:K,'caseload data'!$C:$C,'custody %'!$T$57,'caseload data'!$D:$D,"PSO",'caseload data'!$B:$B,"custody")/SUMIFS('caseload data'!K:K,'caseload data'!$B:$B,"custody",'caseload data'!$C:$C,'custody %'!$T$57),"")</f>
        <v/>
      </c>
      <c r="AB60" s="187" t="str">
        <f>IFERROR(SUMIFS('caseload data'!L:L,'caseload data'!$C:$C,'custody %'!$T$57,'caseload data'!$D:$D,"PSO",'caseload data'!$B:$B,"custody")/SUMIFS('caseload data'!L:L,'caseload data'!$B:$B,"custody",'caseload data'!$C:$C,'custody %'!$T$57),"")</f>
        <v/>
      </c>
      <c r="AC60" s="187" t="str">
        <f>IFERROR(SUMIFS('caseload data'!M:M,'caseload data'!$C:$C,'custody %'!$T$57,'caseload data'!$D:$D,"PSO",'caseload data'!$B:$B,"custody")/SUMIFS('caseload data'!M:M,'caseload data'!$B:$B,"custody",'caseload data'!$C:$C,'custody %'!$T$57),"")</f>
        <v/>
      </c>
      <c r="AD60" s="187" t="str">
        <f>IFERROR(SUMIFS('caseload data'!N:N,'caseload data'!$C:$C,'custody %'!$T$57,'caseload data'!$D:$D,"PSO",'caseload data'!$B:$B,"custody")/SUMIFS('caseload data'!N:N,'caseload data'!$B:$B,"custody",'caseload data'!$C:$C,'custody %'!$T$57),"")</f>
        <v/>
      </c>
      <c r="AE60" s="187" t="str">
        <f>IFERROR(SUMIFS('caseload data'!O:O,'caseload data'!$C:$C,'custody %'!$T$57,'caseload data'!$D:$D,"PSO",'caseload data'!$B:$B,"custody")/SUMIFS('caseload data'!O:O,'caseload data'!$B:$B,"custody",'caseload data'!$C:$C,'custody %'!$T$57),"")</f>
        <v/>
      </c>
      <c r="AF60" s="187" t="str">
        <f>IFERROR(SUMIFS('caseload data'!P:P,'caseload data'!$C:$C,'custody %'!$T$57,'caseload data'!$D:$D,"PSO",'caseload data'!$B:$B,"custody")/SUMIFS('caseload data'!P:P,'caseload data'!$B:$B,"custody",'caseload data'!$C:$C,'custody %'!$T$57),"")</f>
        <v/>
      </c>
      <c r="AG60" s="187" t="str">
        <f>IFERROR(SUMIFS('caseload data'!Q:Q,'caseload data'!$C:$C,'custody %'!$T$57,'caseload data'!$D:$D,"PSO",'caseload data'!$B:$B,"custody")/SUMIFS('caseload data'!Q:Q,'caseload data'!$B:$B,"custody",'caseload data'!$C:$C,'custody %'!$T$57),"")</f>
        <v/>
      </c>
      <c r="AH60" s="187" t="str">
        <f>IFERROR(SUMIFS('caseload data'!R:R,'caseload data'!$C:$C,'custody %'!$T$57,'caseload data'!$D:$D,"PSO",'caseload data'!$B:$B,"custody")/SUMIFS('caseload data'!R:R,'caseload data'!$B:$B,"custody",'caseload data'!$C:$C,'custody %'!$T$57),"")</f>
        <v/>
      </c>
      <c r="AI60" s="187"/>
      <c r="AJ60" s="187"/>
    </row>
    <row r="61" spans="2:36" x14ac:dyDescent="0.15">
      <c r="B61" s="110" t="s">
        <v>1039</v>
      </c>
      <c r="C61" s="187" t="str">
        <f>IFERROR(SUMIFS('caseload data'!E:E,'caseload data'!$C:$C,'custody %'!$B$57,'caseload data'!$D:$D,"TPO",'caseload data'!$B:$B,"custody")/SUMIFS('caseload data'!E:E,'caseload data'!$B:$B,"custody",'caseload data'!$C:$C,'custody %'!$B$57),"")</f>
        <v/>
      </c>
      <c r="D61" s="187" t="str">
        <f>IFERROR(SUMIFS('caseload data'!F:F,'caseload data'!$C:$C,'custody %'!$B$57,'caseload data'!$D:$D,"TPO",'caseload data'!$B:$B,"custody")/SUMIFS('caseload data'!F:F,'caseload data'!$B:$B,"custody",'caseload data'!$C:$C,'custody %'!$B$57),"")</f>
        <v/>
      </c>
      <c r="E61" s="187" t="str">
        <f>IFERROR(SUMIFS('caseload data'!G:G,'caseload data'!$C:$C,'custody %'!$B$57,'caseload data'!$D:$D,"TPO",'caseload data'!$B:$B,"custody")/SUMIFS('caseload data'!G:G,'caseload data'!$B:$B,"custody",'caseload data'!$C:$C,'custody %'!$B$57),"")</f>
        <v/>
      </c>
      <c r="F61" s="187" t="str">
        <f>IFERROR(SUMIFS('caseload data'!H:H,'caseload data'!$C:$C,'custody %'!$B$57,'caseload data'!$D:$D,"TPO",'caseload data'!$B:$B,"custody")/SUMIFS('caseload data'!H:H,'caseload data'!$B:$B,"custody",'caseload data'!$C:$C,'custody %'!$B$57),"")</f>
        <v/>
      </c>
      <c r="G61" s="187" t="str">
        <f>IFERROR(SUMIFS('caseload data'!I:I,'caseload data'!$C:$C,'custody %'!$B$57,'caseload data'!$D:$D,"TPO",'caseload data'!$B:$B,"custody")/SUMIFS('caseload data'!I:I,'caseload data'!$B:$B,"custody",'caseload data'!$C:$C,'custody %'!$B$57),"")</f>
        <v/>
      </c>
      <c r="H61" s="187" t="str">
        <f>IFERROR(SUMIFS('caseload data'!J:J,'caseload data'!$C:$C,'custody %'!$B$57,'caseload data'!$D:$D,"TPO",'caseload data'!$B:$B,"custody")/SUMIFS('caseload data'!J:J,'caseload data'!$B:$B,"custody",'caseload data'!$C:$C,'custody %'!$B$57),"")</f>
        <v/>
      </c>
      <c r="I61" s="187" t="str">
        <f>IFERROR(SUMIFS('caseload data'!K:K,'caseload data'!$C:$C,'custody %'!$B$57,'caseload data'!$D:$D,"TPO",'caseload data'!$B:$B,"custody")/SUMIFS('caseload data'!K:K,'caseload data'!$B:$B,"custody",'caseload data'!$C:$C,'custody %'!$B$57),"")</f>
        <v/>
      </c>
      <c r="J61" s="187" t="str">
        <f>IFERROR(SUMIFS('caseload data'!L:L,'caseload data'!$C:$C,'custody %'!$B$57,'caseload data'!$D:$D,"TPO",'caseload data'!$B:$B,"custody")/SUMIFS('caseload data'!L:L,'caseload data'!$B:$B,"custody",'caseload data'!$C:$C,'custody %'!$B$57),"")</f>
        <v/>
      </c>
      <c r="K61" s="187" t="str">
        <f>IFERROR(SUMIFS('caseload data'!M:M,'caseload data'!$C:$C,'custody %'!$B$57,'caseload data'!$D:$D,"TPO",'caseload data'!$B:$B,"custody")/SUMIFS('caseload data'!M:M,'caseload data'!$B:$B,"custody",'caseload data'!$C:$C,'custody %'!$B$57),"")</f>
        <v/>
      </c>
      <c r="L61" s="187" t="str">
        <f>IFERROR(SUMIFS('caseload data'!N:N,'caseload data'!$C:$C,'custody %'!$B$57,'caseload data'!$D:$D,"TPO",'caseload data'!$B:$B,"custody")/SUMIFS('caseload data'!N:N,'caseload data'!$B:$B,"custody",'caseload data'!$C:$C,'custody %'!$B$57),"")</f>
        <v/>
      </c>
      <c r="M61" s="187" t="str">
        <f>IFERROR(SUMIFS('caseload data'!O:O,'caseload data'!$C:$C,'custody %'!$B$57,'caseload data'!$D:$D,"TPO",'caseload data'!$B:$B,"custody")/SUMIFS('caseload data'!O:O,'caseload data'!$B:$B,"custody",'caseload data'!$C:$C,'custody %'!$B$57),"")</f>
        <v/>
      </c>
      <c r="N61" s="187" t="str">
        <f>IFERROR(SUMIFS('caseload data'!P:P,'caseload data'!$C:$C,'custody %'!$B$57,'caseload data'!$D:$D,"TPO",'caseload data'!$B:$B,"custody")/SUMIFS('caseload data'!P:P,'caseload data'!$B:$B,"custody",'caseload data'!$C:$C,'custody %'!$B$57),"")</f>
        <v/>
      </c>
      <c r="O61" s="187" t="str">
        <f>IFERROR(SUMIFS('caseload data'!Q:Q,'caseload data'!$C:$C,'custody %'!$B$57,'caseload data'!$D:$D,"TPO",'caseload data'!$B:$B,"custody")/SUMIFS('caseload data'!Q:Q,'caseload data'!$B:$B,"custody",'caseload data'!$C:$C,'custody %'!$B$57),"")</f>
        <v/>
      </c>
      <c r="P61" s="187" t="str">
        <f>IFERROR(SUMIFS('caseload data'!R:R,'caseload data'!$C:$C,'custody %'!$B$57,'caseload data'!$D:$D,"TPO",'caseload data'!$B:$B,"custody")/SUMIFS('caseload data'!R:R,'caseload data'!$B:$B,"custody",'caseload data'!$C:$C,'custody %'!$B$57),"")</f>
        <v/>
      </c>
      <c r="Q61" s="187" t="str">
        <f>IFERROR(SUMIFS('caseload data'!S:S,'caseload data'!$C:$C,'custody %'!$B$57,'caseload data'!$D:$D,"TPO",'caseload data'!$B:$B,"custody")/SUMIFS('caseload data'!S:S,'caseload data'!$B:$B,"custody",'caseload data'!$C:$C,'custody %'!$B$57),"")</f>
        <v/>
      </c>
      <c r="R61" s="187" t="str">
        <f>IFERROR(SUMIFS('caseload data'!T:T,'caseload data'!$C:$C,'custody %'!$B$57,'caseload data'!$D:$D,"TPO",'caseload data'!$B:$B,"custody")/SUMIFS('caseload data'!T:T,'caseload data'!$B:$B,"custody",'caseload data'!$C:$C,'custody %'!$B$57),"")</f>
        <v/>
      </c>
      <c r="S61" s="76"/>
      <c r="T61" s="110" t="s">
        <v>1039</v>
      </c>
      <c r="U61" s="187" t="str">
        <f>IFERROR(SUMIFS('caseload data'!E:E,'caseload data'!$C:$C,'custody %'!$T$57,'caseload data'!$D:$D,"TPO",'caseload data'!$B:$B,"custody")/SUMIFS('caseload data'!E:E,'caseload data'!$B:$B,"custody",'caseload data'!$C:$C,'custody %'!$T$57),"")</f>
        <v/>
      </c>
      <c r="V61" s="187" t="str">
        <f>IFERROR(SUMIFS('caseload data'!F:F,'caseload data'!$C:$C,'custody %'!$T$57,'caseload data'!$D:$D,"TPO",'caseload data'!$B:$B,"custody")/SUMIFS('caseload data'!F:F,'caseload data'!$B:$B,"custody",'caseload data'!$C:$C,'custody %'!$T$57),"")</f>
        <v/>
      </c>
      <c r="W61" s="187" t="str">
        <f>IFERROR(SUMIFS('caseload data'!G:G,'caseload data'!$C:$C,'custody %'!$T$57,'caseload data'!$D:$D,"TPO",'caseload data'!$B:$B,"custody")/SUMIFS('caseload data'!G:G,'caseload data'!$B:$B,"custody",'caseload data'!$C:$C,'custody %'!$T$57),"")</f>
        <v/>
      </c>
      <c r="X61" s="187" t="str">
        <f>IFERROR(SUMIFS('caseload data'!H:H,'caseload data'!$C:$C,'custody %'!$T$57,'caseload data'!$D:$D,"TPO",'caseload data'!$B:$B,"custody")/SUMIFS('caseload data'!H:H,'caseload data'!$B:$B,"custody",'caseload data'!$C:$C,'custody %'!$T$57),"")</f>
        <v/>
      </c>
      <c r="Y61" s="187" t="str">
        <f>IFERROR(SUMIFS('caseload data'!I:I,'caseload data'!$C:$C,'custody %'!$T$57,'caseload data'!$D:$D,"TPO",'caseload data'!$B:$B,"custody")/SUMIFS('caseload data'!I:I,'caseload data'!$B:$B,"custody",'caseload data'!$C:$C,'custody %'!$T$57),"")</f>
        <v/>
      </c>
      <c r="Z61" s="187" t="str">
        <f>IFERROR(SUMIFS('caseload data'!J:J,'caseload data'!$C:$C,'custody %'!$T$57,'caseload data'!$D:$D,"TPO",'caseload data'!$B:$B,"custody")/SUMIFS('caseload data'!J:J,'caseload data'!$B:$B,"custody",'caseload data'!$C:$C,'custody %'!$T$57),"")</f>
        <v/>
      </c>
      <c r="AA61" s="187" t="str">
        <f>IFERROR(SUMIFS('caseload data'!K:K,'caseload data'!$C:$C,'custody %'!$T$57,'caseload data'!$D:$D,"TPO",'caseload data'!$B:$B,"custody")/SUMIFS('caseload data'!K:K,'caseload data'!$B:$B,"custody",'caseload data'!$C:$C,'custody %'!$T$57),"")</f>
        <v/>
      </c>
      <c r="AB61" s="187" t="str">
        <f>IFERROR(SUMIFS('caseload data'!L:L,'caseload data'!$C:$C,'custody %'!$T$57,'caseload data'!$D:$D,"TPO",'caseload data'!$B:$B,"custody")/SUMIFS('caseload data'!L:L,'caseload data'!$B:$B,"custody",'caseload data'!$C:$C,'custody %'!$T$57),"")</f>
        <v/>
      </c>
      <c r="AC61" s="187" t="str">
        <f>IFERROR(SUMIFS('caseload data'!M:M,'caseload data'!$C:$C,'custody %'!$T$57,'caseload data'!$D:$D,"TPO",'caseload data'!$B:$B,"custody")/SUMIFS('caseload data'!M:M,'caseload data'!$B:$B,"custody",'caseload data'!$C:$C,'custody %'!$T$57),"")</f>
        <v/>
      </c>
      <c r="AD61" s="187" t="str">
        <f>IFERROR(SUMIFS('caseload data'!N:N,'caseload data'!$C:$C,'custody %'!$T$57,'caseload data'!$D:$D,"TPO",'caseload data'!$B:$B,"custody")/SUMIFS('caseload data'!N:N,'caseload data'!$B:$B,"custody",'caseload data'!$C:$C,'custody %'!$T$57),"")</f>
        <v/>
      </c>
      <c r="AE61" s="187" t="str">
        <f>IFERROR(SUMIFS('caseload data'!O:O,'caseload data'!$C:$C,'custody %'!$T$57,'caseload data'!$D:$D,"TPO",'caseload data'!$B:$B,"custody")/SUMIFS('caseload data'!O:O,'caseload data'!$B:$B,"custody",'caseload data'!$C:$C,'custody %'!$T$57),"")</f>
        <v/>
      </c>
      <c r="AF61" s="187" t="str">
        <f>IFERROR(SUMIFS('caseload data'!P:P,'caseload data'!$C:$C,'custody %'!$T$57,'caseload data'!$D:$D,"TPO",'caseload data'!$B:$B,"custody")/SUMIFS('caseload data'!P:P,'caseload data'!$B:$B,"custody",'caseload data'!$C:$C,'custody %'!$T$57),"")</f>
        <v/>
      </c>
      <c r="AG61" s="187" t="str">
        <f>IFERROR(SUMIFS('caseload data'!Q:Q,'caseload data'!$C:$C,'custody %'!$T$57,'caseload data'!$D:$D,"TPO",'caseload data'!$B:$B,"custody")/SUMIFS('caseload data'!Q:Q,'caseload data'!$B:$B,"custody",'caseload data'!$C:$C,'custody %'!$T$57),"")</f>
        <v/>
      </c>
      <c r="AH61" s="187" t="str">
        <f>IFERROR(SUMIFS('caseload data'!R:R,'caseload data'!$C:$C,'custody %'!$T$57,'caseload data'!$D:$D,"TPO",'caseload data'!$B:$B,"custody")/SUMIFS('caseload data'!R:R,'caseload data'!$B:$B,"custody",'caseload data'!$C:$C,'custody %'!$T$57),"")</f>
        <v/>
      </c>
      <c r="AI61" s="187"/>
      <c r="AJ61" s="187"/>
    </row>
    <row r="62" spans="2:36" x14ac:dyDescent="0.15">
      <c r="B62" s="111" t="s">
        <v>1040</v>
      </c>
      <c r="C62" s="187" t="str">
        <f>IFERROR(SUMIFS('caseload data'!E:E,'caseload data'!$C:$C,'custody %'!$B$57,'caseload data'!$D:$D,"SPO",'caseload data'!$B:$B,"custody")/SUMIFS('caseload data'!E:E,'caseload data'!$B:$B,"custody",'caseload data'!$C:$C,'custody %'!$B$57),"")</f>
        <v/>
      </c>
      <c r="D62" s="187" t="str">
        <f>IFERROR(SUMIFS('caseload data'!F:F,'caseload data'!$C:$C,'custody %'!$B$57,'caseload data'!$D:$D,"SPO",'caseload data'!$B:$B,"custody")/SUMIFS('caseload data'!F:F,'caseload data'!$B:$B,"custody",'caseload data'!$C:$C,'custody %'!$B$57),"")</f>
        <v/>
      </c>
      <c r="E62" s="187" t="str">
        <f>IFERROR(SUMIFS('caseload data'!G:G,'caseload data'!$C:$C,'custody %'!$B$57,'caseload data'!$D:$D,"SPO",'caseload data'!$B:$B,"custody")/SUMIFS('caseload data'!G:G,'caseload data'!$B:$B,"custody",'caseload data'!$C:$C,'custody %'!$B$57),"")</f>
        <v/>
      </c>
      <c r="F62" s="187" t="str">
        <f>IFERROR(SUMIFS('caseload data'!H:H,'caseload data'!$C:$C,'custody %'!$B$57,'caseload data'!$D:$D,"SPO",'caseload data'!$B:$B,"custody")/SUMIFS('caseload data'!H:H,'caseload data'!$B:$B,"custody",'caseload data'!$C:$C,'custody %'!$B$57),"")</f>
        <v/>
      </c>
      <c r="G62" s="187" t="str">
        <f>IFERROR(SUMIFS('caseload data'!I:I,'caseload data'!$C:$C,'custody %'!$B$57,'caseload data'!$D:$D,"SPO",'caseload data'!$B:$B,"custody")/SUMIFS('caseload data'!I:I,'caseload data'!$B:$B,"custody",'caseload data'!$C:$C,'custody %'!$B$57),"")</f>
        <v/>
      </c>
      <c r="H62" s="187" t="str">
        <f>IFERROR(SUMIFS('caseload data'!J:J,'caseload data'!$C:$C,'custody %'!$B$57,'caseload data'!$D:$D,"SPO",'caseload data'!$B:$B,"custody")/SUMIFS('caseload data'!J:J,'caseload data'!$B:$B,"custody",'caseload data'!$C:$C,'custody %'!$B$57),"")</f>
        <v/>
      </c>
      <c r="I62" s="187" t="str">
        <f>IFERROR(SUMIFS('caseload data'!K:K,'caseload data'!$C:$C,'custody %'!$B$57,'caseload data'!$D:$D,"SPO",'caseload data'!$B:$B,"custody")/SUMIFS('caseload data'!K:K,'caseload data'!$B:$B,"custody",'caseload data'!$C:$C,'custody %'!$B$57),"")</f>
        <v/>
      </c>
      <c r="J62" s="187" t="str">
        <f>IFERROR(SUMIFS('caseload data'!L:L,'caseload data'!$C:$C,'custody %'!$B$57,'caseload data'!$D:$D,"SPO",'caseload data'!$B:$B,"custody")/SUMIFS('caseload data'!L:L,'caseload data'!$B:$B,"custody",'caseload data'!$C:$C,'custody %'!$B$57),"")</f>
        <v/>
      </c>
      <c r="K62" s="187" t="str">
        <f>IFERROR(SUMIFS('caseload data'!M:M,'caseload data'!$C:$C,'custody %'!$B$57,'caseload data'!$D:$D,"SPO",'caseload data'!$B:$B,"custody")/SUMIFS('caseload data'!M:M,'caseload data'!$B:$B,"custody",'caseload data'!$C:$C,'custody %'!$B$57),"")</f>
        <v/>
      </c>
      <c r="L62" s="187" t="str">
        <f>IFERROR(SUMIFS('caseload data'!N:N,'caseload data'!$C:$C,'custody %'!$B$57,'caseload data'!$D:$D,"SPO",'caseload data'!$B:$B,"custody")/SUMIFS('caseload data'!N:N,'caseload data'!$B:$B,"custody",'caseload data'!$C:$C,'custody %'!$B$57),"")</f>
        <v/>
      </c>
      <c r="M62" s="187" t="str">
        <f>IFERROR(SUMIFS('caseload data'!O:O,'caseload data'!$C:$C,'custody %'!$B$57,'caseload data'!$D:$D,"SPO",'caseload data'!$B:$B,"custody")/SUMIFS('caseload data'!O:O,'caseload data'!$B:$B,"custody",'caseload data'!$C:$C,'custody %'!$B$57),"")</f>
        <v/>
      </c>
      <c r="N62" s="187" t="str">
        <f>IFERROR(SUMIFS('caseload data'!P:P,'caseload data'!$C:$C,'custody %'!$B$57,'caseload data'!$D:$D,"SPO",'caseload data'!$B:$B,"custody")/SUMIFS('caseload data'!P:P,'caseload data'!$B:$B,"custody",'caseload data'!$C:$C,'custody %'!$B$57),"")</f>
        <v/>
      </c>
      <c r="O62" s="187" t="str">
        <f>IFERROR(SUMIFS('caseload data'!Q:Q,'caseload data'!$C:$C,'custody %'!$B$57,'caseload data'!$D:$D,"SPO",'caseload data'!$B:$B,"custody")/SUMIFS('caseload data'!Q:Q,'caseload data'!$B:$B,"custody",'caseload data'!$C:$C,'custody %'!$B$57),"")</f>
        <v/>
      </c>
      <c r="P62" s="187" t="str">
        <f>IFERROR(SUMIFS('caseload data'!R:R,'caseload data'!$C:$C,'custody %'!$B$57,'caseload data'!$D:$D,"SPO",'caseload data'!$B:$B,"custody")/SUMIFS('caseload data'!R:R,'caseload data'!$B:$B,"custody",'caseload data'!$C:$C,'custody %'!$B$57),"")</f>
        <v/>
      </c>
      <c r="Q62" s="187" t="str">
        <f>IFERROR(SUMIFS('caseload data'!S:S,'caseload data'!$C:$C,'custody %'!$B$57,'caseload data'!$D:$D,"SPO",'caseload data'!$B:$B,"custody")/SUMIFS('caseload data'!S:S,'caseload data'!$B:$B,"custody",'caseload data'!$C:$C,'custody %'!$B$57),"")</f>
        <v/>
      </c>
      <c r="R62" s="187" t="str">
        <f>IFERROR(SUMIFS('caseload data'!T:T,'caseload data'!$C:$C,'custody %'!$B$57,'caseload data'!$D:$D,"SPO",'caseload data'!$B:$B,"custody")/SUMIFS('caseload data'!T:T,'caseload data'!$B:$B,"custody",'caseload data'!$C:$C,'custody %'!$B$57),"")</f>
        <v/>
      </c>
      <c r="S62" s="76"/>
      <c r="T62" s="111" t="s">
        <v>1040</v>
      </c>
      <c r="U62" s="187" t="str">
        <f>IFERROR(SUMIFS('caseload data'!E:E,'caseload data'!$C:$C,'custody %'!$T$57,'caseload data'!$D:$D,"SPO",'caseload data'!$B:$B,"custody")/SUMIFS('caseload data'!E:E,'caseload data'!$B:$B,"custody",'caseload data'!$C:$C,'custody %'!$T$57),"")</f>
        <v/>
      </c>
      <c r="V62" s="187" t="str">
        <f>IFERROR(SUMIFS('caseload data'!F:F,'caseload data'!$C:$C,'custody %'!$T$57,'caseload data'!$D:$D,"SPO",'caseload data'!$B:$B,"custody")/SUMIFS('caseload data'!F:F,'caseload data'!$B:$B,"custody",'caseload data'!$C:$C,'custody %'!$T$57),"")</f>
        <v/>
      </c>
      <c r="W62" s="187" t="str">
        <f>IFERROR(SUMIFS('caseload data'!G:G,'caseload data'!$C:$C,'custody %'!$T$57,'caseload data'!$D:$D,"SPO",'caseload data'!$B:$B,"custody")/SUMIFS('caseload data'!G:G,'caseload data'!$B:$B,"custody",'caseload data'!$C:$C,'custody %'!$T$57),"")</f>
        <v/>
      </c>
      <c r="X62" s="187" t="str">
        <f>IFERROR(SUMIFS('caseload data'!H:H,'caseload data'!$C:$C,'custody %'!$T$57,'caseload data'!$D:$D,"SPO",'caseload data'!$B:$B,"custody")/SUMIFS('caseload data'!H:H,'caseload data'!$B:$B,"custody",'caseload data'!$C:$C,'custody %'!$T$57),"")</f>
        <v/>
      </c>
      <c r="Y62" s="187" t="str">
        <f>IFERROR(SUMIFS('caseload data'!I:I,'caseload data'!$C:$C,'custody %'!$T$57,'caseload data'!$D:$D,"SPO",'caseload data'!$B:$B,"custody")/SUMIFS('caseload data'!I:I,'caseload data'!$B:$B,"custody",'caseload data'!$C:$C,'custody %'!$T$57),"")</f>
        <v/>
      </c>
      <c r="Z62" s="187" t="str">
        <f>IFERROR(SUMIFS('caseload data'!J:J,'caseload data'!$C:$C,'custody %'!$T$57,'caseload data'!$D:$D,"SPO",'caseload data'!$B:$B,"custody")/SUMIFS('caseload data'!J:J,'caseload data'!$B:$B,"custody",'caseload data'!$C:$C,'custody %'!$T$57),"")</f>
        <v/>
      </c>
      <c r="AA62" s="187" t="str">
        <f>IFERROR(SUMIFS('caseload data'!K:K,'caseload data'!$C:$C,'custody %'!$T$57,'caseload data'!$D:$D,"SPO",'caseload data'!$B:$B,"custody")/SUMIFS('caseload data'!K:K,'caseload data'!$B:$B,"custody",'caseload data'!$C:$C,'custody %'!$T$57),"")</f>
        <v/>
      </c>
      <c r="AB62" s="187" t="str">
        <f>IFERROR(SUMIFS('caseload data'!L:L,'caseload data'!$C:$C,'custody %'!$T$57,'caseload data'!$D:$D,"SPO",'caseload data'!$B:$B,"custody")/SUMIFS('caseload data'!L:L,'caseload data'!$B:$B,"custody",'caseload data'!$C:$C,'custody %'!$T$57),"")</f>
        <v/>
      </c>
      <c r="AC62" s="187" t="str">
        <f>IFERROR(SUMIFS('caseload data'!M:M,'caseload data'!$C:$C,'custody %'!$T$57,'caseload data'!$D:$D,"SPO",'caseload data'!$B:$B,"custody")/SUMIFS('caseload data'!M:M,'caseload data'!$B:$B,"custody",'caseload data'!$C:$C,'custody %'!$T$57),"")</f>
        <v/>
      </c>
      <c r="AD62" s="187" t="str">
        <f>IFERROR(SUMIFS('caseload data'!N:N,'caseload data'!$C:$C,'custody %'!$T$57,'caseload data'!$D:$D,"SPO",'caseload data'!$B:$B,"custody")/SUMIFS('caseload data'!N:N,'caseload data'!$B:$B,"custody",'caseload data'!$C:$C,'custody %'!$T$57),"")</f>
        <v/>
      </c>
      <c r="AE62" s="187" t="str">
        <f>IFERROR(SUMIFS('caseload data'!O:O,'caseload data'!$C:$C,'custody %'!$T$57,'caseload data'!$D:$D,"SPO",'caseload data'!$B:$B,"custody")/SUMIFS('caseload data'!O:O,'caseload data'!$B:$B,"custody",'caseload data'!$C:$C,'custody %'!$T$57),"")</f>
        <v/>
      </c>
      <c r="AF62" s="187" t="str">
        <f>IFERROR(SUMIFS('caseload data'!P:P,'caseload data'!$C:$C,'custody %'!$T$57,'caseload data'!$D:$D,"SPO",'caseload data'!$B:$B,"custody")/SUMIFS('caseload data'!P:P,'caseload data'!$B:$B,"custody",'caseload data'!$C:$C,'custody %'!$T$57),"")</f>
        <v/>
      </c>
      <c r="AG62" s="187" t="str">
        <f>IFERROR(SUMIFS('caseload data'!Q:Q,'caseload data'!$C:$C,'custody %'!$T$57,'caseload data'!$D:$D,"SPO",'caseload data'!$B:$B,"custody")/SUMIFS('caseload data'!Q:Q,'caseload data'!$B:$B,"custody",'caseload data'!$C:$C,'custody %'!$T$57),"")</f>
        <v/>
      </c>
      <c r="AH62" s="187" t="str">
        <f>IFERROR(SUMIFS('caseload data'!R:R,'caseload data'!$C:$C,'custody %'!$T$57,'caseload data'!$D:$D,"SPO",'caseload data'!$B:$B,"custody")/SUMIFS('caseload data'!R:R,'caseload data'!$B:$B,"custody",'caseload data'!$C:$C,'custody %'!$T$57),"")</f>
        <v/>
      </c>
      <c r="AI62" s="187"/>
      <c r="AJ62" s="187"/>
    </row>
    <row r="64" spans="2:36" x14ac:dyDescent="0.15">
      <c r="B64" s="162" t="str">
        <f>HLOOKUP($B$5,Region_Table,18,0)</f>
        <v>Kingston, Richmond and Hounslow</v>
      </c>
      <c r="C64" s="333" t="s">
        <v>1262</v>
      </c>
      <c r="D64" s="334"/>
      <c r="E64" s="334"/>
      <c r="F64" s="334"/>
      <c r="G64" s="334"/>
      <c r="H64" s="334"/>
      <c r="I64" s="334"/>
      <c r="J64" s="334"/>
      <c r="K64" s="334"/>
      <c r="L64" s="334"/>
      <c r="M64" s="343"/>
      <c r="N64" s="343"/>
      <c r="O64" s="344"/>
      <c r="P64" s="337">
        <f>SUMIF('caseload data'!$C:$C,'custody %'!B64,'caseload data'!V:V)</f>
        <v>0</v>
      </c>
      <c r="Q64" s="345"/>
      <c r="R64" s="346"/>
      <c r="S64" s="76"/>
      <c r="T64" s="162" t="str">
        <f>HLOOKUP($B$5,Region_Table,19,0)</f>
        <v>Lambeth - N07</v>
      </c>
      <c r="U64" s="333" t="s">
        <v>1262</v>
      </c>
      <c r="V64" s="334"/>
      <c r="W64" s="334"/>
      <c r="X64" s="334"/>
      <c r="Y64" s="334"/>
      <c r="Z64" s="334"/>
      <c r="AA64" s="334"/>
      <c r="AB64" s="334"/>
      <c r="AC64" s="343"/>
      <c r="AD64" s="343"/>
      <c r="AE64" s="344"/>
      <c r="AF64" s="337">
        <f>SUMIF('caseload data'!$C:$C,'custody %'!T64,'caseload data'!V:V)</f>
        <v>0</v>
      </c>
      <c r="AG64" s="345"/>
      <c r="AH64" s="346"/>
    </row>
    <row r="65" spans="2:36" x14ac:dyDescent="0.15">
      <c r="B65" s="108" t="s">
        <v>1199</v>
      </c>
      <c r="C65" s="42" t="s">
        <v>1019</v>
      </c>
      <c r="D65" s="42" t="s">
        <v>1020</v>
      </c>
      <c r="E65" s="42" t="s">
        <v>1021</v>
      </c>
      <c r="F65" s="42" t="s">
        <v>1022</v>
      </c>
      <c r="G65" s="42" t="s">
        <v>1023</v>
      </c>
      <c r="H65" s="42" t="s">
        <v>1024</v>
      </c>
      <c r="I65" s="42" t="s">
        <v>1025</v>
      </c>
      <c r="J65" s="42" t="s">
        <v>1026</v>
      </c>
      <c r="K65" s="42" t="s">
        <v>1027</v>
      </c>
      <c r="L65" s="42" t="s">
        <v>1028</v>
      </c>
      <c r="M65" s="42" t="s">
        <v>1029</v>
      </c>
      <c r="N65" s="42" t="s">
        <v>1030</v>
      </c>
      <c r="O65" s="42" t="s">
        <v>1031</v>
      </c>
      <c r="P65" s="42" t="s">
        <v>1032</v>
      </c>
      <c r="Q65" s="42" t="s">
        <v>1033</v>
      </c>
      <c r="R65" s="42" t="s">
        <v>1034</v>
      </c>
      <c r="S65" s="76"/>
      <c r="T65" s="108" t="s">
        <v>1199</v>
      </c>
      <c r="U65" s="42" t="s">
        <v>1019</v>
      </c>
      <c r="V65" s="42" t="s">
        <v>1020</v>
      </c>
      <c r="W65" s="42" t="s">
        <v>1021</v>
      </c>
      <c r="X65" s="42" t="s">
        <v>1022</v>
      </c>
      <c r="Y65" s="42" t="s">
        <v>1023</v>
      </c>
      <c r="Z65" s="42" t="s">
        <v>1024</v>
      </c>
      <c r="AA65" s="42" t="s">
        <v>1025</v>
      </c>
      <c r="AB65" s="42" t="s">
        <v>1026</v>
      </c>
      <c r="AC65" s="42" t="s">
        <v>1027</v>
      </c>
      <c r="AD65" s="42" t="s">
        <v>1028</v>
      </c>
      <c r="AE65" s="42" t="s">
        <v>1029</v>
      </c>
      <c r="AF65" s="42" t="s">
        <v>1030</v>
      </c>
      <c r="AG65" s="42" t="s">
        <v>1031</v>
      </c>
      <c r="AH65" s="42" t="s">
        <v>1032</v>
      </c>
      <c r="AI65" s="42" t="s">
        <v>1033</v>
      </c>
      <c r="AJ65" s="42" t="s">
        <v>1034</v>
      </c>
    </row>
    <row r="66" spans="2:36" x14ac:dyDescent="0.15">
      <c r="B66" s="109" t="s">
        <v>1037</v>
      </c>
      <c r="C66" s="187" t="str">
        <f>IFERROR(SUMIFS('caseload data'!E:E,'caseload data'!$C:$C,'custody %'!$B$64,'caseload data'!$D:$D,"PO",'caseload data'!$B:$B,"custody")/SUMIFS('caseload data'!E:E,'caseload data'!$B:$B,"custody",'caseload data'!$C:$C,'custody %'!$B$64),"")</f>
        <v/>
      </c>
      <c r="D66" s="187" t="str">
        <f>IFERROR(SUMIFS('caseload data'!F:F,'caseload data'!$C:$C,'custody %'!$B$64,'caseload data'!$D:$D,"PO",'caseload data'!$B:$B,"custody")/SUMIFS('caseload data'!F:F,'caseload data'!$B:$B,"custody",'caseload data'!$C:$C,'custody %'!$B$64),"")</f>
        <v/>
      </c>
      <c r="E66" s="187" t="str">
        <f>IFERROR(SUMIFS('caseload data'!G:G,'caseload data'!$C:$C,'custody %'!$B$64,'caseload data'!$D:$D,"PO",'caseload data'!$B:$B,"custody")/SUMIFS('caseload data'!G:G,'caseload data'!$B:$B,"custody",'caseload data'!$C:$C,'custody %'!$B$64),"")</f>
        <v/>
      </c>
      <c r="F66" s="187" t="str">
        <f>IFERROR(SUMIFS('caseload data'!H:H,'caseload data'!$C:$C,'custody %'!$B$64,'caseload data'!$D:$D,"PO",'caseload data'!$B:$B,"custody")/SUMIFS('caseload data'!H:H,'caseload data'!$B:$B,"custody",'caseload data'!$C:$C,'custody %'!$B$64),"")</f>
        <v/>
      </c>
      <c r="G66" s="187" t="str">
        <f>IFERROR(SUMIFS('caseload data'!I:I,'caseload data'!$C:$C,'custody %'!$B$64,'caseload data'!$D:$D,"PO",'caseload data'!$B:$B,"custody")/SUMIFS('caseload data'!I:I,'caseload data'!$B:$B,"custody",'caseload data'!$C:$C,'custody %'!$B$64),"")</f>
        <v/>
      </c>
      <c r="H66" s="187" t="str">
        <f>IFERROR(SUMIFS('caseload data'!J:J,'caseload data'!$C:$C,'custody %'!$B$64,'caseload data'!$D:$D,"PO",'caseload data'!$B:$B,"custody")/SUMIFS('caseload data'!J:J,'caseload data'!$B:$B,"custody",'caseload data'!$C:$C,'custody %'!$B$64),"")</f>
        <v/>
      </c>
      <c r="I66" s="187" t="str">
        <f>IFERROR(SUMIFS('caseload data'!K:K,'caseload data'!$C:$C,'custody %'!$B$64,'caseload data'!$D:$D,"PO",'caseload data'!$B:$B,"custody")/SUMIFS('caseload data'!K:K,'caseload data'!$B:$B,"custody",'caseload data'!$C:$C,'custody %'!$B$64),"")</f>
        <v/>
      </c>
      <c r="J66" s="187" t="str">
        <f>IFERROR(SUMIFS('caseload data'!L:L,'caseload data'!$C:$C,'custody %'!$B$64,'caseload data'!$D:$D,"PO",'caseload data'!$B:$B,"custody")/SUMIFS('caseload data'!L:L,'caseload data'!$B:$B,"custody",'caseload data'!$C:$C,'custody %'!$B$64),"")</f>
        <v/>
      </c>
      <c r="K66" s="187" t="str">
        <f>IFERROR(SUMIFS('caseload data'!M:M,'caseload data'!$C:$C,'custody %'!$B$64,'caseload data'!$D:$D,"PO",'caseload data'!$B:$B,"custody")/SUMIFS('caseload data'!M:M,'caseload data'!$B:$B,"custody",'caseload data'!$C:$C,'custody %'!$B$64),"")</f>
        <v/>
      </c>
      <c r="L66" s="187" t="str">
        <f>IFERROR(SUMIFS('caseload data'!N:N,'caseload data'!$C:$C,'custody %'!$B$64,'caseload data'!$D:$D,"PO",'caseload data'!$B:$B,"custody")/SUMIFS('caseload data'!N:N,'caseload data'!$B:$B,"custody",'caseload data'!$C:$C,'custody %'!$B$64),"")</f>
        <v/>
      </c>
      <c r="M66" s="187" t="str">
        <f>IFERROR(SUMIFS('caseload data'!O:O,'caseload data'!$C:$C,'custody %'!$B$64,'caseload data'!$D:$D,"PO",'caseload data'!$B:$B,"custody")/SUMIFS('caseload data'!O:O,'caseload data'!$B:$B,"custody",'caseload data'!$C:$C,'custody %'!$B$64),"")</f>
        <v/>
      </c>
      <c r="N66" s="187" t="str">
        <f>IFERROR(SUMIFS('caseload data'!P:P,'caseload data'!$C:$C,'custody %'!$B$64,'caseload data'!$D:$D,"PO",'caseload data'!$B:$B,"custody")/SUMIFS('caseload data'!P:P,'caseload data'!$B:$B,"custody",'caseload data'!$C:$C,'custody %'!$B$64),"")</f>
        <v/>
      </c>
      <c r="O66" s="187" t="str">
        <f>IFERROR(SUMIFS('caseload data'!Q:Q,'caseload data'!$C:$C,'custody %'!$B$64,'caseload data'!$D:$D,"PO",'caseload data'!$B:$B,"custody")/SUMIFS('caseload data'!Q:Q,'caseload data'!$B:$B,"custody",'caseload data'!$C:$C,'custody %'!$B$64),"")</f>
        <v/>
      </c>
      <c r="P66" s="187" t="str">
        <f>IFERROR(SUMIFS('caseload data'!R:R,'caseload data'!$C:$C,'custody %'!$B$64,'caseload data'!$D:$D,"PO",'caseload data'!$B:$B,"custody")/SUMIFS('caseload data'!R:R,'caseload data'!$B:$B,"custody",'caseload data'!$C:$C,'custody %'!$B$64),"")</f>
        <v/>
      </c>
      <c r="Q66" s="187" t="str">
        <f>IFERROR(SUMIFS('caseload data'!S:S,'caseload data'!$C:$C,'custody %'!$B$64,'caseload data'!$D:$D,"PO",'caseload data'!$B:$B,"custody")/SUMIFS('caseload data'!S:S,'caseload data'!$B:$B,"custody",'caseload data'!$C:$C,'custody %'!$B$64),"")</f>
        <v/>
      </c>
      <c r="R66" s="187" t="str">
        <f>IFERROR(SUMIFS('caseload data'!T:T,'caseload data'!$C:$C,'custody %'!$B$64,'caseload data'!$D:$D,"PO",'caseload data'!$B:$B,"custody")/SUMIFS('caseload data'!T:T,'caseload data'!$B:$B,"custody",'caseload data'!$C:$C,'custody %'!$B$64),"")</f>
        <v/>
      </c>
      <c r="S66" s="76"/>
      <c r="T66" s="109" t="s">
        <v>1037</v>
      </c>
      <c r="U66" s="187" t="str">
        <f>IFERROR(SUMIFS('caseload data'!E:E,'caseload data'!$C:$C,'custody %'!$T$64,'caseload data'!$D:$D,"PO",'caseload data'!$B:$B,"custody")/SUMIFS('caseload data'!E:E,'caseload data'!$B:$B,"custody",'caseload data'!$C:$C,'custody %'!$T$64),"")</f>
        <v/>
      </c>
      <c r="V66" s="187" t="str">
        <f>IFERROR(SUMIFS('caseload data'!F:F,'caseload data'!$C:$C,'custody %'!$T$64,'caseload data'!$D:$D,"PO",'caseload data'!$B:$B,"custody")/SUMIFS('caseload data'!F:F,'caseload data'!$B:$B,"custody",'caseload data'!$C:$C,'custody %'!$T$64),"")</f>
        <v/>
      </c>
      <c r="W66" s="187" t="str">
        <f>IFERROR(SUMIFS('caseload data'!G:G,'caseload data'!$C:$C,'custody %'!$T$64,'caseload data'!$D:$D,"PO",'caseload data'!$B:$B,"custody")/SUMIFS('caseload data'!G:G,'caseload data'!$B:$B,"custody",'caseload data'!$C:$C,'custody %'!$T$64),"")</f>
        <v/>
      </c>
      <c r="X66" s="187" t="str">
        <f>IFERROR(SUMIFS('caseload data'!H:H,'caseload data'!$C:$C,'custody %'!$T$64,'caseload data'!$D:$D,"PO",'caseload data'!$B:$B,"custody")/SUMIFS('caseload data'!H:H,'caseload data'!$B:$B,"custody",'caseload data'!$C:$C,'custody %'!$T$64),"")</f>
        <v/>
      </c>
      <c r="Y66" s="187" t="str">
        <f>IFERROR(SUMIFS('caseload data'!I:I,'caseload data'!$C:$C,'custody %'!$T$64,'caseload data'!$D:$D,"PO",'caseload data'!$B:$B,"custody")/SUMIFS('caseload data'!I:I,'caseload data'!$B:$B,"custody",'caseload data'!$C:$C,'custody %'!$T$64),"")</f>
        <v/>
      </c>
      <c r="Z66" s="187" t="str">
        <f>IFERROR(SUMIFS('caseload data'!J:J,'caseload data'!$C:$C,'custody %'!$T$64,'caseload data'!$D:$D,"PO",'caseload data'!$B:$B,"custody")/SUMIFS('caseload data'!J:J,'caseload data'!$B:$B,"custody",'caseload data'!$C:$C,'custody %'!$T$64),"")</f>
        <v/>
      </c>
      <c r="AA66" s="187" t="str">
        <f>IFERROR(SUMIFS('caseload data'!K:K,'caseload data'!$C:$C,'custody %'!$T$64,'caseload data'!$D:$D,"PO",'caseload data'!$B:$B,"custody")/SUMIFS('caseload data'!K:K,'caseload data'!$B:$B,"custody",'caseload data'!$C:$C,'custody %'!$T$64),"")</f>
        <v/>
      </c>
      <c r="AB66" s="187" t="str">
        <f>IFERROR(SUMIFS('caseload data'!L:L,'caseload data'!$C:$C,'custody %'!$T$64,'caseload data'!$D:$D,"PO",'caseload data'!$B:$B,"custody")/SUMIFS('caseload data'!L:L,'caseload data'!$B:$B,"custody",'caseload data'!$C:$C,'custody %'!$T$64),"")</f>
        <v/>
      </c>
      <c r="AC66" s="187" t="str">
        <f>IFERROR(SUMIFS('caseload data'!M:M,'caseload data'!$C:$C,'custody %'!$T$64,'caseload data'!$D:$D,"PO",'caseload data'!$B:$B,"custody")/SUMIFS('caseload data'!M:M,'caseload data'!$B:$B,"custody",'caseload data'!$C:$C,'custody %'!$T$64),"")</f>
        <v/>
      </c>
      <c r="AD66" s="187" t="str">
        <f>IFERROR(SUMIFS('caseload data'!N:N,'caseload data'!$C:$C,'custody %'!$T$64,'caseload data'!$D:$D,"PO",'caseload data'!$B:$B,"custody")/SUMIFS('caseload data'!N:N,'caseload data'!$B:$B,"custody",'caseload data'!$C:$C,'custody %'!$T$64),"")</f>
        <v/>
      </c>
      <c r="AE66" s="187" t="str">
        <f>IFERROR(SUMIFS('caseload data'!O:O,'caseload data'!$C:$C,'custody %'!$T$64,'caseload data'!$D:$D,"PO",'caseload data'!$B:$B,"custody")/SUMIFS('caseload data'!O:O,'caseload data'!$B:$B,"custody",'caseload data'!$C:$C,'custody %'!$T$64),"")</f>
        <v/>
      </c>
      <c r="AF66" s="187" t="str">
        <f>IFERROR(SUMIFS('caseload data'!P:P,'caseload data'!$C:$C,'custody %'!$T$64,'caseload data'!$D:$D,"PO",'caseload data'!$B:$B,"custody")/SUMIFS('caseload data'!P:P,'caseload data'!$B:$B,"custody",'caseload data'!$C:$C,'custody %'!$T$64),"")</f>
        <v/>
      </c>
      <c r="AG66" s="187" t="str">
        <f>IFERROR(SUMIFS('caseload data'!Q:Q,'caseload data'!$C:$C,'custody %'!$T$64,'caseload data'!$D:$D,"PO",'caseload data'!$B:$B,"custody")/SUMIFS('caseload data'!Q:Q,'caseload data'!$B:$B,"custody",'caseload data'!$C:$C,'custody %'!$T$64),"")</f>
        <v/>
      </c>
      <c r="AH66" s="187" t="str">
        <f>IFERROR(SUMIFS('caseload data'!R:R,'caseload data'!$C:$C,'custody %'!$T$64,'caseload data'!$D:$D,"PO",'caseload data'!$B:$B,"custody")/SUMIFS('caseload data'!R:R,'caseload data'!$B:$B,"custody",'caseload data'!$C:$C,'custody %'!$T$64),"")</f>
        <v/>
      </c>
      <c r="AI66" s="187"/>
      <c r="AJ66" s="187"/>
    </row>
    <row r="67" spans="2:36" x14ac:dyDescent="0.15">
      <c r="B67" s="110" t="s">
        <v>1038</v>
      </c>
      <c r="C67" s="187" t="str">
        <f>IFERROR(SUMIFS('caseload data'!E:E,'caseload data'!$C:$C,'custody %'!$B$64,'caseload data'!$D:$D,"PSO",'caseload data'!$B:$B,"custody")/SUMIFS('caseload data'!E:E,'caseload data'!$B:$B,"custody",'caseload data'!$C:$C,'custody %'!$B$64),"")</f>
        <v/>
      </c>
      <c r="D67" s="187" t="str">
        <f>IFERROR(SUMIFS('caseload data'!F:F,'caseload data'!$C:$C,'custody %'!$B$64,'caseload data'!$D:$D,"PSO",'caseload data'!$B:$B,"custody")/SUMIFS('caseload data'!F:F,'caseload data'!$B:$B,"custody",'caseload data'!$C:$C,'custody %'!$B$64),"")</f>
        <v/>
      </c>
      <c r="E67" s="187" t="str">
        <f>IFERROR(SUMIFS('caseload data'!G:G,'caseload data'!$C:$C,'custody %'!$B$64,'caseload data'!$D:$D,"PSO",'caseload data'!$B:$B,"custody")/SUMIFS('caseload data'!G:G,'caseload data'!$B:$B,"custody",'caseload data'!$C:$C,'custody %'!$B$64),"")</f>
        <v/>
      </c>
      <c r="F67" s="187" t="str">
        <f>IFERROR(SUMIFS('caseload data'!H:H,'caseload data'!$C:$C,'custody %'!$B$64,'caseload data'!$D:$D,"PSO",'caseload data'!$B:$B,"custody")/SUMIFS('caseload data'!H:H,'caseload data'!$B:$B,"custody",'caseload data'!$C:$C,'custody %'!$B$64),"")</f>
        <v/>
      </c>
      <c r="G67" s="187" t="str">
        <f>IFERROR(SUMIFS('caseload data'!I:I,'caseload data'!$C:$C,'custody %'!$B$64,'caseload data'!$D:$D,"PSO",'caseload data'!$B:$B,"custody")/SUMIFS('caseload data'!I:I,'caseload data'!$B:$B,"custody",'caseload data'!$C:$C,'custody %'!$B$64),"")</f>
        <v/>
      </c>
      <c r="H67" s="187" t="str">
        <f>IFERROR(SUMIFS('caseload data'!J:J,'caseload data'!$C:$C,'custody %'!$B$64,'caseload data'!$D:$D,"PSO",'caseload data'!$B:$B,"custody")/SUMIFS('caseload data'!J:J,'caseload data'!$B:$B,"custody",'caseload data'!$C:$C,'custody %'!$B$64),"")</f>
        <v/>
      </c>
      <c r="I67" s="187" t="str">
        <f>IFERROR(SUMIFS('caseload data'!K:K,'caseload data'!$C:$C,'custody %'!$B$64,'caseload data'!$D:$D,"PSO",'caseload data'!$B:$B,"custody")/SUMIFS('caseload data'!K:K,'caseload data'!$B:$B,"custody",'caseload data'!$C:$C,'custody %'!$B$64),"")</f>
        <v/>
      </c>
      <c r="J67" s="187" t="str">
        <f>IFERROR(SUMIFS('caseload data'!L:L,'caseload data'!$C:$C,'custody %'!$B$64,'caseload data'!$D:$D,"PSO",'caseload data'!$B:$B,"custody")/SUMIFS('caseload data'!L:L,'caseload data'!$B:$B,"custody",'caseload data'!$C:$C,'custody %'!$B$64),"")</f>
        <v/>
      </c>
      <c r="K67" s="187" t="str">
        <f>IFERROR(SUMIFS('caseload data'!M:M,'caseload data'!$C:$C,'custody %'!$B$64,'caseload data'!$D:$D,"PSO",'caseload data'!$B:$B,"custody")/SUMIFS('caseload data'!M:M,'caseload data'!$B:$B,"custody",'caseload data'!$C:$C,'custody %'!$B$64),"")</f>
        <v/>
      </c>
      <c r="L67" s="187" t="str">
        <f>IFERROR(SUMIFS('caseload data'!N:N,'caseload data'!$C:$C,'custody %'!$B$64,'caseload data'!$D:$D,"PSO",'caseload data'!$B:$B,"custody")/SUMIFS('caseload data'!N:N,'caseload data'!$B:$B,"custody",'caseload data'!$C:$C,'custody %'!$B$64),"")</f>
        <v/>
      </c>
      <c r="M67" s="187" t="str">
        <f>IFERROR(SUMIFS('caseload data'!O:O,'caseload data'!$C:$C,'custody %'!$B$64,'caseload data'!$D:$D,"PSO",'caseload data'!$B:$B,"custody")/SUMIFS('caseload data'!O:O,'caseload data'!$B:$B,"custody",'caseload data'!$C:$C,'custody %'!$B$64),"")</f>
        <v/>
      </c>
      <c r="N67" s="187" t="str">
        <f>IFERROR(SUMIFS('caseload data'!P:P,'caseload data'!$C:$C,'custody %'!$B$64,'caseload data'!$D:$D,"PSO",'caseload data'!$B:$B,"custody")/SUMIFS('caseload data'!P:P,'caseload data'!$B:$B,"custody",'caseload data'!$C:$C,'custody %'!$B$64),"")</f>
        <v/>
      </c>
      <c r="O67" s="187" t="str">
        <f>IFERROR(SUMIFS('caseload data'!Q:Q,'caseload data'!$C:$C,'custody %'!$B$64,'caseload data'!$D:$D,"PSO",'caseload data'!$B:$B,"custody")/SUMIFS('caseload data'!Q:Q,'caseload data'!$B:$B,"custody",'caseload data'!$C:$C,'custody %'!$B$64),"")</f>
        <v/>
      </c>
      <c r="P67" s="187" t="str">
        <f>IFERROR(SUMIFS('caseload data'!R:R,'caseload data'!$C:$C,'custody %'!$B$64,'caseload data'!$D:$D,"PSO",'caseload data'!$B:$B,"custody")/SUMIFS('caseload data'!R:R,'caseload data'!$B:$B,"custody",'caseload data'!$C:$C,'custody %'!$B$64),"")</f>
        <v/>
      </c>
      <c r="Q67" s="187" t="str">
        <f>IFERROR(SUMIFS('caseload data'!S:S,'caseload data'!$C:$C,'custody %'!$B$64,'caseload data'!$D:$D,"PSO",'caseload data'!$B:$B,"custody")/SUMIFS('caseload data'!S:S,'caseload data'!$B:$B,"custody",'caseload data'!$C:$C,'custody %'!$B$64),"")</f>
        <v/>
      </c>
      <c r="R67" s="187" t="str">
        <f>IFERROR(SUMIFS('caseload data'!T:T,'caseload data'!$C:$C,'custody %'!$B$64,'caseload data'!$D:$D,"PSO",'caseload data'!$B:$B,"custody")/SUMIFS('caseload data'!T:T,'caseload data'!$B:$B,"custody",'caseload data'!$C:$C,'custody %'!$B$64),"")</f>
        <v/>
      </c>
      <c r="S67" s="76"/>
      <c r="T67" s="110" t="s">
        <v>1038</v>
      </c>
      <c r="U67" s="187" t="str">
        <f>IFERROR(SUMIFS('caseload data'!E:E,'caseload data'!$C:$C,'custody %'!$T$64,'caseload data'!$D:$D,"PSO",'caseload data'!$B:$B,"custody")/SUMIFS('caseload data'!E:E,'caseload data'!$B:$B,"custody",'caseload data'!$C:$C,'custody %'!$T$64),"")</f>
        <v/>
      </c>
      <c r="V67" s="187" t="str">
        <f>IFERROR(SUMIFS('caseload data'!F:F,'caseload data'!$C:$C,'custody %'!$T$64,'caseload data'!$D:$D,"PSO",'caseload data'!$B:$B,"custody")/SUMIFS('caseload data'!F:F,'caseload data'!$B:$B,"custody",'caseload data'!$C:$C,'custody %'!$T$64),"")</f>
        <v/>
      </c>
      <c r="W67" s="187" t="str">
        <f>IFERROR(SUMIFS('caseload data'!G:G,'caseload data'!$C:$C,'custody %'!$T$64,'caseload data'!$D:$D,"PSO",'caseload data'!$B:$B,"custody")/SUMIFS('caseload data'!G:G,'caseload data'!$B:$B,"custody",'caseload data'!$C:$C,'custody %'!$T$64),"")</f>
        <v/>
      </c>
      <c r="X67" s="187" t="str">
        <f>IFERROR(SUMIFS('caseload data'!H:H,'caseload data'!$C:$C,'custody %'!$T$64,'caseload data'!$D:$D,"PSO",'caseload data'!$B:$B,"custody")/SUMIFS('caseload data'!H:H,'caseload data'!$B:$B,"custody",'caseload data'!$C:$C,'custody %'!$T$64),"")</f>
        <v/>
      </c>
      <c r="Y67" s="187" t="str">
        <f>IFERROR(SUMIFS('caseload data'!I:I,'caseload data'!$C:$C,'custody %'!$T$64,'caseload data'!$D:$D,"PSO",'caseload data'!$B:$B,"custody")/SUMIFS('caseload data'!I:I,'caseload data'!$B:$B,"custody",'caseload data'!$C:$C,'custody %'!$T$64),"")</f>
        <v/>
      </c>
      <c r="Z67" s="187" t="str">
        <f>IFERROR(SUMIFS('caseload data'!J:J,'caseload data'!$C:$C,'custody %'!$T$64,'caseload data'!$D:$D,"PSO",'caseload data'!$B:$B,"custody")/SUMIFS('caseload data'!J:J,'caseload data'!$B:$B,"custody",'caseload data'!$C:$C,'custody %'!$T$64),"")</f>
        <v/>
      </c>
      <c r="AA67" s="187" t="str">
        <f>IFERROR(SUMIFS('caseload data'!K:K,'caseload data'!$C:$C,'custody %'!$T$64,'caseload data'!$D:$D,"PSO",'caseload data'!$B:$B,"custody")/SUMIFS('caseload data'!K:K,'caseload data'!$B:$B,"custody",'caseload data'!$C:$C,'custody %'!$T$64),"")</f>
        <v/>
      </c>
      <c r="AB67" s="187" t="str">
        <f>IFERROR(SUMIFS('caseload data'!L:L,'caseload data'!$C:$C,'custody %'!$T$64,'caseload data'!$D:$D,"PSO",'caseload data'!$B:$B,"custody")/SUMIFS('caseload data'!L:L,'caseload data'!$B:$B,"custody",'caseload data'!$C:$C,'custody %'!$T$64),"")</f>
        <v/>
      </c>
      <c r="AC67" s="187" t="str">
        <f>IFERROR(SUMIFS('caseload data'!M:M,'caseload data'!$C:$C,'custody %'!$T$64,'caseload data'!$D:$D,"PSO",'caseload data'!$B:$B,"custody")/SUMIFS('caseload data'!M:M,'caseload data'!$B:$B,"custody",'caseload data'!$C:$C,'custody %'!$T$64),"")</f>
        <v/>
      </c>
      <c r="AD67" s="187" t="str">
        <f>IFERROR(SUMIFS('caseload data'!N:N,'caseload data'!$C:$C,'custody %'!$T$64,'caseload data'!$D:$D,"PSO",'caseload data'!$B:$B,"custody")/SUMIFS('caseload data'!N:N,'caseload data'!$B:$B,"custody",'caseload data'!$C:$C,'custody %'!$T$64),"")</f>
        <v/>
      </c>
      <c r="AE67" s="187" t="str">
        <f>IFERROR(SUMIFS('caseload data'!O:O,'caseload data'!$C:$C,'custody %'!$T$64,'caseload data'!$D:$D,"PSO",'caseload data'!$B:$B,"custody")/SUMIFS('caseload data'!O:O,'caseload data'!$B:$B,"custody",'caseload data'!$C:$C,'custody %'!$T$64),"")</f>
        <v/>
      </c>
      <c r="AF67" s="187" t="str">
        <f>IFERROR(SUMIFS('caseload data'!P:P,'caseload data'!$C:$C,'custody %'!$T$64,'caseload data'!$D:$D,"PSO",'caseload data'!$B:$B,"custody")/SUMIFS('caseload data'!P:P,'caseload data'!$B:$B,"custody",'caseload data'!$C:$C,'custody %'!$T$64),"")</f>
        <v/>
      </c>
      <c r="AG67" s="187" t="str">
        <f>IFERROR(SUMIFS('caseload data'!Q:Q,'caseload data'!$C:$C,'custody %'!$T$64,'caseload data'!$D:$D,"PSO",'caseload data'!$B:$B,"custody")/SUMIFS('caseload data'!Q:Q,'caseload data'!$B:$B,"custody",'caseload data'!$C:$C,'custody %'!$T$64),"")</f>
        <v/>
      </c>
      <c r="AH67" s="187" t="str">
        <f>IFERROR(SUMIFS('caseload data'!R:R,'caseload data'!$C:$C,'custody %'!$T$64,'caseload data'!$D:$D,"PSO",'caseload data'!$B:$B,"custody")/SUMIFS('caseload data'!R:R,'caseload data'!$B:$B,"custody",'caseload data'!$C:$C,'custody %'!$T$64),"")</f>
        <v/>
      </c>
      <c r="AI67" s="187"/>
      <c r="AJ67" s="187"/>
    </row>
    <row r="68" spans="2:36" x14ac:dyDescent="0.15">
      <c r="B68" s="110" t="s">
        <v>1039</v>
      </c>
      <c r="C68" s="187" t="str">
        <f>IFERROR(SUMIFS('caseload data'!E:E,'caseload data'!$C:$C,'custody %'!$B$64,'caseload data'!$D:$D,"TPO",'caseload data'!$B:$B,"custody")/SUMIFS('caseload data'!E:E,'caseload data'!$B:$B,"custody",'caseload data'!$C:$C,'custody %'!$B$64),"")</f>
        <v/>
      </c>
      <c r="D68" s="187" t="str">
        <f>IFERROR(SUMIFS('caseload data'!F:F,'caseload data'!$C:$C,'custody %'!$B$64,'caseload data'!$D:$D,"TPO",'caseload data'!$B:$B,"custody")/SUMIFS('caseload data'!F:F,'caseload data'!$B:$B,"custody",'caseload data'!$C:$C,'custody %'!$B$64),"")</f>
        <v/>
      </c>
      <c r="E68" s="187" t="str">
        <f>IFERROR(SUMIFS('caseload data'!G:G,'caseload data'!$C:$C,'custody %'!$B$64,'caseload data'!$D:$D,"TPO",'caseload data'!$B:$B,"custody")/SUMIFS('caseload data'!G:G,'caseload data'!$B:$B,"custody",'caseload data'!$C:$C,'custody %'!$B$64),"")</f>
        <v/>
      </c>
      <c r="F68" s="187" t="str">
        <f>IFERROR(SUMIFS('caseload data'!H:H,'caseload data'!$C:$C,'custody %'!$B$64,'caseload data'!$D:$D,"TPO",'caseload data'!$B:$B,"custody")/SUMIFS('caseload data'!H:H,'caseload data'!$B:$B,"custody",'caseload data'!$C:$C,'custody %'!$B$64),"")</f>
        <v/>
      </c>
      <c r="G68" s="187" t="str">
        <f>IFERROR(SUMIFS('caseload data'!I:I,'caseload data'!$C:$C,'custody %'!$B$64,'caseload data'!$D:$D,"TPO",'caseload data'!$B:$B,"custody")/SUMIFS('caseload data'!I:I,'caseload data'!$B:$B,"custody",'caseload data'!$C:$C,'custody %'!$B$64),"")</f>
        <v/>
      </c>
      <c r="H68" s="187" t="str">
        <f>IFERROR(SUMIFS('caseload data'!J:J,'caseload data'!$C:$C,'custody %'!$B$64,'caseload data'!$D:$D,"TPO",'caseload data'!$B:$B,"custody")/SUMIFS('caseload data'!J:J,'caseload data'!$B:$B,"custody",'caseload data'!$C:$C,'custody %'!$B$64),"")</f>
        <v/>
      </c>
      <c r="I68" s="187" t="str">
        <f>IFERROR(SUMIFS('caseload data'!K:K,'caseload data'!$C:$C,'custody %'!$B$64,'caseload data'!$D:$D,"TPO",'caseload data'!$B:$B,"custody")/SUMIFS('caseload data'!K:K,'caseload data'!$B:$B,"custody",'caseload data'!$C:$C,'custody %'!$B$64),"")</f>
        <v/>
      </c>
      <c r="J68" s="187" t="str">
        <f>IFERROR(SUMIFS('caseload data'!L:L,'caseload data'!$C:$C,'custody %'!$B$64,'caseload data'!$D:$D,"TPO",'caseload data'!$B:$B,"custody")/SUMIFS('caseload data'!L:L,'caseload data'!$B:$B,"custody",'caseload data'!$C:$C,'custody %'!$B$64),"")</f>
        <v/>
      </c>
      <c r="K68" s="187" t="str">
        <f>IFERROR(SUMIFS('caseload data'!M:M,'caseload data'!$C:$C,'custody %'!$B$64,'caseload data'!$D:$D,"TPO",'caseload data'!$B:$B,"custody")/SUMIFS('caseload data'!M:M,'caseload data'!$B:$B,"custody",'caseload data'!$C:$C,'custody %'!$B$64),"")</f>
        <v/>
      </c>
      <c r="L68" s="187" t="str">
        <f>IFERROR(SUMIFS('caseload data'!N:N,'caseload data'!$C:$C,'custody %'!$B$64,'caseload data'!$D:$D,"TPO",'caseload data'!$B:$B,"custody")/SUMIFS('caseload data'!N:N,'caseload data'!$B:$B,"custody",'caseload data'!$C:$C,'custody %'!$B$64),"")</f>
        <v/>
      </c>
      <c r="M68" s="187" t="str">
        <f>IFERROR(SUMIFS('caseload data'!O:O,'caseload data'!$C:$C,'custody %'!$B$64,'caseload data'!$D:$D,"TPO",'caseload data'!$B:$B,"custody")/SUMIFS('caseload data'!O:O,'caseload data'!$B:$B,"custody",'caseload data'!$C:$C,'custody %'!$B$64),"")</f>
        <v/>
      </c>
      <c r="N68" s="187" t="str">
        <f>IFERROR(SUMIFS('caseload data'!P:P,'caseload data'!$C:$C,'custody %'!$B$64,'caseload data'!$D:$D,"TPO",'caseload data'!$B:$B,"custody")/SUMIFS('caseload data'!P:P,'caseload data'!$B:$B,"custody",'caseload data'!$C:$C,'custody %'!$B$64),"")</f>
        <v/>
      </c>
      <c r="O68" s="187" t="str">
        <f>IFERROR(SUMIFS('caseload data'!Q:Q,'caseload data'!$C:$C,'custody %'!$B$64,'caseload data'!$D:$D,"TPO",'caseload data'!$B:$B,"custody")/SUMIFS('caseload data'!Q:Q,'caseload data'!$B:$B,"custody",'caseload data'!$C:$C,'custody %'!$B$64),"")</f>
        <v/>
      </c>
      <c r="P68" s="187" t="str">
        <f>IFERROR(SUMIFS('caseload data'!R:R,'caseload data'!$C:$C,'custody %'!$B$64,'caseload data'!$D:$D,"TPO",'caseload data'!$B:$B,"custody")/SUMIFS('caseload data'!R:R,'caseload data'!$B:$B,"custody",'caseload data'!$C:$C,'custody %'!$B$64),"")</f>
        <v/>
      </c>
      <c r="Q68" s="187" t="str">
        <f>IFERROR(SUMIFS('caseload data'!S:S,'caseload data'!$C:$C,'custody %'!$B$64,'caseload data'!$D:$D,"TPO",'caseload data'!$B:$B,"custody")/SUMIFS('caseload data'!S:S,'caseload data'!$B:$B,"custody",'caseload data'!$C:$C,'custody %'!$B$64),"")</f>
        <v/>
      </c>
      <c r="R68" s="187" t="str">
        <f>IFERROR(SUMIFS('caseload data'!T:T,'caseload data'!$C:$C,'custody %'!$B$64,'caseload data'!$D:$D,"TPO",'caseload data'!$B:$B,"custody")/SUMIFS('caseload data'!T:T,'caseload data'!$B:$B,"custody",'caseload data'!$C:$C,'custody %'!$B$64),"")</f>
        <v/>
      </c>
      <c r="S68" s="76"/>
      <c r="T68" s="110" t="s">
        <v>1039</v>
      </c>
      <c r="U68" s="187" t="str">
        <f>IFERROR(SUMIFS('caseload data'!E:E,'caseload data'!$C:$C,'custody %'!$T$64,'caseload data'!$D:$D,"TPO",'caseload data'!$B:$B,"custody")/SUMIFS('caseload data'!E:E,'caseload data'!$B:$B,"custody",'caseload data'!$C:$C,'custody %'!$T$64),"")</f>
        <v/>
      </c>
      <c r="V68" s="187" t="str">
        <f>IFERROR(SUMIFS('caseload data'!F:F,'caseload data'!$C:$C,'custody %'!$T$64,'caseload data'!$D:$D,"TPO",'caseload data'!$B:$B,"custody")/SUMIFS('caseload data'!F:F,'caseload data'!$B:$B,"custody",'caseload data'!$C:$C,'custody %'!$T$64),"")</f>
        <v/>
      </c>
      <c r="W68" s="187" t="str">
        <f>IFERROR(SUMIFS('caseload data'!G:G,'caseload data'!$C:$C,'custody %'!$T$64,'caseload data'!$D:$D,"TPO",'caseload data'!$B:$B,"custody")/SUMIFS('caseload data'!G:G,'caseload data'!$B:$B,"custody",'caseload data'!$C:$C,'custody %'!$T$64),"")</f>
        <v/>
      </c>
      <c r="X68" s="187" t="str">
        <f>IFERROR(SUMIFS('caseload data'!H:H,'caseload data'!$C:$C,'custody %'!$T$64,'caseload data'!$D:$D,"TPO",'caseload data'!$B:$B,"custody")/SUMIFS('caseload data'!H:H,'caseload data'!$B:$B,"custody",'caseload data'!$C:$C,'custody %'!$T$64),"")</f>
        <v/>
      </c>
      <c r="Y68" s="187" t="str">
        <f>IFERROR(SUMIFS('caseload data'!I:I,'caseload data'!$C:$C,'custody %'!$T$64,'caseload data'!$D:$D,"TPO",'caseload data'!$B:$B,"custody")/SUMIFS('caseload data'!I:I,'caseload data'!$B:$B,"custody",'caseload data'!$C:$C,'custody %'!$T$64),"")</f>
        <v/>
      </c>
      <c r="Z68" s="187" t="str">
        <f>IFERROR(SUMIFS('caseload data'!J:J,'caseload data'!$C:$C,'custody %'!$T$64,'caseload data'!$D:$D,"TPO",'caseload data'!$B:$B,"custody")/SUMIFS('caseload data'!J:J,'caseload data'!$B:$B,"custody",'caseload data'!$C:$C,'custody %'!$T$64),"")</f>
        <v/>
      </c>
      <c r="AA68" s="187" t="str">
        <f>IFERROR(SUMIFS('caseload data'!K:K,'caseload data'!$C:$C,'custody %'!$T$64,'caseload data'!$D:$D,"TPO",'caseload data'!$B:$B,"custody")/SUMIFS('caseload data'!K:K,'caseload data'!$B:$B,"custody",'caseload data'!$C:$C,'custody %'!$T$64),"")</f>
        <v/>
      </c>
      <c r="AB68" s="187" t="str">
        <f>IFERROR(SUMIFS('caseload data'!L:L,'caseload data'!$C:$C,'custody %'!$T$64,'caseload data'!$D:$D,"TPO",'caseload data'!$B:$B,"custody")/SUMIFS('caseload data'!L:L,'caseload data'!$B:$B,"custody",'caseload data'!$C:$C,'custody %'!$T$64),"")</f>
        <v/>
      </c>
      <c r="AC68" s="187" t="str">
        <f>IFERROR(SUMIFS('caseload data'!M:M,'caseload data'!$C:$C,'custody %'!$T$64,'caseload data'!$D:$D,"TPO",'caseload data'!$B:$B,"custody")/SUMIFS('caseload data'!M:M,'caseload data'!$B:$B,"custody",'caseload data'!$C:$C,'custody %'!$T$64),"")</f>
        <v/>
      </c>
      <c r="AD68" s="187" t="str">
        <f>IFERROR(SUMIFS('caseload data'!N:N,'caseload data'!$C:$C,'custody %'!$T$64,'caseload data'!$D:$D,"TPO",'caseload data'!$B:$B,"custody")/SUMIFS('caseload data'!N:N,'caseload data'!$B:$B,"custody",'caseload data'!$C:$C,'custody %'!$T$64),"")</f>
        <v/>
      </c>
      <c r="AE68" s="187" t="str">
        <f>IFERROR(SUMIFS('caseload data'!O:O,'caseload data'!$C:$C,'custody %'!$T$64,'caseload data'!$D:$D,"TPO",'caseload data'!$B:$B,"custody")/SUMIFS('caseload data'!O:O,'caseload data'!$B:$B,"custody",'caseload data'!$C:$C,'custody %'!$T$64),"")</f>
        <v/>
      </c>
      <c r="AF68" s="187" t="str">
        <f>IFERROR(SUMIFS('caseload data'!P:P,'caseload data'!$C:$C,'custody %'!$T$64,'caseload data'!$D:$D,"TPO",'caseload data'!$B:$B,"custody")/SUMIFS('caseload data'!P:P,'caseload data'!$B:$B,"custody",'caseload data'!$C:$C,'custody %'!$T$64),"")</f>
        <v/>
      </c>
      <c r="AG68" s="187" t="str">
        <f>IFERROR(SUMIFS('caseload data'!Q:Q,'caseload data'!$C:$C,'custody %'!$T$64,'caseload data'!$D:$D,"TPO",'caseload data'!$B:$B,"custody")/SUMIFS('caseload data'!Q:Q,'caseload data'!$B:$B,"custody",'caseload data'!$C:$C,'custody %'!$T$64),"")</f>
        <v/>
      </c>
      <c r="AH68" s="187" t="str">
        <f>IFERROR(SUMIFS('caseload data'!R:R,'caseload data'!$C:$C,'custody %'!$T$64,'caseload data'!$D:$D,"TPO",'caseload data'!$B:$B,"custody")/SUMIFS('caseload data'!R:R,'caseload data'!$B:$B,"custody",'caseload data'!$C:$C,'custody %'!$T$64),"")</f>
        <v/>
      </c>
      <c r="AI68" s="187"/>
      <c r="AJ68" s="187"/>
    </row>
    <row r="69" spans="2:36" x14ac:dyDescent="0.15">
      <c r="B69" s="111" t="s">
        <v>1040</v>
      </c>
      <c r="C69" s="187" t="str">
        <f>IFERROR(SUMIFS('caseload data'!E:E,'caseload data'!$C:$C,'custody %'!$B$64,'caseload data'!$D:$D,"SPO",'caseload data'!$B:$B,"custody")/SUMIFS('caseload data'!E:E,'caseload data'!$B:$B,"custody",'caseload data'!$C:$C,'custody %'!$B$64),"")</f>
        <v/>
      </c>
      <c r="D69" s="187" t="str">
        <f>IFERROR(SUMIFS('caseload data'!F:F,'caseload data'!$C:$C,'custody %'!$B$64,'caseload data'!$D:$D,"SPO",'caseload data'!$B:$B,"custody")/SUMIFS('caseload data'!F:F,'caseload data'!$B:$B,"custody",'caseload data'!$C:$C,'custody %'!$B$64),"")</f>
        <v/>
      </c>
      <c r="E69" s="187" t="str">
        <f>IFERROR(SUMIFS('caseload data'!G:G,'caseload data'!$C:$C,'custody %'!$B$64,'caseload data'!$D:$D,"SPO",'caseload data'!$B:$B,"custody")/SUMIFS('caseload data'!G:G,'caseload data'!$B:$B,"custody",'caseload data'!$C:$C,'custody %'!$B$64),"")</f>
        <v/>
      </c>
      <c r="F69" s="187" t="str">
        <f>IFERROR(SUMIFS('caseload data'!H:H,'caseload data'!$C:$C,'custody %'!$B$64,'caseload data'!$D:$D,"SPO",'caseload data'!$B:$B,"custody")/SUMIFS('caseload data'!H:H,'caseload data'!$B:$B,"custody",'caseload data'!$C:$C,'custody %'!$B$64),"")</f>
        <v/>
      </c>
      <c r="G69" s="187" t="str">
        <f>IFERROR(SUMIFS('caseload data'!I:I,'caseload data'!$C:$C,'custody %'!$B$64,'caseload data'!$D:$D,"SPO",'caseload data'!$B:$B,"custody")/SUMIFS('caseload data'!I:I,'caseload data'!$B:$B,"custody",'caseload data'!$C:$C,'custody %'!$B$64),"")</f>
        <v/>
      </c>
      <c r="H69" s="187" t="str">
        <f>IFERROR(SUMIFS('caseload data'!J:J,'caseload data'!$C:$C,'custody %'!$B$64,'caseload data'!$D:$D,"SPO",'caseload data'!$B:$B,"custody")/SUMIFS('caseload data'!J:J,'caseload data'!$B:$B,"custody",'caseload data'!$C:$C,'custody %'!$B$64),"")</f>
        <v/>
      </c>
      <c r="I69" s="187" t="str">
        <f>IFERROR(SUMIFS('caseload data'!K:K,'caseload data'!$C:$C,'custody %'!$B$64,'caseload data'!$D:$D,"SPO",'caseload data'!$B:$B,"custody")/SUMIFS('caseload data'!K:K,'caseload data'!$B:$B,"custody",'caseload data'!$C:$C,'custody %'!$B$64),"")</f>
        <v/>
      </c>
      <c r="J69" s="187" t="str">
        <f>IFERROR(SUMIFS('caseload data'!L:L,'caseload data'!$C:$C,'custody %'!$B$64,'caseload data'!$D:$D,"SPO",'caseload data'!$B:$B,"custody")/SUMIFS('caseload data'!L:L,'caseload data'!$B:$B,"custody",'caseload data'!$C:$C,'custody %'!$B$64),"")</f>
        <v/>
      </c>
      <c r="K69" s="187" t="str">
        <f>IFERROR(SUMIFS('caseload data'!M:M,'caseload data'!$C:$C,'custody %'!$B$64,'caseload data'!$D:$D,"SPO",'caseload data'!$B:$B,"custody")/SUMIFS('caseload data'!M:M,'caseload data'!$B:$B,"custody",'caseload data'!$C:$C,'custody %'!$B$64),"")</f>
        <v/>
      </c>
      <c r="L69" s="187" t="str">
        <f>IFERROR(SUMIFS('caseload data'!N:N,'caseload data'!$C:$C,'custody %'!$B$64,'caseload data'!$D:$D,"SPO",'caseload data'!$B:$B,"custody")/SUMIFS('caseload data'!N:N,'caseload data'!$B:$B,"custody",'caseload data'!$C:$C,'custody %'!$B$64),"")</f>
        <v/>
      </c>
      <c r="M69" s="187" t="str">
        <f>IFERROR(SUMIFS('caseload data'!O:O,'caseload data'!$C:$C,'custody %'!$B$64,'caseload data'!$D:$D,"SPO",'caseload data'!$B:$B,"custody")/SUMIFS('caseload data'!O:O,'caseload data'!$B:$B,"custody",'caseload data'!$C:$C,'custody %'!$B$64),"")</f>
        <v/>
      </c>
      <c r="N69" s="187" t="str">
        <f>IFERROR(SUMIFS('caseload data'!P:P,'caseload data'!$C:$C,'custody %'!$B$64,'caseload data'!$D:$D,"SPO",'caseload data'!$B:$B,"custody")/SUMIFS('caseload data'!P:P,'caseload data'!$B:$B,"custody",'caseload data'!$C:$C,'custody %'!$B$64),"")</f>
        <v/>
      </c>
      <c r="O69" s="187" t="str">
        <f>IFERROR(SUMIFS('caseload data'!Q:Q,'caseload data'!$C:$C,'custody %'!$B$64,'caseload data'!$D:$D,"SPO",'caseload data'!$B:$B,"custody")/SUMIFS('caseload data'!Q:Q,'caseload data'!$B:$B,"custody",'caseload data'!$C:$C,'custody %'!$B$64),"")</f>
        <v/>
      </c>
      <c r="P69" s="187" t="str">
        <f>IFERROR(SUMIFS('caseload data'!R:R,'caseload data'!$C:$C,'custody %'!$B$64,'caseload data'!$D:$D,"SPO",'caseload data'!$B:$B,"custody")/SUMIFS('caseload data'!R:R,'caseload data'!$B:$B,"custody",'caseload data'!$C:$C,'custody %'!$B$64),"")</f>
        <v/>
      </c>
      <c r="Q69" s="187" t="str">
        <f>IFERROR(SUMIFS('caseload data'!S:S,'caseload data'!$C:$C,'custody %'!$B$64,'caseload data'!$D:$D,"SPO",'caseload data'!$B:$B,"custody")/SUMIFS('caseload data'!S:S,'caseload data'!$B:$B,"custody",'caseload data'!$C:$C,'custody %'!$B$64),"")</f>
        <v/>
      </c>
      <c r="R69" s="187" t="str">
        <f>IFERROR(SUMIFS('caseload data'!T:T,'caseload data'!$C:$C,'custody %'!$B$64,'caseload data'!$D:$D,"SPO",'caseload data'!$B:$B,"custody")/SUMIFS('caseload data'!T:T,'caseload data'!$B:$B,"custody",'caseload data'!$C:$C,'custody %'!$B$64),"")</f>
        <v/>
      </c>
      <c r="S69" s="76"/>
      <c r="T69" s="111" t="s">
        <v>1040</v>
      </c>
      <c r="U69" s="187" t="str">
        <f>IFERROR(SUMIFS('caseload data'!E:E,'caseload data'!$C:$C,'custody %'!$T$64,'caseload data'!$D:$D,"SPO",'caseload data'!$B:$B,"custody")/SUMIFS('caseload data'!E:E,'caseload data'!$B:$B,"custody",'caseload data'!$C:$C,'custody %'!$T$64),"")</f>
        <v/>
      </c>
      <c r="V69" s="187" t="str">
        <f>IFERROR(SUMIFS('caseload data'!F:F,'caseload data'!$C:$C,'custody %'!$T$64,'caseload data'!$D:$D,"SPO",'caseload data'!$B:$B,"custody")/SUMIFS('caseload data'!F:F,'caseload data'!$B:$B,"custody",'caseload data'!$C:$C,'custody %'!$T$64),"")</f>
        <v/>
      </c>
      <c r="W69" s="187" t="str">
        <f>IFERROR(SUMIFS('caseload data'!G:G,'caseload data'!$C:$C,'custody %'!$T$64,'caseload data'!$D:$D,"SPO",'caseload data'!$B:$B,"custody")/SUMIFS('caseload data'!G:G,'caseload data'!$B:$B,"custody",'caseload data'!$C:$C,'custody %'!$T$64),"")</f>
        <v/>
      </c>
      <c r="X69" s="187" t="str">
        <f>IFERROR(SUMIFS('caseload data'!H:H,'caseload data'!$C:$C,'custody %'!$T$64,'caseload data'!$D:$D,"SPO",'caseload data'!$B:$B,"custody")/SUMIFS('caseload data'!H:H,'caseload data'!$B:$B,"custody",'caseload data'!$C:$C,'custody %'!$T$64),"")</f>
        <v/>
      </c>
      <c r="Y69" s="187" t="str">
        <f>IFERROR(SUMIFS('caseload data'!I:I,'caseload data'!$C:$C,'custody %'!$T$64,'caseload data'!$D:$D,"SPO",'caseload data'!$B:$B,"custody")/SUMIFS('caseload data'!I:I,'caseload data'!$B:$B,"custody",'caseload data'!$C:$C,'custody %'!$T$64),"")</f>
        <v/>
      </c>
      <c r="Z69" s="187" t="str">
        <f>IFERROR(SUMIFS('caseload data'!J:J,'caseload data'!$C:$C,'custody %'!$T$64,'caseload data'!$D:$D,"SPO",'caseload data'!$B:$B,"custody")/SUMIFS('caseload data'!J:J,'caseload data'!$B:$B,"custody",'caseload data'!$C:$C,'custody %'!$T$64),"")</f>
        <v/>
      </c>
      <c r="AA69" s="187" t="str">
        <f>IFERROR(SUMIFS('caseload data'!K:K,'caseload data'!$C:$C,'custody %'!$T$64,'caseload data'!$D:$D,"SPO",'caseload data'!$B:$B,"custody")/SUMIFS('caseload data'!K:K,'caseload data'!$B:$B,"custody",'caseload data'!$C:$C,'custody %'!$T$64),"")</f>
        <v/>
      </c>
      <c r="AB69" s="187" t="str">
        <f>IFERROR(SUMIFS('caseload data'!L:L,'caseload data'!$C:$C,'custody %'!$T$64,'caseload data'!$D:$D,"SPO",'caseload data'!$B:$B,"custody")/SUMIFS('caseload data'!L:L,'caseload data'!$B:$B,"custody",'caseload data'!$C:$C,'custody %'!$T$64),"")</f>
        <v/>
      </c>
      <c r="AC69" s="187" t="str">
        <f>IFERROR(SUMIFS('caseload data'!M:M,'caseload data'!$C:$C,'custody %'!$T$64,'caseload data'!$D:$D,"SPO",'caseload data'!$B:$B,"custody")/SUMIFS('caseload data'!M:M,'caseload data'!$B:$B,"custody",'caseload data'!$C:$C,'custody %'!$T$64),"")</f>
        <v/>
      </c>
      <c r="AD69" s="187" t="str">
        <f>IFERROR(SUMIFS('caseload data'!N:N,'caseload data'!$C:$C,'custody %'!$T$64,'caseload data'!$D:$D,"SPO",'caseload data'!$B:$B,"custody")/SUMIFS('caseload data'!N:N,'caseload data'!$B:$B,"custody",'caseload data'!$C:$C,'custody %'!$T$64),"")</f>
        <v/>
      </c>
      <c r="AE69" s="187" t="str">
        <f>IFERROR(SUMIFS('caseload data'!O:O,'caseload data'!$C:$C,'custody %'!$T$64,'caseload data'!$D:$D,"SPO",'caseload data'!$B:$B,"custody")/SUMIFS('caseload data'!O:O,'caseload data'!$B:$B,"custody",'caseload data'!$C:$C,'custody %'!$T$64),"")</f>
        <v/>
      </c>
      <c r="AF69" s="187" t="str">
        <f>IFERROR(SUMIFS('caseload data'!P:P,'caseload data'!$C:$C,'custody %'!$T$64,'caseload data'!$D:$D,"SPO",'caseload data'!$B:$B,"custody")/SUMIFS('caseload data'!P:P,'caseload data'!$B:$B,"custody",'caseload data'!$C:$C,'custody %'!$T$64),"")</f>
        <v/>
      </c>
      <c r="AG69" s="187" t="str">
        <f>IFERROR(SUMIFS('caseload data'!Q:Q,'caseload data'!$C:$C,'custody %'!$T$64,'caseload data'!$D:$D,"SPO",'caseload data'!$B:$B,"custody")/SUMIFS('caseload data'!Q:Q,'caseload data'!$B:$B,"custody",'caseload data'!$C:$C,'custody %'!$T$64),"")</f>
        <v/>
      </c>
      <c r="AH69" s="187" t="str">
        <f>IFERROR(SUMIFS('caseload data'!R:R,'caseload data'!$C:$C,'custody %'!$T$64,'caseload data'!$D:$D,"SPO",'caseload data'!$B:$B,"custody")/SUMIFS('caseload data'!R:R,'caseload data'!$B:$B,"custody",'caseload data'!$C:$C,'custody %'!$T$64),"")</f>
        <v/>
      </c>
      <c r="AI69" s="187"/>
      <c r="AJ69" s="187"/>
    </row>
    <row r="71" spans="2:36" x14ac:dyDescent="0.15">
      <c r="B71" s="162" t="str">
        <f>HLOOKUP($B$5,Region_Table,20,0)</f>
        <v>Lewisham and Bromley</v>
      </c>
      <c r="C71" s="333" t="s">
        <v>1262</v>
      </c>
      <c r="D71" s="334"/>
      <c r="E71" s="334"/>
      <c r="F71" s="334"/>
      <c r="G71" s="334"/>
      <c r="H71" s="334"/>
      <c r="I71" s="334"/>
      <c r="J71" s="334"/>
      <c r="K71" s="334"/>
      <c r="L71" s="334"/>
      <c r="M71" s="343"/>
      <c r="N71" s="343"/>
      <c r="O71" s="344"/>
      <c r="P71" s="337">
        <f>SUMIF('caseload data'!$C:$C,'custody %'!B71,'caseload data'!V:V)</f>
        <v>0</v>
      </c>
      <c r="Q71" s="345"/>
      <c r="R71" s="346"/>
    </row>
    <row r="72" spans="2:36" x14ac:dyDescent="0.15">
      <c r="B72" s="108" t="s">
        <v>1199</v>
      </c>
      <c r="C72" s="42" t="s">
        <v>1019</v>
      </c>
      <c r="D72" s="42" t="s">
        <v>1020</v>
      </c>
      <c r="E72" s="42" t="s">
        <v>1021</v>
      </c>
      <c r="F72" s="42" t="s">
        <v>1022</v>
      </c>
      <c r="G72" s="42" t="s">
        <v>1023</v>
      </c>
      <c r="H72" s="42" t="s">
        <v>1024</v>
      </c>
      <c r="I72" s="42" t="s">
        <v>1025</v>
      </c>
      <c r="J72" s="42" t="s">
        <v>1026</v>
      </c>
      <c r="K72" s="42" t="s">
        <v>1027</v>
      </c>
      <c r="L72" s="42" t="s">
        <v>1028</v>
      </c>
      <c r="M72" s="42" t="s">
        <v>1029</v>
      </c>
      <c r="N72" s="42" t="s">
        <v>1030</v>
      </c>
      <c r="O72" s="42" t="s">
        <v>1031</v>
      </c>
      <c r="P72" s="42" t="s">
        <v>1032</v>
      </c>
      <c r="Q72" s="42" t="s">
        <v>1033</v>
      </c>
      <c r="R72" s="42" t="s">
        <v>1034</v>
      </c>
    </row>
    <row r="73" spans="2:36" x14ac:dyDescent="0.15">
      <c r="B73" s="109" t="s">
        <v>1037</v>
      </c>
      <c r="C73" s="187" t="str">
        <f>IFERROR(SUMIFS('caseload data'!E:E,'caseload data'!$C:$C,'custody %'!$B$64,'caseload data'!$D:$D,"PO",'caseload data'!$B:$B,"custody")/SUMIFS('caseload data'!E:E,'caseload data'!$B:$B,"custody",'caseload data'!$C:$C,'custody %'!$B$64),"")</f>
        <v/>
      </c>
      <c r="D73" s="187" t="str">
        <f>IFERROR(SUMIFS('caseload data'!F:F,'caseload data'!$C:$C,'custody %'!$B$64,'caseload data'!$D:$D,"PO",'caseload data'!$B:$B,"custody")/SUMIFS('caseload data'!F:F,'caseload data'!$B:$B,"custody",'caseload data'!$C:$C,'custody %'!$B$64),"")</f>
        <v/>
      </c>
      <c r="E73" s="187" t="str">
        <f>IFERROR(SUMIFS('caseload data'!G:G,'caseload data'!$C:$C,'custody %'!$B$64,'caseload data'!$D:$D,"PO",'caseload data'!$B:$B,"custody")/SUMIFS('caseload data'!G:G,'caseload data'!$B:$B,"custody",'caseload data'!$C:$C,'custody %'!$B$64),"")</f>
        <v/>
      </c>
      <c r="F73" s="187" t="str">
        <f>IFERROR(SUMIFS('caseload data'!H:H,'caseload data'!$C:$C,'custody %'!$B$64,'caseload data'!$D:$D,"PO",'caseload data'!$B:$B,"custody")/SUMIFS('caseload data'!H:H,'caseload data'!$B:$B,"custody",'caseload data'!$C:$C,'custody %'!$B$64),"")</f>
        <v/>
      </c>
      <c r="G73" s="187" t="str">
        <f>IFERROR(SUMIFS('caseload data'!I:I,'caseload data'!$C:$C,'custody %'!$B$64,'caseload data'!$D:$D,"PO",'caseload data'!$B:$B,"custody")/SUMIFS('caseload data'!I:I,'caseload data'!$B:$B,"custody",'caseload data'!$C:$C,'custody %'!$B$64),"")</f>
        <v/>
      </c>
      <c r="H73" s="187" t="str">
        <f>IFERROR(SUMIFS('caseload data'!J:J,'caseload data'!$C:$C,'custody %'!$B$64,'caseload data'!$D:$D,"PO",'caseload data'!$B:$B,"custody")/SUMIFS('caseload data'!J:J,'caseload data'!$B:$B,"custody",'caseload data'!$C:$C,'custody %'!$B$64),"")</f>
        <v/>
      </c>
      <c r="I73" s="187" t="str">
        <f>IFERROR(SUMIFS('caseload data'!K:K,'caseload data'!$C:$C,'custody %'!$B$64,'caseload data'!$D:$D,"PO",'caseload data'!$B:$B,"custody")/SUMIFS('caseload data'!K:K,'caseload data'!$B:$B,"custody",'caseload data'!$C:$C,'custody %'!$B$64),"")</f>
        <v/>
      </c>
      <c r="J73" s="187" t="str">
        <f>IFERROR(SUMIFS('caseload data'!L:L,'caseload data'!$C:$C,'custody %'!$B$64,'caseload data'!$D:$D,"PO",'caseload data'!$B:$B,"custody")/SUMIFS('caseload data'!L:L,'caseload data'!$B:$B,"custody",'caseload data'!$C:$C,'custody %'!$B$64),"")</f>
        <v/>
      </c>
      <c r="K73" s="187" t="str">
        <f>IFERROR(SUMIFS('caseload data'!M:M,'caseload data'!$C:$C,'custody %'!$B$64,'caseload data'!$D:$D,"PO",'caseload data'!$B:$B,"custody")/SUMIFS('caseload data'!M:M,'caseload data'!$B:$B,"custody",'caseload data'!$C:$C,'custody %'!$B$64),"")</f>
        <v/>
      </c>
      <c r="L73" s="187" t="str">
        <f>IFERROR(SUMIFS('caseload data'!N:N,'caseload data'!$C:$C,'custody %'!$B$64,'caseload data'!$D:$D,"PO",'caseload data'!$B:$B,"custody")/SUMIFS('caseload data'!N:N,'caseload data'!$B:$B,"custody",'caseload data'!$C:$C,'custody %'!$B$64),"")</f>
        <v/>
      </c>
      <c r="M73" s="187" t="str">
        <f>IFERROR(SUMIFS('caseload data'!O:O,'caseload data'!$C:$C,'custody %'!$B$64,'caseload data'!$D:$D,"PO",'caseload data'!$B:$B,"custody")/SUMIFS('caseload data'!O:O,'caseload data'!$B:$B,"custody",'caseload data'!$C:$C,'custody %'!$B$64),"")</f>
        <v/>
      </c>
      <c r="N73" s="187" t="str">
        <f>IFERROR(SUMIFS('caseload data'!P:P,'caseload data'!$C:$C,'custody %'!$B$64,'caseload data'!$D:$D,"PO",'caseload data'!$B:$B,"custody")/SUMIFS('caseload data'!P:P,'caseload data'!$B:$B,"custody",'caseload data'!$C:$C,'custody %'!$B$64),"")</f>
        <v/>
      </c>
      <c r="O73" s="187" t="str">
        <f>IFERROR(SUMIFS('caseload data'!Q:Q,'caseload data'!$C:$C,'custody %'!$B$64,'caseload data'!$D:$D,"PO",'caseload data'!$B:$B,"custody")/SUMIFS('caseload data'!Q:Q,'caseload data'!$B:$B,"custody",'caseload data'!$C:$C,'custody %'!$B$64),"")</f>
        <v/>
      </c>
      <c r="P73" s="187" t="str">
        <f>IFERROR(SUMIFS('caseload data'!R:R,'caseload data'!$C:$C,'custody %'!$B$64,'caseload data'!$D:$D,"PO",'caseload data'!$B:$B,"custody")/SUMIFS('caseload data'!R:R,'caseload data'!$B:$B,"custody",'caseload data'!$C:$C,'custody %'!$B$64),"")</f>
        <v/>
      </c>
      <c r="Q73" s="187" t="str">
        <f>IFERROR(SUMIFS('caseload data'!S:S,'caseload data'!$C:$C,'custody %'!$B$64,'caseload data'!$D:$D,"PO",'caseload data'!$B:$B,"custody")/SUMIFS('caseload data'!S:S,'caseload data'!$B:$B,"custody",'caseload data'!$C:$C,'custody %'!$B$64),"")</f>
        <v/>
      </c>
      <c r="R73" s="187" t="str">
        <f>IFERROR(SUMIFS('caseload data'!T:T,'caseload data'!$C:$C,'custody %'!$B$64,'caseload data'!$D:$D,"PO",'caseload data'!$B:$B,"custody")/SUMIFS('caseload data'!T:T,'caseload data'!$B:$B,"custody",'caseload data'!$C:$C,'custody %'!$B$64),"")</f>
        <v/>
      </c>
    </row>
    <row r="74" spans="2:36" x14ac:dyDescent="0.15">
      <c r="B74" s="110" t="s">
        <v>1038</v>
      </c>
      <c r="C74" s="187" t="str">
        <f>IFERROR(SUMIFS('caseload data'!E:E,'caseload data'!$C:$C,'custody %'!$B$64,'caseload data'!$D:$D,"PSO",'caseload data'!$B:$B,"custody")/SUMIFS('caseload data'!E:E,'caseload data'!$B:$B,"custody",'caseload data'!$C:$C,'custody %'!$B$64),"")</f>
        <v/>
      </c>
      <c r="D74" s="187" t="str">
        <f>IFERROR(SUMIFS('caseload data'!F:F,'caseload data'!$C:$C,'custody %'!$B$64,'caseload data'!$D:$D,"PSO",'caseload data'!$B:$B,"custody")/SUMIFS('caseload data'!F:F,'caseload data'!$B:$B,"custody",'caseload data'!$C:$C,'custody %'!$B$64),"")</f>
        <v/>
      </c>
      <c r="E74" s="187" t="str">
        <f>IFERROR(SUMIFS('caseload data'!G:G,'caseload data'!$C:$C,'custody %'!$B$64,'caseload data'!$D:$D,"PSO",'caseload data'!$B:$B,"custody")/SUMIFS('caseload data'!G:G,'caseload data'!$B:$B,"custody",'caseload data'!$C:$C,'custody %'!$B$64),"")</f>
        <v/>
      </c>
      <c r="F74" s="187" t="str">
        <f>IFERROR(SUMIFS('caseload data'!H:H,'caseload data'!$C:$C,'custody %'!$B$64,'caseload data'!$D:$D,"PSO",'caseload data'!$B:$B,"custody")/SUMIFS('caseload data'!H:H,'caseload data'!$B:$B,"custody",'caseload data'!$C:$C,'custody %'!$B$64),"")</f>
        <v/>
      </c>
      <c r="G74" s="187" t="str">
        <f>IFERROR(SUMIFS('caseload data'!I:I,'caseload data'!$C:$C,'custody %'!$B$64,'caseload data'!$D:$D,"PSO",'caseload data'!$B:$B,"custody")/SUMIFS('caseload data'!I:I,'caseload data'!$B:$B,"custody",'caseload data'!$C:$C,'custody %'!$B$64),"")</f>
        <v/>
      </c>
      <c r="H74" s="187" t="str">
        <f>IFERROR(SUMIFS('caseload data'!J:J,'caseload data'!$C:$C,'custody %'!$B$64,'caseload data'!$D:$D,"PSO",'caseload data'!$B:$B,"custody")/SUMIFS('caseload data'!J:J,'caseload data'!$B:$B,"custody",'caseload data'!$C:$C,'custody %'!$B$64),"")</f>
        <v/>
      </c>
      <c r="I74" s="187" t="str">
        <f>IFERROR(SUMIFS('caseload data'!K:K,'caseload data'!$C:$C,'custody %'!$B$64,'caseload data'!$D:$D,"PSO",'caseload data'!$B:$B,"custody")/SUMIFS('caseload data'!K:K,'caseload data'!$B:$B,"custody",'caseload data'!$C:$C,'custody %'!$B$64),"")</f>
        <v/>
      </c>
      <c r="J74" s="187" t="str">
        <f>IFERROR(SUMIFS('caseload data'!L:L,'caseload data'!$C:$C,'custody %'!$B$64,'caseload data'!$D:$D,"PSO",'caseload data'!$B:$B,"custody")/SUMIFS('caseload data'!L:L,'caseload data'!$B:$B,"custody",'caseload data'!$C:$C,'custody %'!$B$64),"")</f>
        <v/>
      </c>
      <c r="K74" s="187" t="str">
        <f>IFERROR(SUMIFS('caseload data'!M:M,'caseload data'!$C:$C,'custody %'!$B$64,'caseload data'!$D:$D,"PSO",'caseload data'!$B:$B,"custody")/SUMIFS('caseload data'!M:M,'caseload data'!$B:$B,"custody",'caseload data'!$C:$C,'custody %'!$B$64),"")</f>
        <v/>
      </c>
      <c r="L74" s="187" t="str">
        <f>IFERROR(SUMIFS('caseload data'!N:N,'caseload data'!$C:$C,'custody %'!$B$64,'caseload data'!$D:$D,"PSO",'caseload data'!$B:$B,"custody")/SUMIFS('caseload data'!N:N,'caseload data'!$B:$B,"custody",'caseload data'!$C:$C,'custody %'!$B$64),"")</f>
        <v/>
      </c>
      <c r="M74" s="187" t="str">
        <f>IFERROR(SUMIFS('caseload data'!O:O,'caseload data'!$C:$C,'custody %'!$B$64,'caseload data'!$D:$D,"PSO",'caseload data'!$B:$B,"custody")/SUMIFS('caseload data'!O:O,'caseload data'!$B:$B,"custody",'caseload data'!$C:$C,'custody %'!$B$64),"")</f>
        <v/>
      </c>
      <c r="N74" s="187" t="str">
        <f>IFERROR(SUMIFS('caseload data'!P:P,'caseload data'!$C:$C,'custody %'!$B$64,'caseload data'!$D:$D,"PSO",'caseload data'!$B:$B,"custody")/SUMIFS('caseload data'!P:P,'caseload data'!$B:$B,"custody",'caseload data'!$C:$C,'custody %'!$B$64),"")</f>
        <v/>
      </c>
      <c r="O74" s="187" t="str">
        <f>IFERROR(SUMIFS('caseload data'!Q:Q,'caseload data'!$C:$C,'custody %'!$B$64,'caseload data'!$D:$D,"PSO",'caseload data'!$B:$B,"custody")/SUMIFS('caseload data'!Q:Q,'caseload data'!$B:$B,"custody",'caseload data'!$C:$C,'custody %'!$B$64),"")</f>
        <v/>
      </c>
      <c r="P74" s="187" t="str">
        <f>IFERROR(SUMIFS('caseload data'!R:R,'caseload data'!$C:$C,'custody %'!$B$64,'caseload data'!$D:$D,"PSO",'caseload data'!$B:$B,"custody")/SUMIFS('caseload data'!R:R,'caseload data'!$B:$B,"custody",'caseload data'!$C:$C,'custody %'!$B$64),"")</f>
        <v/>
      </c>
      <c r="Q74" s="187" t="str">
        <f>IFERROR(SUMIFS('caseload data'!S:S,'caseload data'!$C:$C,'custody %'!$B$64,'caseload data'!$D:$D,"PSO",'caseload data'!$B:$B,"custody")/SUMIFS('caseload data'!S:S,'caseload data'!$B:$B,"custody",'caseload data'!$C:$C,'custody %'!$B$64),"")</f>
        <v/>
      </c>
      <c r="R74" s="187" t="str">
        <f>IFERROR(SUMIFS('caseload data'!T:T,'caseload data'!$C:$C,'custody %'!$B$64,'caseload data'!$D:$D,"PSO",'caseload data'!$B:$B,"custody")/SUMIFS('caseload data'!T:T,'caseload data'!$B:$B,"custody",'caseload data'!$C:$C,'custody %'!$B$64),"")</f>
        <v/>
      </c>
    </row>
    <row r="75" spans="2:36" x14ac:dyDescent="0.15">
      <c r="B75" s="110" t="s">
        <v>1039</v>
      </c>
      <c r="C75" s="187" t="str">
        <f>IFERROR(SUMIFS('caseload data'!E:E,'caseload data'!$C:$C,'custody %'!$B$64,'caseload data'!$D:$D,"TPO",'caseload data'!$B:$B,"custody")/SUMIFS('caseload data'!E:E,'caseload data'!$B:$B,"custody",'caseload data'!$C:$C,'custody %'!$B$64),"")</f>
        <v/>
      </c>
      <c r="D75" s="187" t="str">
        <f>IFERROR(SUMIFS('caseload data'!F:F,'caseload data'!$C:$C,'custody %'!$B$64,'caseload data'!$D:$D,"TPO",'caseload data'!$B:$B,"custody")/SUMIFS('caseload data'!F:F,'caseload data'!$B:$B,"custody",'caseload data'!$C:$C,'custody %'!$B$64),"")</f>
        <v/>
      </c>
      <c r="E75" s="187" t="str">
        <f>IFERROR(SUMIFS('caseload data'!G:G,'caseload data'!$C:$C,'custody %'!$B$64,'caseload data'!$D:$D,"TPO",'caseload data'!$B:$B,"custody")/SUMIFS('caseload data'!G:G,'caseload data'!$B:$B,"custody",'caseload data'!$C:$C,'custody %'!$B$64),"")</f>
        <v/>
      </c>
      <c r="F75" s="187" t="str">
        <f>IFERROR(SUMIFS('caseload data'!H:H,'caseload data'!$C:$C,'custody %'!$B$64,'caseload data'!$D:$D,"TPO",'caseload data'!$B:$B,"custody")/SUMIFS('caseload data'!H:H,'caseload data'!$B:$B,"custody",'caseload data'!$C:$C,'custody %'!$B$64),"")</f>
        <v/>
      </c>
      <c r="G75" s="187" t="str">
        <f>IFERROR(SUMIFS('caseload data'!I:I,'caseload data'!$C:$C,'custody %'!$B$64,'caseload data'!$D:$D,"TPO",'caseload data'!$B:$B,"custody")/SUMIFS('caseload data'!I:I,'caseload data'!$B:$B,"custody",'caseload data'!$C:$C,'custody %'!$B$64),"")</f>
        <v/>
      </c>
      <c r="H75" s="187" t="str">
        <f>IFERROR(SUMIFS('caseload data'!J:J,'caseload data'!$C:$C,'custody %'!$B$64,'caseload data'!$D:$D,"TPO",'caseload data'!$B:$B,"custody")/SUMIFS('caseload data'!J:J,'caseload data'!$B:$B,"custody",'caseload data'!$C:$C,'custody %'!$B$64),"")</f>
        <v/>
      </c>
      <c r="I75" s="187" t="str">
        <f>IFERROR(SUMIFS('caseload data'!K:K,'caseload data'!$C:$C,'custody %'!$B$64,'caseload data'!$D:$D,"TPO",'caseload data'!$B:$B,"custody")/SUMIFS('caseload data'!K:K,'caseload data'!$B:$B,"custody",'caseload data'!$C:$C,'custody %'!$B$64),"")</f>
        <v/>
      </c>
      <c r="J75" s="187" t="str">
        <f>IFERROR(SUMIFS('caseload data'!L:L,'caseload data'!$C:$C,'custody %'!$B$64,'caseload data'!$D:$D,"TPO",'caseload data'!$B:$B,"custody")/SUMIFS('caseload data'!L:L,'caseload data'!$B:$B,"custody",'caseload data'!$C:$C,'custody %'!$B$64),"")</f>
        <v/>
      </c>
      <c r="K75" s="187" t="str">
        <f>IFERROR(SUMIFS('caseload data'!M:M,'caseload data'!$C:$C,'custody %'!$B$64,'caseload data'!$D:$D,"TPO",'caseload data'!$B:$B,"custody")/SUMIFS('caseload data'!M:M,'caseload data'!$B:$B,"custody",'caseload data'!$C:$C,'custody %'!$B$64),"")</f>
        <v/>
      </c>
      <c r="L75" s="187" t="str">
        <f>IFERROR(SUMIFS('caseload data'!N:N,'caseload data'!$C:$C,'custody %'!$B$64,'caseload data'!$D:$D,"TPO",'caseload data'!$B:$B,"custody")/SUMIFS('caseload data'!N:N,'caseload data'!$B:$B,"custody",'caseload data'!$C:$C,'custody %'!$B$64),"")</f>
        <v/>
      </c>
      <c r="M75" s="187" t="str">
        <f>IFERROR(SUMIFS('caseload data'!O:O,'caseload data'!$C:$C,'custody %'!$B$64,'caseload data'!$D:$D,"TPO",'caseload data'!$B:$B,"custody")/SUMIFS('caseload data'!O:O,'caseload data'!$B:$B,"custody",'caseload data'!$C:$C,'custody %'!$B$64),"")</f>
        <v/>
      </c>
      <c r="N75" s="187" t="str">
        <f>IFERROR(SUMIFS('caseload data'!P:P,'caseload data'!$C:$C,'custody %'!$B$64,'caseload data'!$D:$D,"TPO",'caseload data'!$B:$B,"custody")/SUMIFS('caseload data'!P:P,'caseload data'!$B:$B,"custody",'caseload data'!$C:$C,'custody %'!$B$64),"")</f>
        <v/>
      </c>
      <c r="O75" s="187" t="str">
        <f>IFERROR(SUMIFS('caseload data'!Q:Q,'caseload data'!$C:$C,'custody %'!$B$64,'caseload data'!$D:$D,"TPO",'caseload data'!$B:$B,"custody")/SUMIFS('caseload data'!Q:Q,'caseload data'!$B:$B,"custody",'caseload data'!$C:$C,'custody %'!$B$64),"")</f>
        <v/>
      </c>
      <c r="P75" s="187" t="str">
        <f>IFERROR(SUMIFS('caseload data'!R:R,'caseload data'!$C:$C,'custody %'!$B$64,'caseload data'!$D:$D,"TPO",'caseload data'!$B:$B,"custody")/SUMIFS('caseload data'!R:R,'caseload data'!$B:$B,"custody",'caseload data'!$C:$C,'custody %'!$B$64),"")</f>
        <v/>
      </c>
      <c r="Q75" s="187" t="str">
        <f>IFERROR(SUMIFS('caseload data'!S:S,'caseload data'!$C:$C,'custody %'!$B$64,'caseload data'!$D:$D,"TPO",'caseload data'!$B:$B,"custody")/SUMIFS('caseload data'!S:S,'caseload data'!$B:$B,"custody",'caseload data'!$C:$C,'custody %'!$B$64),"")</f>
        <v/>
      </c>
      <c r="R75" s="187" t="str">
        <f>IFERROR(SUMIFS('caseload data'!T:T,'caseload data'!$C:$C,'custody %'!$B$64,'caseload data'!$D:$D,"TPO",'caseload data'!$B:$B,"custody")/SUMIFS('caseload data'!T:T,'caseload data'!$B:$B,"custody",'caseload data'!$C:$C,'custody %'!$B$64),"")</f>
        <v/>
      </c>
    </row>
    <row r="76" spans="2:36" x14ac:dyDescent="0.15">
      <c r="B76" s="111" t="s">
        <v>1040</v>
      </c>
      <c r="C76" s="187" t="str">
        <f>IFERROR(SUMIFS('caseload data'!E:E,'caseload data'!$C:$C,'custody %'!$B$64,'caseload data'!$D:$D,"SPO",'caseload data'!$B:$B,"custody")/SUMIFS('caseload data'!E:E,'caseload data'!$B:$B,"custody",'caseload data'!$C:$C,'custody %'!$B$64),"")</f>
        <v/>
      </c>
      <c r="D76" s="187" t="str">
        <f>IFERROR(SUMIFS('caseload data'!F:F,'caseload data'!$C:$C,'custody %'!$B$64,'caseload data'!$D:$D,"SPO",'caseload data'!$B:$B,"custody")/SUMIFS('caseload data'!F:F,'caseload data'!$B:$B,"custody",'caseload data'!$C:$C,'custody %'!$B$64),"")</f>
        <v/>
      </c>
      <c r="E76" s="187" t="str">
        <f>IFERROR(SUMIFS('caseload data'!G:G,'caseload data'!$C:$C,'custody %'!$B$64,'caseload data'!$D:$D,"SPO",'caseload data'!$B:$B,"custody")/SUMIFS('caseload data'!G:G,'caseload data'!$B:$B,"custody",'caseload data'!$C:$C,'custody %'!$B$64),"")</f>
        <v/>
      </c>
      <c r="F76" s="187" t="str">
        <f>IFERROR(SUMIFS('caseload data'!H:H,'caseload data'!$C:$C,'custody %'!$B$64,'caseload data'!$D:$D,"SPO",'caseload data'!$B:$B,"custody")/SUMIFS('caseload data'!H:H,'caseload data'!$B:$B,"custody",'caseload data'!$C:$C,'custody %'!$B$64),"")</f>
        <v/>
      </c>
      <c r="G76" s="187" t="str">
        <f>IFERROR(SUMIFS('caseload data'!I:I,'caseload data'!$C:$C,'custody %'!$B$64,'caseload data'!$D:$D,"SPO",'caseload data'!$B:$B,"custody")/SUMIFS('caseload data'!I:I,'caseload data'!$B:$B,"custody",'caseload data'!$C:$C,'custody %'!$B$64),"")</f>
        <v/>
      </c>
      <c r="H76" s="187" t="str">
        <f>IFERROR(SUMIFS('caseload data'!J:J,'caseload data'!$C:$C,'custody %'!$B$64,'caseload data'!$D:$D,"SPO",'caseload data'!$B:$B,"custody")/SUMIFS('caseload data'!J:J,'caseload data'!$B:$B,"custody",'caseload data'!$C:$C,'custody %'!$B$64),"")</f>
        <v/>
      </c>
      <c r="I76" s="187" t="str">
        <f>IFERROR(SUMIFS('caseload data'!K:K,'caseload data'!$C:$C,'custody %'!$B$64,'caseload data'!$D:$D,"SPO",'caseload data'!$B:$B,"custody")/SUMIFS('caseload data'!K:K,'caseload data'!$B:$B,"custody",'caseload data'!$C:$C,'custody %'!$B$64),"")</f>
        <v/>
      </c>
      <c r="J76" s="187" t="str">
        <f>IFERROR(SUMIFS('caseload data'!L:L,'caseload data'!$C:$C,'custody %'!$B$64,'caseload data'!$D:$D,"SPO",'caseload data'!$B:$B,"custody")/SUMIFS('caseload data'!L:L,'caseload data'!$B:$B,"custody",'caseload data'!$C:$C,'custody %'!$B$64),"")</f>
        <v/>
      </c>
      <c r="K76" s="187" t="str">
        <f>IFERROR(SUMIFS('caseload data'!M:M,'caseload data'!$C:$C,'custody %'!$B$64,'caseload data'!$D:$D,"SPO",'caseload data'!$B:$B,"custody")/SUMIFS('caseload data'!M:M,'caseload data'!$B:$B,"custody",'caseload data'!$C:$C,'custody %'!$B$64),"")</f>
        <v/>
      </c>
      <c r="L76" s="187" t="str">
        <f>IFERROR(SUMIFS('caseload data'!N:N,'caseload data'!$C:$C,'custody %'!$B$64,'caseload data'!$D:$D,"SPO",'caseload data'!$B:$B,"custody")/SUMIFS('caseload data'!N:N,'caseload data'!$B:$B,"custody",'caseload data'!$C:$C,'custody %'!$B$64),"")</f>
        <v/>
      </c>
      <c r="M76" s="187" t="str">
        <f>IFERROR(SUMIFS('caseload data'!O:O,'caseload data'!$C:$C,'custody %'!$B$64,'caseload data'!$D:$D,"SPO",'caseload data'!$B:$B,"custody")/SUMIFS('caseload data'!O:O,'caseload data'!$B:$B,"custody",'caseload data'!$C:$C,'custody %'!$B$64),"")</f>
        <v/>
      </c>
      <c r="N76" s="187" t="str">
        <f>IFERROR(SUMIFS('caseload data'!P:P,'caseload data'!$C:$C,'custody %'!$B$64,'caseload data'!$D:$D,"SPO",'caseload data'!$B:$B,"custody")/SUMIFS('caseload data'!P:P,'caseload data'!$B:$B,"custody",'caseload data'!$C:$C,'custody %'!$B$64),"")</f>
        <v/>
      </c>
      <c r="O76" s="187" t="str">
        <f>IFERROR(SUMIFS('caseload data'!Q:Q,'caseload data'!$C:$C,'custody %'!$B$64,'caseload data'!$D:$D,"SPO",'caseload data'!$B:$B,"custody")/SUMIFS('caseload data'!Q:Q,'caseload data'!$B:$B,"custody",'caseload data'!$C:$C,'custody %'!$B$64),"")</f>
        <v/>
      </c>
      <c r="P76" s="187" t="str">
        <f>IFERROR(SUMIFS('caseload data'!R:R,'caseload data'!$C:$C,'custody %'!$B$64,'caseload data'!$D:$D,"SPO",'caseload data'!$B:$B,"custody")/SUMIFS('caseload data'!R:R,'caseload data'!$B:$B,"custody",'caseload data'!$C:$C,'custody %'!$B$64),"")</f>
        <v/>
      </c>
      <c r="Q76" s="187" t="str">
        <f>IFERROR(SUMIFS('caseload data'!S:S,'caseload data'!$C:$C,'custody %'!$B$64,'caseload data'!$D:$D,"SPO",'caseload data'!$B:$B,"custody")/SUMIFS('caseload data'!S:S,'caseload data'!$B:$B,"custody",'caseload data'!$C:$C,'custody %'!$B$64),"")</f>
        <v/>
      </c>
      <c r="R76" s="187" t="str">
        <f>IFERROR(SUMIFS('caseload data'!T:T,'caseload data'!$C:$C,'custody %'!$B$64,'caseload data'!$D:$D,"SPO",'caseload data'!$B:$B,"custody")/SUMIFS('caseload data'!T:T,'caseload data'!$B:$B,"custody",'caseload data'!$C:$C,'custody %'!$B$64),"")</f>
        <v/>
      </c>
    </row>
  </sheetData>
  <mergeCells count="40">
    <mergeCell ref="C64:O64"/>
    <mergeCell ref="P64:R64"/>
    <mergeCell ref="U64:AE64"/>
    <mergeCell ref="AF64:AH64"/>
    <mergeCell ref="C71:O71"/>
    <mergeCell ref="P71:R71"/>
    <mergeCell ref="C8:O8"/>
    <mergeCell ref="P8:R8"/>
    <mergeCell ref="U8:AE8"/>
    <mergeCell ref="AF8:AH8"/>
    <mergeCell ref="A1:AW1"/>
    <mergeCell ref="A2:AV2"/>
    <mergeCell ref="C15:O15"/>
    <mergeCell ref="P15:R15"/>
    <mergeCell ref="U15:AE15"/>
    <mergeCell ref="AF15:AH15"/>
    <mergeCell ref="C22:O22"/>
    <mergeCell ref="P22:R22"/>
    <mergeCell ref="U22:AE22"/>
    <mergeCell ref="AF22:AH22"/>
    <mergeCell ref="C29:O29"/>
    <mergeCell ref="P29:R29"/>
    <mergeCell ref="U29:AE29"/>
    <mergeCell ref="AF29:AH29"/>
    <mergeCell ref="C36:O36"/>
    <mergeCell ref="P36:R36"/>
    <mergeCell ref="U36:AE36"/>
    <mergeCell ref="AF36:AH36"/>
    <mergeCell ref="C57:O57"/>
    <mergeCell ref="P57:R57"/>
    <mergeCell ref="U57:AE57"/>
    <mergeCell ref="AF57:AH57"/>
    <mergeCell ref="C43:O43"/>
    <mergeCell ref="P43:R43"/>
    <mergeCell ref="U43:AE43"/>
    <mergeCell ref="AF43:AH43"/>
    <mergeCell ref="C50:O50"/>
    <mergeCell ref="P50:R50"/>
    <mergeCell ref="U50:AE50"/>
    <mergeCell ref="AF50:AH50"/>
  </mergeCells>
  <conditionalFormatting sqref="C11:C12">
    <cfRule type="cellIs" dxfId="1525" priority="607" operator="equal">
      <formula>0</formula>
    </cfRule>
    <cfRule type="cellIs" dxfId="1524" priority="608" operator="notEqual">
      <formula>0</formula>
    </cfRule>
  </conditionalFormatting>
  <conditionalFormatting sqref="D11:D12">
    <cfRule type="cellIs" dxfId="1523" priority="605" operator="equal">
      <formula>0</formula>
    </cfRule>
    <cfRule type="cellIs" dxfId="1522" priority="606" operator="notEqual">
      <formula>0</formula>
    </cfRule>
  </conditionalFormatting>
  <conditionalFormatting sqref="E11:E12">
    <cfRule type="cellIs" dxfId="1521" priority="603" operator="equal">
      <formula>0</formula>
    </cfRule>
    <cfRule type="cellIs" dxfId="1520" priority="604" operator="notEqual">
      <formula>0</formula>
    </cfRule>
  </conditionalFormatting>
  <conditionalFormatting sqref="F11:F12">
    <cfRule type="cellIs" dxfId="1519" priority="601" operator="equal">
      <formula>0</formula>
    </cfRule>
    <cfRule type="cellIs" dxfId="1518" priority="602" operator="notEqual">
      <formula>0</formula>
    </cfRule>
  </conditionalFormatting>
  <conditionalFormatting sqref="G11:G12">
    <cfRule type="cellIs" dxfId="1517" priority="599" operator="equal">
      <formula>0</formula>
    </cfRule>
    <cfRule type="cellIs" dxfId="1516" priority="600" operator="notEqual">
      <formula>0</formula>
    </cfRule>
  </conditionalFormatting>
  <conditionalFormatting sqref="H11:H12">
    <cfRule type="cellIs" dxfId="1515" priority="597" operator="equal">
      <formula>0</formula>
    </cfRule>
    <cfRule type="cellIs" dxfId="1514" priority="598" operator="notEqual">
      <formula>0</formula>
    </cfRule>
  </conditionalFormatting>
  <conditionalFormatting sqref="I11:I12">
    <cfRule type="cellIs" dxfId="1513" priority="595" operator="equal">
      <formula>0</formula>
    </cfRule>
    <cfRule type="cellIs" dxfId="1512" priority="596" operator="notEqual">
      <formula>0</formula>
    </cfRule>
  </conditionalFormatting>
  <conditionalFormatting sqref="J11:J12">
    <cfRule type="cellIs" dxfId="1511" priority="593" operator="equal">
      <formula>0</formula>
    </cfRule>
    <cfRule type="cellIs" dxfId="1510" priority="594" operator="notEqual">
      <formula>0</formula>
    </cfRule>
  </conditionalFormatting>
  <conditionalFormatting sqref="O10">
    <cfRule type="cellIs" dxfId="1509" priority="591" operator="equal">
      <formula>0</formula>
    </cfRule>
    <cfRule type="cellIs" dxfId="1508" priority="592" operator="notEqual">
      <formula>0</formula>
    </cfRule>
  </conditionalFormatting>
  <conditionalFormatting sqref="O13">
    <cfRule type="cellIs" dxfId="1507" priority="589" operator="equal">
      <formula>0</formula>
    </cfRule>
    <cfRule type="cellIs" dxfId="1506" priority="590" operator="notEqual">
      <formula>0</formula>
    </cfRule>
  </conditionalFormatting>
  <conditionalFormatting sqref="P10">
    <cfRule type="cellIs" dxfId="1505" priority="587" operator="equal">
      <formula>0</formula>
    </cfRule>
    <cfRule type="cellIs" dxfId="1504" priority="588" operator="notEqual">
      <formula>0</formula>
    </cfRule>
  </conditionalFormatting>
  <conditionalFormatting sqref="P13">
    <cfRule type="cellIs" dxfId="1503" priority="585" operator="equal">
      <formula>0</formula>
    </cfRule>
    <cfRule type="cellIs" dxfId="1502" priority="586" operator="notEqual">
      <formula>0</formula>
    </cfRule>
  </conditionalFormatting>
  <conditionalFormatting sqref="Q10">
    <cfRule type="cellIs" dxfId="1501" priority="583" operator="equal">
      <formula>0</formula>
    </cfRule>
    <cfRule type="cellIs" dxfId="1500" priority="584" operator="notEqual">
      <formula>0</formula>
    </cfRule>
  </conditionalFormatting>
  <conditionalFormatting sqref="Q13">
    <cfRule type="cellIs" dxfId="1499" priority="581" operator="equal">
      <formula>0</formula>
    </cfRule>
    <cfRule type="cellIs" dxfId="1498" priority="582" operator="notEqual">
      <formula>0</formula>
    </cfRule>
  </conditionalFormatting>
  <conditionalFormatting sqref="R10">
    <cfRule type="cellIs" dxfId="1497" priority="579" operator="equal">
      <formula>0</formula>
    </cfRule>
    <cfRule type="cellIs" dxfId="1496" priority="580" operator="notEqual">
      <formula>0</formula>
    </cfRule>
  </conditionalFormatting>
  <conditionalFormatting sqref="R13">
    <cfRule type="cellIs" dxfId="1495" priority="577" operator="equal">
      <formula>0</formula>
    </cfRule>
    <cfRule type="cellIs" dxfId="1494" priority="578" operator="notEqual">
      <formula>0</formula>
    </cfRule>
  </conditionalFormatting>
  <conditionalFormatting sqref="C18:C19">
    <cfRule type="cellIs" dxfId="1493" priority="575" operator="equal">
      <formula>0</formula>
    </cfRule>
    <cfRule type="cellIs" dxfId="1492" priority="576" operator="notEqual">
      <formula>0</formula>
    </cfRule>
  </conditionalFormatting>
  <conditionalFormatting sqref="D18:D19">
    <cfRule type="cellIs" dxfId="1491" priority="573" operator="equal">
      <formula>0</formula>
    </cfRule>
    <cfRule type="cellIs" dxfId="1490" priority="574" operator="notEqual">
      <formula>0</formula>
    </cfRule>
  </conditionalFormatting>
  <conditionalFormatting sqref="E18:E19">
    <cfRule type="cellIs" dxfId="1489" priority="571" operator="equal">
      <formula>0</formula>
    </cfRule>
    <cfRule type="cellIs" dxfId="1488" priority="572" operator="notEqual">
      <formula>0</formula>
    </cfRule>
  </conditionalFormatting>
  <conditionalFormatting sqref="F18:F19">
    <cfRule type="cellIs" dxfId="1487" priority="569" operator="equal">
      <formula>0</formula>
    </cfRule>
    <cfRule type="cellIs" dxfId="1486" priority="570" operator="notEqual">
      <formula>0</formula>
    </cfRule>
  </conditionalFormatting>
  <conditionalFormatting sqref="G18:G19">
    <cfRule type="cellIs" dxfId="1485" priority="567" operator="equal">
      <formula>0</formula>
    </cfRule>
    <cfRule type="cellIs" dxfId="1484" priority="568" operator="notEqual">
      <formula>0</formula>
    </cfRule>
  </conditionalFormatting>
  <conditionalFormatting sqref="H18:H19">
    <cfRule type="cellIs" dxfId="1483" priority="565" operator="equal">
      <formula>0</formula>
    </cfRule>
    <cfRule type="cellIs" dxfId="1482" priority="566" operator="notEqual">
      <formula>0</formula>
    </cfRule>
  </conditionalFormatting>
  <conditionalFormatting sqref="I18:I19">
    <cfRule type="cellIs" dxfId="1481" priority="563" operator="equal">
      <formula>0</formula>
    </cfRule>
    <cfRule type="cellIs" dxfId="1480" priority="564" operator="notEqual">
      <formula>0</formula>
    </cfRule>
  </conditionalFormatting>
  <conditionalFormatting sqref="J18:J19">
    <cfRule type="cellIs" dxfId="1479" priority="561" operator="equal">
      <formula>0</formula>
    </cfRule>
    <cfRule type="cellIs" dxfId="1478" priority="562" operator="notEqual">
      <formula>0</formula>
    </cfRule>
  </conditionalFormatting>
  <conditionalFormatting sqref="O17">
    <cfRule type="cellIs" dxfId="1477" priority="559" operator="equal">
      <formula>0</formula>
    </cfRule>
    <cfRule type="cellIs" dxfId="1476" priority="560" operator="notEqual">
      <formula>0</formula>
    </cfRule>
  </conditionalFormatting>
  <conditionalFormatting sqref="O20">
    <cfRule type="cellIs" dxfId="1475" priority="557" operator="equal">
      <formula>0</formula>
    </cfRule>
    <cfRule type="cellIs" dxfId="1474" priority="558" operator="notEqual">
      <formula>0</formula>
    </cfRule>
  </conditionalFormatting>
  <conditionalFormatting sqref="P17">
    <cfRule type="cellIs" dxfId="1473" priority="555" operator="equal">
      <formula>0</formula>
    </cfRule>
    <cfRule type="cellIs" dxfId="1472" priority="556" operator="notEqual">
      <formula>0</formula>
    </cfRule>
  </conditionalFormatting>
  <conditionalFormatting sqref="P20">
    <cfRule type="cellIs" dxfId="1471" priority="553" operator="equal">
      <formula>0</formula>
    </cfRule>
    <cfRule type="cellIs" dxfId="1470" priority="554" operator="notEqual">
      <formula>0</formula>
    </cfRule>
  </conditionalFormatting>
  <conditionalFormatting sqref="Q17">
    <cfRule type="cellIs" dxfId="1469" priority="551" operator="equal">
      <formula>0</formula>
    </cfRule>
    <cfRule type="cellIs" dxfId="1468" priority="552" operator="notEqual">
      <formula>0</formula>
    </cfRule>
  </conditionalFormatting>
  <conditionalFormatting sqref="Q20">
    <cfRule type="cellIs" dxfId="1467" priority="549" operator="equal">
      <formula>0</formula>
    </cfRule>
    <cfRule type="cellIs" dxfId="1466" priority="550" operator="notEqual">
      <formula>0</formula>
    </cfRule>
  </conditionalFormatting>
  <conditionalFormatting sqref="R17">
    <cfRule type="cellIs" dxfId="1465" priority="547" operator="equal">
      <formula>0</formula>
    </cfRule>
    <cfRule type="cellIs" dxfId="1464" priority="548" operator="notEqual">
      <formula>0</formula>
    </cfRule>
  </conditionalFormatting>
  <conditionalFormatting sqref="R20">
    <cfRule type="cellIs" dxfId="1463" priority="545" operator="equal">
      <formula>0</formula>
    </cfRule>
    <cfRule type="cellIs" dxfId="1462" priority="546" operator="notEqual">
      <formula>0</formula>
    </cfRule>
  </conditionalFormatting>
  <conditionalFormatting sqref="C25:C26">
    <cfRule type="cellIs" dxfId="1461" priority="543" operator="equal">
      <formula>0</formula>
    </cfRule>
    <cfRule type="cellIs" dxfId="1460" priority="544" operator="notEqual">
      <formula>0</formula>
    </cfRule>
  </conditionalFormatting>
  <conditionalFormatting sqref="D25:D26">
    <cfRule type="cellIs" dxfId="1459" priority="541" operator="equal">
      <formula>0</formula>
    </cfRule>
    <cfRule type="cellIs" dxfId="1458" priority="542" operator="notEqual">
      <formula>0</formula>
    </cfRule>
  </conditionalFormatting>
  <conditionalFormatting sqref="E25:E26">
    <cfRule type="cellIs" dxfId="1457" priority="539" operator="equal">
      <formula>0</formula>
    </cfRule>
    <cfRule type="cellIs" dxfId="1456" priority="540" operator="notEqual">
      <formula>0</formula>
    </cfRule>
  </conditionalFormatting>
  <conditionalFormatting sqref="F25:F26">
    <cfRule type="cellIs" dxfId="1455" priority="537" operator="equal">
      <formula>0</formula>
    </cfRule>
    <cfRule type="cellIs" dxfId="1454" priority="538" operator="notEqual">
      <formula>0</formula>
    </cfRule>
  </conditionalFormatting>
  <conditionalFormatting sqref="G25:G26">
    <cfRule type="cellIs" dxfId="1453" priority="535" operator="equal">
      <formula>0</formula>
    </cfRule>
    <cfRule type="cellIs" dxfId="1452" priority="536" operator="notEqual">
      <formula>0</formula>
    </cfRule>
  </conditionalFormatting>
  <conditionalFormatting sqref="H25:H26">
    <cfRule type="cellIs" dxfId="1451" priority="533" operator="equal">
      <formula>0</formula>
    </cfRule>
    <cfRule type="cellIs" dxfId="1450" priority="534" operator="notEqual">
      <formula>0</formula>
    </cfRule>
  </conditionalFormatting>
  <conditionalFormatting sqref="I25:I26">
    <cfRule type="cellIs" dxfId="1449" priority="531" operator="equal">
      <formula>0</formula>
    </cfRule>
    <cfRule type="cellIs" dxfId="1448" priority="532" operator="notEqual">
      <formula>0</formula>
    </cfRule>
  </conditionalFormatting>
  <conditionalFormatting sqref="J25:J26">
    <cfRule type="cellIs" dxfId="1447" priority="529" operator="equal">
      <formula>0</formula>
    </cfRule>
    <cfRule type="cellIs" dxfId="1446" priority="530" operator="notEqual">
      <formula>0</formula>
    </cfRule>
  </conditionalFormatting>
  <conditionalFormatting sqref="O24">
    <cfRule type="cellIs" dxfId="1445" priority="527" operator="equal">
      <formula>0</formula>
    </cfRule>
    <cfRule type="cellIs" dxfId="1444" priority="528" operator="notEqual">
      <formula>0</formula>
    </cfRule>
  </conditionalFormatting>
  <conditionalFormatting sqref="O27">
    <cfRule type="cellIs" dxfId="1443" priority="525" operator="equal">
      <formula>0</formula>
    </cfRule>
    <cfRule type="cellIs" dxfId="1442" priority="526" operator="notEqual">
      <formula>0</formula>
    </cfRule>
  </conditionalFormatting>
  <conditionalFormatting sqref="P24">
    <cfRule type="cellIs" dxfId="1441" priority="523" operator="equal">
      <formula>0</formula>
    </cfRule>
    <cfRule type="cellIs" dxfId="1440" priority="524" operator="notEqual">
      <formula>0</formula>
    </cfRule>
  </conditionalFormatting>
  <conditionalFormatting sqref="P27">
    <cfRule type="cellIs" dxfId="1439" priority="521" operator="equal">
      <formula>0</formula>
    </cfRule>
    <cfRule type="cellIs" dxfId="1438" priority="522" operator="notEqual">
      <formula>0</formula>
    </cfRule>
  </conditionalFormatting>
  <conditionalFormatting sqref="Q24">
    <cfRule type="cellIs" dxfId="1437" priority="519" operator="equal">
      <formula>0</formula>
    </cfRule>
    <cfRule type="cellIs" dxfId="1436" priority="520" operator="notEqual">
      <formula>0</formula>
    </cfRule>
  </conditionalFormatting>
  <conditionalFormatting sqref="Q27">
    <cfRule type="cellIs" dxfId="1435" priority="517" operator="equal">
      <formula>0</formula>
    </cfRule>
    <cfRule type="cellIs" dxfId="1434" priority="518" operator="notEqual">
      <formula>0</formula>
    </cfRule>
  </conditionalFormatting>
  <conditionalFormatting sqref="R24">
    <cfRule type="cellIs" dxfId="1433" priority="515" operator="equal">
      <formula>0</formula>
    </cfRule>
    <cfRule type="cellIs" dxfId="1432" priority="516" operator="notEqual">
      <formula>0</formula>
    </cfRule>
  </conditionalFormatting>
  <conditionalFormatting sqref="R27">
    <cfRule type="cellIs" dxfId="1431" priority="513" operator="equal">
      <formula>0</formula>
    </cfRule>
    <cfRule type="cellIs" dxfId="1430" priority="514" operator="notEqual">
      <formula>0</formula>
    </cfRule>
  </conditionalFormatting>
  <conditionalFormatting sqref="C32:C33">
    <cfRule type="cellIs" dxfId="1429" priority="511" operator="equal">
      <formula>0</formula>
    </cfRule>
    <cfRule type="cellIs" dxfId="1428" priority="512" operator="notEqual">
      <formula>0</formula>
    </cfRule>
  </conditionalFormatting>
  <conditionalFormatting sqref="D32:D33">
    <cfRule type="cellIs" dxfId="1427" priority="509" operator="equal">
      <formula>0</formula>
    </cfRule>
    <cfRule type="cellIs" dxfId="1426" priority="510" operator="notEqual">
      <formula>0</formula>
    </cfRule>
  </conditionalFormatting>
  <conditionalFormatting sqref="E32:E33">
    <cfRule type="cellIs" dxfId="1425" priority="507" operator="equal">
      <formula>0</formula>
    </cfRule>
    <cfRule type="cellIs" dxfId="1424" priority="508" operator="notEqual">
      <formula>0</formula>
    </cfRule>
  </conditionalFormatting>
  <conditionalFormatting sqref="F32:F33">
    <cfRule type="cellIs" dxfId="1423" priority="505" operator="equal">
      <formula>0</formula>
    </cfRule>
    <cfRule type="cellIs" dxfId="1422" priority="506" operator="notEqual">
      <formula>0</formula>
    </cfRule>
  </conditionalFormatting>
  <conditionalFormatting sqref="G32:G33">
    <cfRule type="cellIs" dxfId="1421" priority="503" operator="equal">
      <formula>0</formula>
    </cfRule>
    <cfRule type="cellIs" dxfId="1420" priority="504" operator="notEqual">
      <formula>0</formula>
    </cfRule>
  </conditionalFormatting>
  <conditionalFormatting sqref="H32:H33">
    <cfRule type="cellIs" dxfId="1419" priority="501" operator="equal">
      <formula>0</formula>
    </cfRule>
    <cfRule type="cellIs" dxfId="1418" priority="502" operator="notEqual">
      <formula>0</formula>
    </cfRule>
  </conditionalFormatting>
  <conditionalFormatting sqref="I32:I33">
    <cfRule type="cellIs" dxfId="1417" priority="499" operator="equal">
      <formula>0</formula>
    </cfRule>
    <cfRule type="cellIs" dxfId="1416" priority="500" operator="notEqual">
      <formula>0</formula>
    </cfRule>
  </conditionalFormatting>
  <conditionalFormatting sqref="J32:J33">
    <cfRule type="cellIs" dxfId="1415" priority="497" operator="equal">
      <formula>0</formula>
    </cfRule>
    <cfRule type="cellIs" dxfId="1414" priority="498" operator="notEqual">
      <formula>0</formula>
    </cfRule>
  </conditionalFormatting>
  <conditionalFormatting sqref="O31">
    <cfRule type="cellIs" dxfId="1413" priority="495" operator="equal">
      <formula>0</formula>
    </cfRule>
    <cfRule type="cellIs" dxfId="1412" priority="496" operator="notEqual">
      <formula>0</formula>
    </cfRule>
  </conditionalFormatting>
  <conditionalFormatting sqref="O34">
    <cfRule type="cellIs" dxfId="1411" priority="493" operator="equal">
      <formula>0</formula>
    </cfRule>
    <cfRule type="cellIs" dxfId="1410" priority="494" operator="notEqual">
      <formula>0</formula>
    </cfRule>
  </conditionalFormatting>
  <conditionalFormatting sqref="P31">
    <cfRule type="cellIs" dxfId="1409" priority="491" operator="equal">
      <formula>0</formula>
    </cfRule>
    <cfRule type="cellIs" dxfId="1408" priority="492" operator="notEqual">
      <formula>0</formula>
    </cfRule>
  </conditionalFormatting>
  <conditionalFormatting sqref="P34">
    <cfRule type="cellIs" dxfId="1407" priority="489" operator="equal">
      <formula>0</formula>
    </cfRule>
    <cfRule type="cellIs" dxfId="1406" priority="490" operator="notEqual">
      <formula>0</formula>
    </cfRule>
  </conditionalFormatting>
  <conditionalFormatting sqref="Q31">
    <cfRule type="cellIs" dxfId="1405" priority="487" operator="equal">
      <formula>0</formula>
    </cfRule>
    <cfRule type="cellIs" dxfId="1404" priority="488" operator="notEqual">
      <formula>0</formula>
    </cfRule>
  </conditionalFormatting>
  <conditionalFormatting sqref="Q34">
    <cfRule type="cellIs" dxfId="1403" priority="485" operator="equal">
      <formula>0</formula>
    </cfRule>
    <cfRule type="cellIs" dxfId="1402" priority="486" operator="notEqual">
      <formula>0</formula>
    </cfRule>
  </conditionalFormatting>
  <conditionalFormatting sqref="R31">
    <cfRule type="cellIs" dxfId="1401" priority="483" operator="equal">
      <formula>0</formula>
    </cfRule>
    <cfRule type="cellIs" dxfId="1400" priority="484" operator="notEqual">
      <formula>0</formula>
    </cfRule>
  </conditionalFormatting>
  <conditionalFormatting sqref="R34">
    <cfRule type="cellIs" dxfId="1399" priority="481" operator="equal">
      <formula>0</formula>
    </cfRule>
    <cfRule type="cellIs" dxfId="1398" priority="482" operator="notEqual">
      <formula>0</formula>
    </cfRule>
  </conditionalFormatting>
  <conditionalFormatting sqref="C39:C40">
    <cfRule type="cellIs" dxfId="1397" priority="479" operator="equal">
      <formula>0</formula>
    </cfRule>
    <cfRule type="cellIs" dxfId="1396" priority="480" operator="notEqual">
      <formula>0</formula>
    </cfRule>
  </conditionalFormatting>
  <conditionalFormatting sqref="D39:D40">
    <cfRule type="cellIs" dxfId="1395" priority="477" operator="equal">
      <formula>0</formula>
    </cfRule>
    <cfRule type="cellIs" dxfId="1394" priority="478" operator="notEqual">
      <formula>0</formula>
    </cfRule>
  </conditionalFormatting>
  <conditionalFormatting sqref="E39:E40">
    <cfRule type="cellIs" dxfId="1393" priority="475" operator="equal">
      <formula>0</formula>
    </cfRule>
    <cfRule type="cellIs" dxfId="1392" priority="476" operator="notEqual">
      <formula>0</formula>
    </cfRule>
  </conditionalFormatting>
  <conditionalFormatting sqref="F39:F40">
    <cfRule type="cellIs" dxfId="1391" priority="473" operator="equal">
      <formula>0</formula>
    </cfRule>
    <cfRule type="cellIs" dxfId="1390" priority="474" operator="notEqual">
      <formula>0</formula>
    </cfRule>
  </conditionalFormatting>
  <conditionalFormatting sqref="G39:G40">
    <cfRule type="cellIs" dxfId="1389" priority="471" operator="equal">
      <formula>0</formula>
    </cfRule>
    <cfRule type="cellIs" dxfId="1388" priority="472" operator="notEqual">
      <formula>0</formula>
    </cfRule>
  </conditionalFormatting>
  <conditionalFormatting sqref="H39:H40">
    <cfRule type="cellIs" dxfId="1387" priority="469" operator="equal">
      <formula>0</formula>
    </cfRule>
    <cfRule type="cellIs" dxfId="1386" priority="470" operator="notEqual">
      <formula>0</formula>
    </cfRule>
  </conditionalFormatting>
  <conditionalFormatting sqref="I39:I40">
    <cfRule type="cellIs" dxfId="1385" priority="467" operator="equal">
      <formula>0</formula>
    </cfRule>
    <cfRule type="cellIs" dxfId="1384" priority="468" operator="notEqual">
      <formula>0</formula>
    </cfRule>
  </conditionalFormatting>
  <conditionalFormatting sqref="J39:J40">
    <cfRule type="cellIs" dxfId="1383" priority="465" operator="equal">
      <formula>0</formula>
    </cfRule>
    <cfRule type="cellIs" dxfId="1382" priority="466" operator="notEqual">
      <formula>0</formula>
    </cfRule>
  </conditionalFormatting>
  <conditionalFormatting sqref="O38">
    <cfRule type="cellIs" dxfId="1381" priority="463" operator="equal">
      <formula>0</formula>
    </cfRule>
    <cfRule type="cellIs" dxfId="1380" priority="464" operator="notEqual">
      <formula>0</formula>
    </cfRule>
  </conditionalFormatting>
  <conditionalFormatting sqref="O41">
    <cfRule type="cellIs" dxfId="1379" priority="461" operator="equal">
      <formula>0</formula>
    </cfRule>
    <cfRule type="cellIs" dxfId="1378" priority="462" operator="notEqual">
      <formula>0</formula>
    </cfRule>
  </conditionalFormatting>
  <conditionalFormatting sqref="P38">
    <cfRule type="cellIs" dxfId="1377" priority="459" operator="equal">
      <formula>0</formula>
    </cfRule>
    <cfRule type="cellIs" dxfId="1376" priority="460" operator="notEqual">
      <formula>0</formula>
    </cfRule>
  </conditionalFormatting>
  <conditionalFormatting sqref="P41">
    <cfRule type="cellIs" dxfId="1375" priority="457" operator="equal">
      <formula>0</formula>
    </cfRule>
    <cfRule type="cellIs" dxfId="1374" priority="458" operator="notEqual">
      <formula>0</formula>
    </cfRule>
  </conditionalFormatting>
  <conditionalFormatting sqref="Q38">
    <cfRule type="cellIs" dxfId="1373" priority="455" operator="equal">
      <formula>0</formula>
    </cfRule>
    <cfRule type="cellIs" dxfId="1372" priority="456" operator="notEqual">
      <formula>0</formula>
    </cfRule>
  </conditionalFormatting>
  <conditionalFormatting sqref="Q41">
    <cfRule type="cellIs" dxfId="1371" priority="453" operator="equal">
      <formula>0</formula>
    </cfRule>
    <cfRule type="cellIs" dxfId="1370" priority="454" operator="notEqual">
      <formula>0</formula>
    </cfRule>
  </conditionalFormatting>
  <conditionalFormatting sqref="R38">
    <cfRule type="cellIs" dxfId="1369" priority="451" operator="equal">
      <formula>0</formula>
    </cfRule>
    <cfRule type="cellIs" dxfId="1368" priority="452" operator="notEqual">
      <formula>0</formula>
    </cfRule>
  </conditionalFormatting>
  <conditionalFormatting sqref="R41">
    <cfRule type="cellIs" dxfId="1367" priority="449" operator="equal">
      <formula>0</formula>
    </cfRule>
    <cfRule type="cellIs" dxfId="1366" priority="450" operator="notEqual">
      <formula>0</formula>
    </cfRule>
  </conditionalFormatting>
  <conditionalFormatting sqref="C46:C47">
    <cfRule type="cellIs" dxfId="1365" priority="447" operator="equal">
      <formula>0</formula>
    </cfRule>
    <cfRule type="cellIs" dxfId="1364" priority="448" operator="notEqual">
      <formula>0</formula>
    </cfRule>
  </conditionalFormatting>
  <conditionalFormatting sqref="D46:D47">
    <cfRule type="cellIs" dxfId="1363" priority="445" operator="equal">
      <formula>0</formula>
    </cfRule>
    <cfRule type="cellIs" dxfId="1362" priority="446" operator="notEqual">
      <formula>0</formula>
    </cfRule>
  </conditionalFormatting>
  <conditionalFormatting sqref="E46:E47">
    <cfRule type="cellIs" dxfId="1361" priority="443" operator="equal">
      <formula>0</formula>
    </cfRule>
    <cfRule type="cellIs" dxfId="1360" priority="444" operator="notEqual">
      <formula>0</formula>
    </cfRule>
  </conditionalFormatting>
  <conditionalFormatting sqref="F46:F47">
    <cfRule type="cellIs" dxfId="1359" priority="441" operator="equal">
      <formula>0</formula>
    </cfRule>
    <cfRule type="cellIs" dxfId="1358" priority="442" operator="notEqual">
      <formula>0</formula>
    </cfRule>
  </conditionalFormatting>
  <conditionalFormatting sqref="G46:G47">
    <cfRule type="cellIs" dxfId="1357" priority="439" operator="equal">
      <formula>0</formula>
    </cfRule>
    <cfRule type="cellIs" dxfId="1356" priority="440" operator="notEqual">
      <formula>0</formula>
    </cfRule>
  </conditionalFormatting>
  <conditionalFormatting sqref="H46:H47">
    <cfRule type="cellIs" dxfId="1355" priority="437" operator="equal">
      <formula>0</formula>
    </cfRule>
    <cfRule type="cellIs" dxfId="1354" priority="438" operator="notEqual">
      <formula>0</formula>
    </cfRule>
  </conditionalFormatting>
  <conditionalFormatting sqref="I46:I47">
    <cfRule type="cellIs" dxfId="1353" priority="435" operator="equal">
      <formula>0</formula>
    </cfRule>
    <cfRule type="cellIs" dxfId="1352" priority="436" operator="notEqual">
      <formula>0</formula>
    </cfRule>
  </conditionalFormatting>
  <conditionalFormatting sqref="J46:J47">
    <cfRule type="cellIs" dxfId="1351" priority="433" operator="equal">
      <formula>0</formula>
    </cfRule>
    <cfRule type="cellIs" dxfId="1350" priority="434" operator="notEqual">
      <formula>0</formula>
    </cfRule>
  </conditionalFormatting>
  <conditionalFormatting sqref="O45">
    <cfRule type="cellIs" dxfId="1349" priority="431" operator="equal">
      <formula>0</formula>
    </cfRule>
    <cfRule type="cellIs" dxfId="1348" priority="432" operator="notEqual">
      <formula>0</formula>
    </cfRule>
  </conditionalFormatting>
  <conditionalFormatting sqref="O48">
    <cfRule type="cellIs" dxfId="1347" priority="429" operator="equal">
      <formula>0</formula>
    </cfRule>
    <cfRule type="cellIs" dxfId="1346" priority="430" operator="notEqual">
      <formula>0</formula>
    </cfRule>
  </conditionalFormatting>
  <conditionalFormatting sqref="P45">
    <cfRule type="cellIs" dxfId="1345" priority="427" operator="equal">
      <formula>0</formula>
    </cfRule>
    <cfRule type="cellIs" dxfId="1344" priority="428" operator="notEqual">
      <formula>0</formula>
    </cfRule>
  </conditionalFormatting>
  <conditionalFormatting sqref="P48">
    <cfRule type="cellIs" dxfId="1343" priority="425" operator="equal">
      <formula>0</formula>
    </cfRule>
    <cfRule type="cellIs" dxfId="1342" priority="426" operator="notEqual">
      <formula>0</formula>
    </cfRule>
  </conditionalFormatting>
  <conditionalFormatting sqref="Q45">
    <cfRule type="cellIs" dxfId="1341" priority="423" operator="equal">
      <formula>0</formula>
    </cfRule>
    <cfRule type="cellIs" dxfId="1340" priority="424" operator="notEqual">
      <formula>0</formula>
    </cfRule>
  </conditionalFormatting>
  <conditionalFormatting sqref="Q48">
    <cfRule type="cellIs" dxfId="1339" priority="421" operator="equal">
      <formula>0</formula>
    </cfRule>
    <cfRule type="cellIs" dxfId="1338" priority="422" operator="notEqual">
      <formula>0</formula>
    </cfRule>
  </conditionalFormatting>
  <conditionalFormatting sqref="R45">
    <cfRule type="cellIs" dxfId="1337" priority="419" operator="equal">
      <formula>0</formula>
    </cfRule>
    <cfRule type="cellIs" dxfId="1336" priority="420" operator="notEqual">
      <formula>0</formula>
    </cfRule>
  </conditionalFormatting>
  <conditionalFormatting sqref="R48">
    <cfRule type="cellIs" dxfId="1335" priority="417" operator="equal">
      <formula>0</formula>
    </cfRule>
    <cfRule type="cellIs" dxfId="1334" priority="418" operator="notEqual">
      <formula>0</formula>
    </cfRule>
  </conditionalFormatting>
  <conditionalFormatting sqref="C53:C54">
    <cfRule type="cellIs" dxfId="1333" priority="415" operator="equal">
      <formula>0</formula>
    </cfRule>
    <cfRule type="cellIs" dxfId="1332" priority="416" operator="notEqual">
      <formula>0</formula>
    </cfRule>
  </conditionalFormatting>
  <conditionalFormatting sqref="D53:D54">
    <cfRule type="cellIs" dxfId="1331" priority="413" operator="equal">
      <formula>0</formula>
    </cfRule>
    <cfRule type="cellIs" dxfId="1330" priority="414" operator="notEqual">
      <formula>0</formula>
    </cfRule>
  </conditionalFormatting>
  <conditionalFormatting sqref="E53:E54">
    <cfRule type="cellIs" dxfId="1329" priority="411" operator="equal">
      <formula>0</formula>
    </cfRule>
    <cfRule type="cellIs" dxfId="1328" priority="412" operator="notEqual">
      <formula>0</formula>
    </cfRule>
  </conditionalFormatting>
  <conditionalFormatting sqref="F53:F54">
    <cfRule type="cellIs" dxfId="1327" priority="409" operator="equal">
      <formula>0</formula>
    </cfRule>
    <cfRule type="cellIs" dxfId="1326" priority="410" operator="notEqual">
      <formula>0</formula>
    </cfRule>
  </conditionalFormatting>
  <conditionalFormatting sqref="G53:G54">
    <cfRule type="cellIs" dxfId="1325" priority="407" operator="equal">
      <formula>0</formula>
    </cfRule>
    <cfRule type="cellIs" dxfId="1324" priority="408" operator="notEqual">
      <formula>0</formula>
    </cfRule>
  </conditionalFormatting>
  <conditionalFormatting sqref="H53:H54">
    <cfRule type="cellIs" dxfId="1323" priority="405" operator="equal">
      <formula>0</formula>
    </cfRule>
    <cfRule type="cellIs" dxfId="1322" priority="406" operator="notEqual">
      <formula>0</formula>
    </cfRule>
  </conditionalFormatting>
  <conditionalFormatting sqref="I53:I54">
    <cfRule type="cellIs" dxfId="1321" priority="403" operator="equal">
      <formula>0</formula>
    </cfRule>
    <cfRule type="cellIs" dxfId="1320" priority="404" operator="notEqual">
      <formula>0</formula>
    </cfRule>
  </conditionalFormatting>
  <conditionalFormatting sqref="J53:J54">
    <cfRule type="cellIs" dxfId="1319" priority="401" operator="equal">
      <formula>0</formula>
    </cfRule>
    <cfRule type="cellIs" dxfId="1318" priority="402" operator="notEqual">
      <formula>0</formula>
    </cfRule>
  </conditionalFormatting>
  <conditionalFormatting sqref="O52">
    <cfRule type="cellIs" dxfId="1317" priority="399" operator="equal">
      <formula>0</formula>
    </cfRule>
    <cfRule type="cellIs" dxfId="1316" priority="400" operator="notEqual">
      <formula>0</formula>
    </cfRule>
  </conditionalFormatting>
  <conditionalFormatting sqref="O55">
    <cfRule type="cellIs" dxfId="1315" priority="397" operator="equal">
      <formula>0</formula>
    </cfRule>
    <cfRule type="cellIs" dxfId="1314" priority="398" operator="notEqual">
      <formula>0</formula>
    </cfRule>
  </conditionalFormatting>
  <conditionalFormatting sqref="P52">
    <cfRule type="cellIs" dxfId="1313" priority="395" operator="equal">
      <formula>0</formula>
    </cfRule>
    <cfRule type="cellIs" dxfId="1312" priority="396" operator="notEqual">
      <formula>0</formula>
    </cfRule>
  </conditionalFormatting>
  <conditionalFormatting sqref="P55">
    <cfRule type="cellIs" dxfId="1311" priority="393" operator="equal">
      <formula>0</formula>
    </cfRule>
    <cfRule type="cellIs" dxfId="1310" priority="394" operator="notEqual">
      <formula>0</formula>
    </cfRule>
  </conditionalFormatting>
  <conditionalFormatting sqref="Q52">
    <cfRule type="cellIs" dxfId="1309" priority="391" operator="equal">
      <formula>0</formula>
    </cfRule>
    <cfRule type="cellIs" dxfId="1308" priority="392" operator="notEqual">
      <formula>0</formula>
    </cfRule>
  </conditionalFormatting>
  <conditionalFormatting sqref="Q55">
    <cfRule type="cellIs" dxfId="1307" priority="389" operator="equal">
      <formula>0</formula>
    </cfRule>
    <cfRule type="cellIs" dxfId="1306" priority="390" operator="notEqual">
      <formula>0</formula>
    </cfRule>
  </conditionalFormatting>
  <conditionalFormatting sqref="R52">
    <cfRule type="cellIs" dxfId="1305" priority="387" operator="equal">
      <formula>0</formula>
    </cfRule>
    <cfRule type="cellIs" dxfId="1304" priority="388" operator="notEqual">
      <formula>0</formula>
    </cfRule>
  </conditionalFormatting>
  <conditionalFormatting sqref="R55">
    <cfRule type="cellIs" dxfId="1303" priority="385" operator="equal">
      <formula>0</formula>
    </cfRule>
    <cfRule type="cellIs" dxfId="1302" priority="386" operator="notEqual">
      <formula>0</formula>
    </cfRule>
  </conditionalFormatting>
  <conditionalFormatting sqref="C60:C61">
    <cfRule type="cellIs" dxfId="1301" priority="383" operator="equal">
      <formula>0</formula>
    </cfRule>
    <cfRule type="cellIs" dxfId="1300" priority="384" operator="notEqual">
      <formula>0</formula>
    </cfRule>
  </conditionalFormatting>
  <conditionalFormatting sqref="D60:D61">
    <cfRule type="cellIs" dxfId="1299" priority="381" operator="equal">
      <formula>0</formula>
    </cfRule>
    <cfRule type="cellIs" dxfId="1298" priority="382" operator="notEqual">
      <formula>0</formula>
    </cfRule>
  </conditionalFormatting>
  <conditionalFormatting sqref="E60:E61">
    <cfRule type="cellIs" dxfId="1297" priority="379" operator="equal">
      <formula>0</formula>
    </cfRule>
    <cfRule type="cellIs" dxfId="1296" priority="380" operator="notEqual">
      <formula>0</formula>
    </cfRule>
  </conditionalFormatting>
  <conditionalFormatting sqref="F60:F61">
    <cfRule type="cellIs" dxfId="1295" priority="377" operator="equal">
      <formula>0</formula>
    </cfRule>
    <cfRule type="cellIs" dxfId="1294" priority="378" operator="notEqual">
      <formula>0</formula>
    </cfRule>
  </conditionalFormatting>
  <conditionalFormatting sqref="G60:G61">
    <cfRule type="cellIs" dxfId="1293" priority="375" operator="equal">
      <formula>0</formula>
    </cfRule>
    <cfRule type="cellIs" dxfId="1292" priority="376" operator="notEqual">
      <formula>0</formula>
    </cfRule>
  </conditionalFormatting>
  <conditionalFormatting sqref="H60:H61">
    <cfRule type="cellIs" dxfId="1291" priority="373" operator="equal">
      <formula>0</formula>
    </cfRule>
    <cfRule type="cellIs" dxfId="1290" priority="374" operator="notEqual">
      <formula>0</formula>
    </cfRule>
  </conditionalFormatting>
  <conditionalFormatting sqref="I60:I61">
    <cfRule type="cellIs" dxfId="1289" priority="371" operator="equal">
      <formula>0</formula>
    </cfRule>
    <cfRule type="cellIs" dxfId="1288" priority="372" operator="notEqual">
      <formula>0</formula>
    </cfRule>
  </conditionalFormatting>
  <conditionalFormatting sqref="J60:J61">
    <cfRule type="cellIs" dxfId="1287" priority="369" operator="equal">
      <formula>0</formula>
    </cfRule>
    <cfRule type="cellIs" dxfId="1286" priority="370" operator="notEqual">
      <formula>0</formula>
    </cfRule>
  </conditionalFormatting>
  <conditionalFormatting sqref="O59">
    <cfRule type="cellIs" dxfId="1285" priority="367" operator="equal">
      <formula>0</formula>
    </cfRule>
    <cfRule type="cellIs" dxfId="1284" priority="368" operator="notEqual">
      <formula>0</formula>
    </cfRule>
  </conditionalFormatting>
  <conditionalFormatting sqref="O62">
    <cfRule type="cellIs" dxfId="1283" priority="365" operator="equal">
      <formula>0</formula>
    </cfRule>
    <cfRule type="cellIs" dxfId="1282" priority="366" operator="notEqual">
      <formula>0</formula>
    </cfRule>
  </conditionalFormatting>
  <conditionalFormatting sqref="P59">
    <cfRule type="cellIs" dxfId="1281" priority="363" operator="equal">
      <formula>0</formula>
    </cfRule>
    <cfRule type="cellIs" dxfId="1280" priority="364" operator="notEqual">
      <formula>0</formula>
    </cfRule>
  </conditionalFormatting>
  <conditionalFormatting sqref="P62">
    <cfRule type="cellIs" dxfId="1279" priority="361" operator="equal">
      <formula>0</formula>
    </cfRule>
    <cfRule type="cellIs" dxfId="1278" priority="362" operator="notEqual">
      <formula>0</formula>
    </cfRule>
  </conditionalFormatting>
  <conditionalFormatting sqref="Q59">
    <cfRule type="cellIs" dxfId="1277" priority="359" operator="equal">
      <formula>0</formula>
    </cfRule>
    <cfRule type="cellIs" dxfId="1276" priority="360" operator="notEqual">
      <formula>0</formula>
    </cfRule>
  </conditionalFormatting>
  <conditionalFormatting sqref="Q62">
    <cfRule type="cellIs" dxfId="1275" priority="357" operator="equal">
      <formula>0</formula>
    </cfRule>
    <cfRule type="cellIs" dxfId="1274" priority="358" operator="notEqual">
      <formula>0</formula>
    </cfRule>
  </conditionalFormatting>
  <conditionalFormatting sqref="R59">
    <cfRule type="cellIs" dxfId="1273" priority="355" operator="equal">
      <formula>0</formula>
    </cfRule>
    <cfRule type="cellIs" dxfId="1272" priority="356" operator="notEqual">
      <formula>0</formula>
    </cfRule>
  </conditionalFormatting>
  <conditionalFormatting sqref="R62">
    <cfRule type="cellIs" dxfId="1271" priority="353" operator="equal">
      <formula>0</formula>
    </cfRule>
    <cfRule type="cellIs" dxfId="1270" priority="354" operator="notEqual">
      <formula>0</formula>
    </cfRule>
  </conditionalFormatting>
  <conditionalFormatting sqref="C67:C68">
    <cfRule type="cellIs" dxfId="1269" priority="351" operator="equal">
      <formula>0</formula>
    </cfRule>
    <cfRule type="cellIs" dxfId="1268" priority="352" operator="notEqual">
      <formula>0</formula>
    </cfRule>
  </conditionalFormatting>
  <conditionalFormatting sqref="D67:D68">
    <cfRule type="cellIs" dxfId="1267" priority="349" operator="equal">
      <formula>0</formula>
    </cfRule>
    <cfRule type="cellIs" dxfId="1266" priority="350" operator="notEqual">
      <formula>0</formula>
    </cfRule>
  </conditionalFormatting>
  <conditionalFormatting sqref="E67:E68">
    <cfRule type="cellIs" dxfId="1265" priority="347" operator="equal">
      <formula>0</formula>
    </cfRule>
    <cfRule type="cellIs" dxfId="1264" priority="348" operator="notEqual">
      <formula>0</formula>
    </cfRule>
  </conditionalFormatting>
  <conditionalFormatting sqref="F67:F68">
    <cfRule type="cellIs" dxfId="1263" priority="345" operator="equal">
      <formula>0</formula>
    </cfRule>
    <cfRule type="cellIs" dxfId="1262" priority="346" operator="notEqual">
      <formula>0</formula>
    </cfRule>
  </conditionalFormatting>
  <conditionalFormatting sqref="G67:G68">
    <cfRule type="cellIs" dxfId="1261" priority="343" operator="equal">
      <formula>0</formula>
    </cfRule>
    <cfRule type="cellIs" dxfId="1260" priority="344" operator="notEqual">
      <formula>0</formula>
    </cfRule>
  </conditionalFormatting>
  <conditionalFormatting sqref="H67:H68">
    <cfRule type="cellIs" dxfId="1259" priority="341" operator="equal">
      <formula>0</formula>
    </cfRule>
    <cfRule type="cellIs" dxfId="1258" priority="342" operator="notEqual">
      <formula>0</formula>
    </cfRule>
  </conditionalFormatting>
  <conditionalFormatting sqref="I67:I68">
    <cfRule type="cellIs" dxfId="1257" priority="339" operator="equal">
      <formula>0</formula>
    </cfRule>
    <cfRule type="cellIs" dxfId="1256" priority="340" operator="notEqual">
      <formula>0</formula>
    </cfRule>
  </conditionalFormatting>
  <conditionalFormatting sqref="J67:J68">
    <cfRule type="cellIs" dxfId="1255" priority="337" operator="equal">
      <formula>0</formula>
    </cfRule>
    <cfRule type="cellIs" dxfId="1254" priority="338" operator="notEqual">
      <formula>0</formula>
    </cfRule>
  </conditionalFormatting>
  <conditionalFormatting sqref="O66">
    <cfRule type="cellIs" dxfId="1253" priority="335" operator="equal">
      <formula>0</formula>
    </cfRule>
    <cfRule type="cellIs" dxfId="1252" priority="336" operator="notEqual">
      <formula>0</formula>
    </cfRule>
  </conditionalFormatting>
  <conditionalFormatting sqref="O69">
    <cfRule type="cellIs" dxfId="1251" priority="333" operator="equal">
      <formula>0</formula>
    </cfRule>
    <cfRule type="cellIs" dxfId="1250" priority="334" operator="notEqual">
      <formula>0</formula>
    </cfRule>
  </conditionalFormatting>
  <conditionalFormatting sqref="P66">
    <cfRule type="cellIs" dxfId="1249" priority="331" operator="equal">
      <formula>0</formula>
    </cfRule>
    <cfRule type="cellIs" dxfId="1248" priority="332" operator="notEqual">
      <formula>0</formula>
    </cfRule>
  </conditionalFormatting>
  <conditionalFormatting sqref="P69">
    <cfRule type="cellIs" dxfId="1247" priority="329" operator="equal">
      <formula>0</formula>
    </cfRule>
    <cfRule type="cellIs" dxfId="1246" priority="330" operator="notEqual">
      <formula>0</formula>
    </cfRule>
  </conditionalFormatting>
  <conditionalFormatting sqref="Q66">
    <cfRule type="cellIs" dxfId="1245" priority="327" operator="equal">
      <formula>0</formula>
    </cfRule>
    <cfRule type="cellIs" dxfId="1244" priority="328" operator="notEqual">
      <formula>0</formula>
    </cfRule>
  </conditionalFormatting>
  <conditionalFormatting sqref="Q69">
    <cfRule type="cellIs" dxfId="1243" priority="325" operator="equal">
      <formula>0</formula>
    </cfRule>
    <cfRule type="cellIs" dxfId="1242" priority="326" operator="notEqual">
      <formula>0</formula>
    </cfRule>
  </conditionalFormatting>
  <conditionalFormatting sqref="R66">
    <cfRule type="cellIs" dxfId="1241" priority="323" operator="equal">
      <formula>0</formula>
    </cfRule>
    <cfRule type="cellIs" dxfId="1240" priority="324" operator="notEqual">
      <formula>0</formula>
    </cfRule>
  </conditionalFormatting>
  <conditionalFormatting sqref="R69">
    <cfRule type="cellIs" dxfId="1239" priority="321" operator="equal">
      <formula>0</formula>
    </cfRule>
    <cfRule type="cellIs" dxfId="1238" priority="322" operator="notEqual">
      <formula>0</formula>
    </cfRule>
  </conditionalFormatting>
  <conditionalFormatting sqref="C74:C75">
    <cfRule type="cellIs" dxfId="1237" priority="319" operator="equal">
      <formula>0</formula>
    </cfRule>
    <cfRule type="cellIs" dxfId="1236" priority="320" operator="notEqual">
      <formula>0</formula>
    </cfRule>
  </conditionalFormatting>
  <conditionalFormatting sqref="D74:D75">
    <cfRule type="cellIs" dxfId="1235" priority="317" operator="equal">
      <formula>0</formula>
    </cfRule>
    <cfRule type="cellIs" dxfId="1234" priority="318" operator="notEqual">
      <formula>0</formula>
    </cfRule>
  </conditionalFormatting>
  <conditionalFormatting sqref="E74:E75">
    <cfRule type="cellIs" dxfId="1233" priority="315" operator="equal">
      <formula>0</formula>
    </cfRule>
    <cfRule type="cellIs" dxfId="1232" priority="316" operator="notEqual">
      <formula>0</formula>
    </cfRule>
  </conditionalFormatting>
  <conditionalFormatting sqref="F74:F75">
    <cfRule type="cellIs" dxfId="1231" priority="313" operator="equal">
      <formula>0</formula>
    </cfRule>
    <cfRule type="cellIs" dxfId="1230" priority="314" operator="notEqual">
      <formula>0</formula>
    </cfRule>
  </conditionalFormatting>
  <conditionalFormatting sqref="G74:G75">
    <cfRule type="cellIs" dxfId="1229" priority="311" operator="equal">
      <formula>0</formula>
    </cfRule>
    <cfRule type="cellIs" dxfId="1228" priority="312" operator="notEqual">
      <formula>0</formula>
    </cfRule>
  </conditionalFormatting>
  <conditionalFormatting sqref="H74:H75">
    <cfRule type="cellIs" dxfId="1227" priority="309" operator="equal">
      <formula>0</formula>
    </cfRule>
    <cfRule type="cellIs" dxfId="1226" priority="310" operator="notEqual">
      <formula>0</formula>
    </cfRule>
  </conditionalFormatting>
  <conditionalFormatting sqref="I74:I75">
    <cfRule type="cellIs" dxfId="1225" priority="307" operator="equal">
      <formula>0</formula>
    </cfRule>
    <cfRule type="cellIs" dxfId="1224" priority="308" operator="notEqual">
      <formula>0</formula>
    </cfRule>
  </conditionalFormatting>
  <conditionalFormatting sqref="J74:J75">
    <cfRule type="cellIs" dxfId="1223" priority="305" operator="equal">
      <formula>0</formula>
    </cfRule>
    <cfRule type="cellIs" dxfId="1222" priority="306" operator="notEqual">
      <formula>0</formula>
    </cfRule>
  </conditionalFormatting>
  <conditionalFormatting sqref="O73">
    <cfRule type="cellIs" dxfId="1221" priority="303" operator="equal">
      <formula>0</formula>
    </cfRule>
    <cfRule type="cellIs" dxfId="1220" priority="304" operator="notEqual">
      <formula>0</formula>
    </cfRule>
  </conditionalFormatting>
  <conditionalFormatting sqref="O76">
    <cfRule type="cellIs" dxfId="1219" priority="301" operator="equal">
      <formula>0</formula>
    </cfRule>
    <cfRule type="cellIs" dxfId="1218" priority="302" operator="notEqual">
      <formula>0</formula>
    </cfRule>
  </conditionalFormatting>
  <conditionalFormatting sqref="P73">
    <cfRule type="cellIs" dxfId="1217" priority="299" operator="equal">
      <formula>0</formula>
    </cfRule>
    <cfRule type="cellIs" dxfId="1216" priority="300" operator="notEqual">
      <formula>0</formula>
    </cfRule>
  </conditionalFormatting>
  <conditionalFormatting sqref="P76">
    <cfRule type="cellIs" dxfId="1215" priority="297" operator="equal">
      <formula>0</formula>
    </cfRule>
    <cfRule type="cellIs" dxfId="1214" priority="298" operator="notEqual">
      <formula>0</formula>
    </cfRule>
  </conditionalFormatting>
  <conditionalFormatting sqref="Q73">
    <cfRule type="cellIs" dxfId="1213" priority="295" operator="equal">
      <formula>0</formula>
    </cfRule>
    <cfRule type="cellIs" dxfId="1212" priority="296" operator="notEqual">
      <formula>0</formula>
    </cfRule>
  </conditionalFormatting>
  <conditionalFormatting sqref="Q76">
    <cfRule type="cellIs" dxfId="1211" priority="293" operator="equal">
      <formula>0</formula>
    </cfRule>
    <cfRule type="cellIs" dxfId="1210" priority="294" operator="notEqual">
      <formula>0</formula>
    </cfRule>
  </conditionalFormatting>
  <conditionalFormatting sqref="R73">
    <cfRule type="cellIs" dxfId="1209" priority="291" operator="equal">
      <formula>0</formula>
    </cfRule>
    <cfRule type="cellIs" dxfId="1208" priority="292" operator="notEqual">
      <formula>0</formula>
    </cfRule>
  </conditionalFormatting>
  <conditionalFormatting sqref="R76">
    <cfRule type="cellIs" dxfId="1207" priority="289" operator="equal">
      <formula>0</formula>
    </cfRule>
    <cfRule type="cellIs" dxfId="1206" priority="290" operator="notEqual">
      <formula>0</formula>
    </cfRule>
  </conditionalFormatting>
  <conditionalFormatting sqref="U67:U68">
    <cfRule type="cellIs" dxfId="1205" priority="287" operator="equal">
      <formula>0</formula>
    </cfRule>
    <cfRule type="cellIs" dxfId="1204" priority="288" operator="notEqual">
      <formula>0</formula>
    </cfRule>
  </conditionalFormatting>
  <conditionalFormatting sqref="V67:V68">
    <cfRule type="cellIs" dxfId="1203" priority="285" operator="equal">
      <formula>0</formula>
    </cfRule>
    <cfRule type="cellIs" dxfId="1202" priority="286" operator="notEqual">
      <formula>0</formula>
    </cfRule>
  </conditionalFormatting>
  <conditionalFormatting sqref="W67:W68">
    <cfRule type="cellIs" dxfId="1201" priority="283" operator="equal">
      <formula>0</formula>
    </cfRule>
    <cfRule type="cellIs" dxfId="1200" priority="284" operator="notEqual">
      <formula>0</formula>
    </cfRule>
  </conditionalFormatting>
  <conditionalFormatting sqref="X67:X68">
    <cfRule type="cellIs" dxfId="1199" priority="281" operator="equal">
      <formula>0</formula>
    </cfRule>
    <cfRule type="cellIs" dxfId="1198" priority="282" operator="notEqual">
      <formula>0</formula>
    </cfRule>
  </conditionalFormatting>
  <conditionalFormatting sqref="Y67:Y68">
    <cfRule type="cellIs" dxfId="1197" priority="279" operator="equal">
      <formula>0</formula>
    </cfRule>
    <cfRule type="cellIs" dxfId="1196" priority="280" operator="notEqual">
      <formula>0</formula>
    </cfRule>
  </conditionalFormatting>
  <conditionalFormatting sqref="Z67:Z68">
    <cfRule type="cellIs" dxfId="1195" priority="277" operator="equal">
      <formula>0</formula>
    </cfRule>
    <cfRule type="cellIs" dxfId="1194" priority="278" operator="notEqual">
      <formula>0</formula>
    </cfRule>
  </conditionalFormatting>
  <conditionalFormatting sqref="AA67:AA68">
    <cfRule type="cellIs" dxfId="1193" priority="275" operator="equal">
      <formula>0</formula>
    </cfRule>
    <cfRule type="cellIs" dxfId="1192" priority="276" operator="notEqual">
      <formula>0</formula>
    </cfRule>
  </conditionalFormatting>
  <conditionalFormatting sqref="AB67:AB68">
    <cfRule type="cellIs" dxfId="1191" priority="273" operator="equal">
      <formula>0</formula>
    </cfRule>
    <cfRule type="cellIs" dxfId="1190" priority="274" operator="notEqual">
      <formula>0</formula>
    </cfRule>
  </conditionalFormatting>
  <conditionalFormatting sqref="AG66">
    <cfRule type="cellIs" dxfId="1189" priority="271" operator="equal">
      <formula>0</formula>
    </cfRule>
    <cfRule type="cellIs" dxfId="1188" priority="272" operator="notEqual">
      <formula>0</formula>
    </cfRule>
  </conditionalFormatting>
  <conditionalFormatting sqref="AG69">
    <cfRule type="cellIs" dxfId="1187" priority="269" operator="equal">
      <formula>0</formula>
    </cfRule>
    <cfRule type="cellIs" dxfId="1186" priority="270" operator="notEqual">
      <formula>0</formula>
    </cfRule>
  </conditionalFormatting>
  <conditionalFormatting sqref="AH66">
    <cfRule type="cellIs" dxfId="1185" priority="267" operator="equal">
      <formula>0</formula>
    </cfRule>
    <cfRule type="cellIs" dxfId="1184" priority="268" operator="notEqual">
      <formula>0</formula>
    </cfRule>
  </conditionalFormatting>
  <conditionalFormatting sqref="AH69">
    <cfRule type="cellIs" dxfId="1183" priority="265" operator="equal">
      <formula>0</formula>
    </cfRule>
    <cfRule type="cellIs" dxfId="1182" priority="266" operator="notEqual">
      <formula>0</formula>
    </cfRule>
  </conditionalFormatting>
  <conditionalFormatting sqref="AI66">
    <cfRule type="cellIs" dxfId="1181" priority="263" operator="equal">
      <formula>0</formula>
    </cfRule>
    <cfRule type="cellIs" dxfId="1180" priority="264" operator="notEqual">
      <formula>0</formula>
    </cfRule>
  </conditionalFormatting>
  <conditionalFormatting sqref="AI69">
    <cfRule type="cellIs" dxfId="1179" priority="261" operator="equal">
      <formula>0</formula>
    </cfRule>
    <cfRule type="cellIs" dxfId="1178" priority="262" operator="notEqual">
      <formula>0</formula>
    </cfRule>
  </conditionalFormatting>
  <conditionalFormatting sqref="AJ66">
    <cfRule type="cellIs" dxfId="1177" priority="259" operator="equal">
      <formula>0</formula>
    </cfRule>
    <cfRule type="cellIs" dxfId="1176" priority="260" operator="notEqual">
      <formula>0</formula>
    </cfRule>
  </conditionalFormatting>
  <conditionalFormatting sqref="AJ69">
    <cfRule type="cellIs" dxfId="1175" priority="257" operator="equal">
      <formula>0</formula>
    </cfRule>
    <cfRule type="cellIs" dxfId="1174" priority="258" operator="notEqual">
      <formula>0</formula>
    </cfRule>
  </conditionalFormatting>
  <conditionalFormatting sqref="U60:U61">
    <cfRule type="cellIs" dxfId="1173" priority="255" operator="equal">
      <formula>0</formula>
    </cfRule>
    <cfRule type="cellIs" dxfId="1172" priority="256" operator="notEqual">
      <formula>0</formula>
    </cfRule>
  </conditionalFormatting>
  <conditionalFormatting sqref="V60:V61">
    <cfRule type="cellIs" dxfId="1171" priority="253" operator="equal">
      <formula>0</formula>
    </cfRule>
    <cfRule type="cellIs" dxfId="1170" priority="254" operator="notEqual">
      <formula>0</formula>
    </cfRule>
  </conditionalFormatting>
  <conditionalFormatting sqref="W60:W61">
    <cfRule type="cellIs" dxfId="1169" priority="251" operator="equal">
      <formula>0</formula>
    </cfRule>
    <cfRule type="cellIs" dxfId="1168" priority="252" operator="notEqual">
      <formula>0</formula>
    </cfRule>
  </conditionalFormatting>
  <conditionalFormatting sqref="X60:X61">
    <cfRule type="cellIs" dxfId="1167" priority="249" operator="equal">
      <formula>0</formula>
    </cfRule>
    <cfRule type="cellIs" dxfId="1166" priority="250" operator="notEqual">
      <formula>0</formula>
    </cfRule>
  </conditionalFormatting>
  <conditionalFormatting sqref="Y60:Y61">
    <cfRule type="cellIs" dxfId="1165" priority="247" operator="equal">
      <formula>0</formula>
    </cfRule>
    <cfRule type="cellIs" dxfId="1164" priority="248" operator="notEqual">
      <formula>0</formula>
    </cfRule>
  </conditionalFormatting>
  <conditionalFormatting sqref="Z60:Z61">
    <cfRule type="cellIs" dxfId="1163" priority="245" operator="equal">
      <formula>0</formula>
    </cfRule>
    <cfRule type="cellIs" dxfId="1162" priority="246" operator="notEqual">
      <formula>0</formula>
    </cfRule>
  </conditionalFormatting>
  <conditionalFormatting sqref="AA60:AA61">
    <cfRule type="cellIs" dxfId="1161" priority="243" operator="equal">
      <formula>0</formula>
    </cfRule>
    <cfRule type="cellIs" dxfId="1160" priority="244" operator="notEqual">
      <formula>0</formula>
    </cfRule>
  </conditionalFormatting>
  <conditionalFormatting sqref="AB60:AB61">
    <cfRule type="cellIs" dxfId="1159" priority="241" operator="equal">
      <formula>0</formula>
    </cfRule>
    <cfRule type="cellIs" dxfId="1158" priority="242" operator="notEqual">
      <formula>0</formula>
    </cfRule>
  </conditionalFormatting>
  <conditionalFormatting sqref="AG59">
    <cfRule type="cellIs" dxfId="1157" priority="239" operator="equal">
      <formula>0</formula>
    </cfRule>
    <cfRule type="cellIs" dxfId="1156" priority="240" operator="notEqual">
      <formula>0</formula>
    </cfRule>
  </conditionalFormatting>
  <conditionalFormatting sqref="AG62">
    <cfRule type="cellIs" dxfId="1155" priority="237" operator="equal">
      <formula>0</formula>
    </cfRule>
    <cfRule type="cellIs" dxfId="1154" priority="238" operator="notEqual">
      <formula>0</formula>
    </cfRule>
  </conditionalFormatting>
  <conditionalFormatting sqref="AH59">
    <cfRule type="cellIs" dxfId="1153" priority="235" operator="equal">
      <formula>0</formula>
    </cfRule>
    <cfRule type="cellIs" dxfId="1152" priority="236" operator="notEqual">
      <formula>0</formula>
    </cfRule>
  </conditionalFormatting>
  <conditionalFormatting sqref="AH62">
    <cfRule type="cellIs" dxfId="1151" priority="233" operator="equal">
      <formula>0</formula>
    </cfRule>
    <cfRule type="cellIs" dxfId="1150" priority="234" operator="notEqual">
      <formula>0</formula>
    </cfRule>
  </conditionalFormatting>
  <conditionalFormatting sqref="AI59">
    <cfRule type="cellIs" dxfId="1149" priority="231" operator="equal">
      <formula>0</formula>
    </cfRule>
    <cfRule type="cellIs" dxfId="1148" priority="232" operator="notEqual">
      <formula>0</formula>
    </cfRule>
  </conditionalFormatting>
  <conditionalFormatting sqref="AI62">
    <cfRule type="cellIs" dxfId="1147" priority="229" operator="equal">
      <formula>0</formula>
    </cfRule>
    <cfRule type="cellIs" dxfId="1146" priority="230" operator="notEqual">
      <formula>0</formula>
    </cfRule>
  </conditionalFormatting>
  <conditionalFormatting sqref="AJ59">
    <cfRule type="cellIs" dxfId="1145" priority="227" operator="equal">
      <formula>0</formula>
    </cfRule>
    <cfRule type="cellIs" dxfId="1144" priority="228" operator="notEqual">
      <formula>0</formula>
    </cfRule>
  </conditionalFormatting>
  <conditionalFormatting sqref="AJ62">
    <cfRule type="cellIs" dxfId="1143" priority="225" operator="equal">
      <formula>0</formula>
    </cfRule>
    <cfRule type="cellIs" dxfId="1142" priority="226" operator="notEqual">
      <formula>0</formula>
    </cfRule>
  </conditionalFormatting>
  <conditionalFormatting sqref="U53:U54">
    <cfRule type="cellIs" dxfId="1141" priority="223" operator="equal">
      <formula>0</formula>
    </cfRule>
    <cfRule type="cellIs" dxfId="1140" priority="224" operator="notEqual">
      <formula>0</formula>
    </cfRule>
  </conditionalFormatting>
  <conditionalFormatting sqref="V53:V54">
    <cfRule type="cellIs" dxfId="1139" priority="221" operator="equal">
      <formula>0</formula>
    </cfRule>
    <cfRule type="cellIs" dxfId="1138" priority="222" operator="notEqual">
      <formula>0</formula>
    </cfRule>
  </conditionalFormatting>
  <conditionalFormatting sqref="W53:W54">
    <cfRule type="cellIs" dxfId="1137" priority="219" operator="equal">
      <formula>0</formula>
    </cfRule>
    <cfRule type="cellIs" dxfId="1136" priority="220" operator="notEqual">
      <formula>0</formula>
    </cfRule>
  </conditionalFormatting>
  <conditionalFormatting sqref="X53:X54">
    <cfRule type="cellIs" dxfId="1135" priority="217" operator="equal">
      <formula>0</formula>
    </cfRule>
    <cfRule type="cellIs" dxfId="1134" priority="218" operator="notEqual">
      <formula>0</formula>
    </cfRule>
  </conditionalFormatting>
  <conditionalFormatting sqref="Y53:Y54">
    <cfRule type="cellIs" dxfId="1133" priority="215" operator="equal">
      <formula>0</formula>
    </cfRule>
    <cfRule type="cellIs" dxfId="1132" priority="216" operator="notEqual">
      <formula>0</formula>
    </cfRule>
  </conditionalFormatting>
  <conditionalFormatting sqref="Z53:Z54">
    <cfRule type="cellIs" dxfId="1131" priority="213" operator="equal">
      <formula>0</formula>
    </cfRule>
    <cfRule type="cellIs" dxfId="1130" priority="214" operator="notEqual">
      <formula>0</formula>
    </cfRule>
  </conditionalFormatting>
  <conditionalFormatting sqref="AA53:AA54">
    <cfRule type="cellIs" dxfId="1129" priority="211" operator="equal">
      <formula>0</formula>
    </cfRule>
    <cfRule type="cellIs" dxfId="1128" priority="212" operator="notEqual">
      <formula>0</formula>
    </cfRule>
  </conditionalFormatting>
  <conditionalFormatting sqref="AB53:AB54">
    <cfRule type="cellIs" dxfId="1127" priority="209" operator="equal">
      <formula>0</formula>
    </cfRule>
    <cfRule type="cellIs" dxfId="1126" priority="210" operator="notEqual">
      <formula>0</formula>
    </cfRule>
  </conditionalFormatting>
  <conditionalFormatting sqref="AG52">
    <cfRule type="cellIs" dxfId="1125" priority="207" operator="equal">
      <formula>0</formula>
    </cfRule>
    <cfRule type="cellIs" dxfId="1124" priority="208" operator="notEqual">
      <formula>0</formula>
    </cfRule>
  </conditionalFormatting>
  <conditionalFormatting sqref="AG55">
    <cfRule type="cellIs" dxfId="1123" priority="205" operator="equal">
      <formula>0</formula>
    </cfRule>
    <cfRule type="cellIs" dxfId="1122" priority="206" operator="notEqual">
      <formula>0</formula>
    </cfRule>
  </conditionalFormatting>
  <conditionalFormatting sqref="AH52">
    <cfRule type="cellIs" dxfId="1121" priority="203" operator="equal">
      <formula>0</formula>
    </cfRule>
    <cfRule type="cellIs" dxfId="1120" priority="204" operator="notEqual">
      <formula>0</formula>
    </cfRule>
  </conditionalFormatting>
  <conditionalFormatting sqref="AH55">
    <cfRule type="cellIs" dxfId="1119" priority="201" operator="equal">
      <formula>0</formula>
    </cfRule>
    <cfRule type="cellIs" dxfId="1118" priority="202" operator="notEqual">
      <formula>0</formula>
    </cfRule>
  </conditionalFormatting>
  <conditionalFormatting sqref="AI52">
    <cfRule type="cellIs" dxfId="1117" priority="199" operator="equal">
      <formula>0</formula>
    </cfRule>
    <cfRule type="cellIs" dxfId="1116" priority="200" operator="notEqual">
      <formula>0</formula>
    </cfRule>
  </conditionalFormatting>
  <conditionalFormatting sqref="AI55">
    <cfRule type="cellIs" dxfId="1115" priority="197" operator="equal">
      <formula>0</formula>
    </cfRule>
    <cfRule type="cellIs" dxfId="1114" priority="198" operator="notEqual">
      <formula>0</formula>
    </cfRule>
  </conditionalFormatting>
  <conditionalFormatting sqref="AJ52">
    <cfRule type="cellIs" dxfId="1113" priority="195" operator="equal">
      <formula>0</formula>
    </cfRule>
    <cfRule type="cellIs" dxfId="1112" priority="196" operator="notEqual">
      <formula>0</formula>
    </cfRule>
  </conditionalFormatting>
  <conditionalFormatting sqref="AJ55">
    <cfRule type="cellIs" dxfId="1111" priority="193" operator="equal">
      <formula>0</formula>
    </cfRule>
    <cfRule type="cellIs" dxfId="1110" priority="194" operator="notEqual">
      <formula>0</formula>
    </cfRule>
  </conditionalFormatting>
  <conditionalFormatting sqref="U46:U47">
    <cfRule type="cellIs" dxfId="1109" priority="191" operator="equal">
      <formula>0</formula>
    </cfRule>
    <cfRule type="cellIs" dxfId="1108" priority="192" operator="notEqual">
      <formula>0</formula>
    </cfRule>
  </conditionalFormatting>
  <conditionalFormatting sqref="V46:V47">
    <cfRule type="cellIs" dxfId="1107" priority="189" operator="equal">
      <formula>0</formula>
    </cfRule>
    <cfRule type="cellIs" dxfId="1106" priority="190" operator="notEqual">
      <formula>0</formula>
    </cfRule>
  </conditionalFormatting>
  <conditionalFormatting sqref="W46:W47">
    <cfRule type="cellIs" dxfId="1105" priority="187" operator="equal">
      <formula>0</formula>
    </cfRule>
    <cfRule type="cellIs" dxfId="1104" priority="188" operator="notEqual">
      <formula>0</formula>
    </cfRule>
  </conditionalFormatting>
  <conditionalFormatting sqref="X46:X47">
    <cfRule type="cellIs" dxfId="1103" priority="185" operator="equal">
      <formula>0</formula>
    </cfRule>
    <cfRule type="cellIs" dxfId="1102" priority="186" operator="notEqual">
      <formula>0</formula>
    </cfRule>
  </conditionalFormatting>
  <conditionalFormatting sqref="Y46:Y47">
    <cfRule type="cellIs" dxfId="1101" priority="183" operator="equal">
      <formula>0</formula>
    </cfRule>
    <cfRule type="cellIs" dxfId="1100" priority="184" operator="notEqual">
      <formula>0</formula>
    </cfRule>
  </conditionalFormatting>
  <conditionalFormatting sqref="Z46:Z47">
    <cfRule type="cellIs" dxfId="1099" priority="181" operator="equal">
      <formula>0</formula>
    </cfRule>
    <cfRule type="cellIs" dxfId="1098" priority="182" operator="notEqual">
      <formula>0</formula>
    </cfRule>
  </conditionalFormatting>
  <conditionalFormatting sqref="AA46:AA47">
    <cfRule type="cellIs" dxfId="1097" priority="179" operator="equal">
      <formula>0</formula>
    </cfRule>
    <cfRule type="cellIs" dxfId="1096" priority="180" operator="notEqual">
      <formula>0</formula>
    </cfRule>
  </conditionalFormatting>
  <conditionalFormatting sqref="AB46:AB47">
    <cfRule type="cellIs" dxfId="1095" priority="177" operator="equal">
      <formula>0</formula>
    </cfRule>
    <cfRule type="cellIs" dxfId="1094" priority="178" operator="notEqual">
      <formula>0</formula>
    </cfRule>
  </conditionalFormatting>
  <conditionalFormatting sqref="AG45">
    <cfRule type="cellIs" dxfId="1093" priority="175" operator="equal">
      <formula>0</formula>
    </cfRule>
    <cfRule type="cellIs" dxfId="1092" priority="176" operator="notEqual">
      <formula>0</formula>
    </cfRule>
  </conditionalFormatting>
  <conditionalFormatting sqref="AG48">
    <cfRule type="cellIs" dxfId="1091" priority="173" operator="equal">
      <formula>0</formula>
    </cfRule>
    <cfRule type="cellIs" dxfId="1090" priority="174" operator="notEqual">
      <formula>0</formula>
    </cfRule>
  </conditionalFormatting>
  <conditionalFormatting sqref="AH45">
    <cfRule type="cellIs" dxfId="1089" priority="171" operator="equal">
      <formula>0</formula>
    </cfRule>
    <cfRule type="cellIs" dxfId="1088" priority="172" operator="notEqual">
      <formula>0</formula>
    </cfRule>
  </conditionalFormatting>
  <conditionalFormatting sqref="AH48">
    <cfRule type="cellIs" dxfId="1087" priority="169" operator="equal">
      <formula>0</formula>
    </cfRule>
    <cfRule type="cellIs" dxfId="1086" priority="170" operator="notEqual">
      <formula>0</formula>
    </cfRule>
  </conditionalFormatting>
  <conditionalFormatting sqref="AI45">
    <cfRule type="cellIs" dxfId="1085" priority="167" operator="equal">
      <formula>0</formula>
    </cfRule>
    <cfRule type="cellIs" dxfId="1084" priority="168" operator="notEqual">
      <formula>0</formula>
    </cfRule>
  </conditionalFormatting>
  <conditionalFormatting sqref="AI48">
    <cfRule type="cellIs" dxfId="1083" priority="165" operator="equal">
      <formula>0</formula>
    </cfRule>
    <cfRule type="cellIs" dxfId="1082" priority="166" operator="notEqual">
      <formula>0</formula>
    </cfRule>
  </conditionalFormatting>
  <conditionalFormatting sqref="AJ45">
    <cfRule type="cellIs" dxfId="1081" priority="163" operator="equal">
      <formula>0</formula>
    </cfRule>
    <cfRule type="cellIs" dxfId="1080" priority="164" operator="notEqual">
      <formula>0</formula>
    </cfRule>
  </conditionalFormatting>
  <conditionalFormatting sqref="AJ48">
    <cfRule type="cellIs" dxfId="1079" priority="161" operator="equal">
      <formula>0</formula>
    </cfRule>
    <cfRule type="cellIs" dxfId="1078" priority="162" operator="notEqual">
      <formula>0</formula>
    </cfRule>
  </conditionalFormatting>
  <conditionalFormatting sqref="U39:U40">
    <cfRule type="cellIs" dxfId="1077" priority="159" operator="equal">
      <formula>0</formula>
    </cfRule>
    <cfRule type="cellIs" dxfId="1076" priority="160" operator="notEqual">
      <formula>0</formula>
    </cfRule>
  </conditionalFormatting>
  <conditionalFormatting sqref="V39:V40">
    <cfRule type="cellIs" dxfId="1075" priority="157" operator="equal">
      <formula>0</formula>
    </cfRule>
    <cfRule type="cellIs" dxfId="1074" priority="158" operator="notEqual">
      <formula>0</formula>
    </cfRule>
  </conditionalFormatting>
  <conditionalFormatting sqref="W39:W40">
    <cfRule type="cellIs" dxfId="1073" priority="155" operator="equal">
      <formula>0</formula>
    </cfRule>
    <cfRule type="cellIs" dxfId="1072" priority="156" operator="notEqual">
      <formula>0</formula>
    </cfRule>
  </conditionalFormatting>
  <conditionalFormatting sqref="X39:X40">
    <cfRule type="cellIs" dxfId="1071" priority="153" operator="equal">
      <formula>0</formula>
    </cfRule>
    <cfRule type="cellIs" dxfId="1070" priority="154" operator="notEqual">
      <formula>0</formula>
    </cfRule>
  </conditionalFormatting>
  <conditionalFormatting sqref="Y39:Y40">
    <cfRule type="cellIs" dxfId="1069" priority="151" operator="equal">
      <formula>0</formula>
    </cfRule>
    <cfRule type="cellIs" dxfId="1068" priority="152" operator="notEqual">
      <formula>0</formula>
    </cfRule>
  </conditionalFormatting>
  <conditionalFormatting sqref="Z39:Z40">
    <cfRule type="cellIs" dxfId="1067" priority="149" operator="equal">
      <formula>0</formula>
    </cfRule>
    <cfRule type="cellIs" dxfId="1066" priority="150" operator="notEqual">
      <formula>0</formula>
    </cfRule>
  </conditionalFormatting>
  <conditionalFormatting sqref="AA39:AA40">
    <cfRule type="cellIs" dxfId="1065" priority="147" operator="equal">
      <formula>0</formula>
    </cfRule>
    <cfRule type="cellIs" dxfId="1064" priority="148" operator="notEqual">
      <formula>0</formula>
    </cfRule>
  </conditionalFormatting>
  <conditionalFormatting sqref="AB39:AB40">
    <cfRule type="cellIs" dxfId="1063" priority="145" operator="equal">
      <formula>0</formula>
    </cfRule>
    <cfRule type="cellIs" dxfId="1062" priority="146" operator="notEqual">
      <formula>0</formula>
    </cfRule>
  </conditionalFormatting>
  <conditionalFormatting sqref="AG38">
    <cfRule type="cellIs" dxfId="1061" priority="143" operator="equal">
      <formula>0</formula>
    </cfRule>
    <cfRule type="cellIs" dxfId="1060" priority="144" operator="notEqual">
      <formula>0</formula>
    </cfRule>
  </conditionalFormatting>
  <conditionalFormatting sqref="AG41">
    <cfRule type="cellIs" dxfId="1059" priority="141" operator="equal">
      <formula>0</formula>
    </cfRule>
    <cfRule type="cellIs" dxfId="1058" priority="142" operator="notEqual">
      <formula>0</formula>
    </cfRule>
  </conditionalFormatting>
  <conditionalFormatting sqref="AH38">
    <cfRule type="cellIs" dxfId="1057" priority="139" operator="equal">
      <formula>0</formula>
    </cfRule>
    <cfRule type="cellIs" dxfId="1056" priority="140" operator="notEqual">
      <formula>0</formula>
    </cfRule>
  </conditionalFormatting>
  <conditionalFormatting sqref="AH41">
    <cfRule type="cellIs" dxfId="1055" priority="137" operator="equal">
      <formula>0</formula>
    </cfRule>
    <cfRule type="cellIs" dxfId="1054" priority="138" operator="notEqual">
      <formula>0</formula>
    </cfRule>
  </conditionalFormatting>
  <conditionalFormatting sqref="AI38">
    <cfRule type="cellIs" dxfId="1053" priority="135" operator="equal">
      <formula>0</formula>
    </cfRule>
    <cfRule type="cellIs" dxfId="1052" priority="136" operator="notEqual">
      <formula>0</formula>
    </cfRule>
  </conditionalFormatting>
  <conditionalFormatting sqref="AI41">
    <cfRule type="cellIs" dxfId="1051" priority="133" operator="equal">
      <formula>0</formula>
    </cfRule>
    <cfRule type="cellIs" dxfId="1050" priority="134" operator="notEqual">
      <formula>0</formula>
    </cfRule>
  </conditionalFormatting>
  <conditionalFormatting sqref="AJ38">
    <cfRule type="cellIs" dxfId="1049" priority="131" operator="equal">
      <formula>0</formula>
    </cfRule>
    <cfRule type="cellIs" dxfId="1048" priority="132" operator="notEqual">
      <formula>0</formula>
    </cfRule>
  </conditionalFormatting>
  <conditionalFormatting sqref="AJ41">
    <cfRule type="cellIs" dxfId="1047" priority="129" operator="equal">
      <formula>0</formula>
    </cfRule>
    <cfRule type="cellIs" dxfId="1046" priority="130" operator="notEqual">
      <formula>0</formula>
    </cfRule>
  </conditionalFormatting>
  <conditionalFormatting sqref="U32:U33">
    <cfRule type="cellIs" dxfId="1045" priority="127" operator="equal">
      <formula>0</formula>
    </cfRule>
    <cfRule type="cellIs" dxfId="1044" priority="128" operator="notEqual">
      <formula>0</formula>
    </cfRule>
  </conditionalFormatting>
  <conditionalFormatting sqref="V32:V33">
    <cfRule type="cellIs" dxfId="1043" priority="125" operator="equal">
      <formula>0</formula>
    </cfRule>
    <cfRule type="cellIs" dxfId="1042" priority="126" operator="notEqual">
      <formula>0</formula>
    </cfRule>
  </conditionalFormatting>
  <conditionalFormatting sqref="W32:W33">
    <cfRule type="cellIs" dxfId="1041" priority="123" operator="equal">
      <formula>0</formula>
    </cfRule>
    <cfRule type="cellIs" dxfId="1040" priority="124" operator="notEqual">
      <formula>0</formula>
    </cfRule>
  </conditionalFormatting>
  <conditionalFormatting sqref="X32:X33">
    <cfRule type="cellIs" dxfId="1039" priority="121" operator="equal">
      <formula>0</formula>
    </cfRule>
    <cfRule type="cellIs" dxfId="1038" priority="122" operator="notEqual">
      <formula>0</formula>
    </cfRule>
  </conditionalFormatting>
  <conditionalFormatting sqref="Y32:Y33">
    <cfRule type="cellIs" dxfId="1037" priority="119" operator="equal">
      <formula>0</formula>
    </cfRule>
    <cfRule type="cellIs" dxfId="1036" priority="120" operator="notEqual">
      <formula>0</formula>
    </cfRule>
  </conditionalFormatting>
  <conditionalFormatting sqref="Z32:Z33">
    <cfRule type="cellIs" dxfId="1035" priority="117" operator="equal">
      <formula>0</formula>
    </cfRule>
    <cfRule type="cellIs" dxfId="1034" priority="118" operator="notEqual">
      <formula>0</formula>
    </cfRule>
  </conditionalFormatting>
  <conditionalFormatting sqref="AA32:AA33">
    <cfRule type="cellIs" dxfId="1033" priority="115" operator="equal">
      <formula>0</formula>
    </cfRule>
    <cfRule type="cellIs" dxfId="1032" priority="116" operator="notEqual">
      <formula>0</formula>
    </cfRule>
  </conditionalFormatting>
  <conditionalFormatting sqref="AB32:AB33">
    <cfRule type="cellIs" dxfId="1031" priority="113" operator="equal">
      <formula>0</formula>
    </cfRule>
    <cfRule type="cellIs" dxfId="1030" priority="114" operator="notEqual">
      <formula>0</formula>
    </cfRule>
  </conditionalFormatting>
  <conditionalFormatting sqref="AG31">
    <cfRule type="cellIs" dxfId="1029" priority="111" operator="equal">
      <formula>0</formula>
    </cfRule>
    <cfRule type="cellIs" dxfId="1028" priority="112" operator="notEqual">
      <formula>0</formula>
    </cfRule>
  </conditionalFormatting>
  <conditionalFormatting sqref="AG34">
    <cfRule type="cellIs" dxfId="1027" priority="109" operator="equal">
      <formula>0</formula>
    </cfRule>
    <cfRule type="cellIs" dxfId="1026" priority="110" operator="notEqual">
      <formula>0</formula>
    </cfRule>
  </conditionalFormatting>
  <conditionalFormatting sqref="AH31">
    <cfRule type="cellIs" dxfId="1025" priority="107" operator="equal">
      <formula>0</formula>
    </cfRule>
    <cfRule type="cellIs" dxfId="1024" priority="108" operator="notEqual">
      <formula>0</formula>
    </cfRule>
  </conditionalFormatting>
  <conditionalFormatting sqref="AH34">
    <cfRule type="cellIs" dxfId="1023" priority="105" operator="equal">
      <formula>0</formula>
    </cfRule>
    <cfRule type="cellIs" dxfId="1022" priority="106" operator="notEqual">
      <formula>0</formula>
    </cfRule>
  </conditionalFormatting>
  <conditionalFormatting sqref="AI31">
    <cfRule type="cellIs" dxfId="1021" priority="103" operator="equal">
      <formula>0</formula>
    </cfRule>
    <cfRule type="cellIs" dxfId="1020" priority="104" operator="notEqual">
      <formula>0</formula>
    </cfRule>
  </conditionalFormatting>
  <conditionalFormatting sqref="AI34">
    <cfRule type="cellIs" dxfId="1019" priority="101" operator="equal">
      <formula>0</formula>
    </cfRule>
    <cfRule type="cellIs" dxfId="1018" priority="102" operator="notEqual">
      <formula>0</formula>
    </cfRule>
  </conditionalFormatting>
  <conditionalFormatting sqref="AJ31">
    <cfRule type="cellIs" dxfId="1017" priority="99" operator="equal">
      <formula>0</formula>
    </cfRule>
    <cfRule type="cellIs" dxfId="1016" priority="100" operator="notEqual">
      <formula>0</formula>
    </cfRule>
  </conditionalFormatting>
  <conditionalFormatting sqref="AJ34">
    <cfRule type="cellIs" dxfId="1015" priority="97" operator="equal">
      <formula>0</formula>
    </cfRule>
    <cfRule type="cellIs" dxfId="1014" priority="98" operator="notEqual">
      <formula>0</formula>
    </cfRule>
  </conditionalFormatting>
  <conditionalFormatting sqref="U25:U26">
    <cfRule type="cellIs" dxfId="1013" priority="95" operator="equal">
      <formula>0</formula>
    </cfRule>
    <cfRule type="cellIs" dxfId="1012" priority="96" operator="notEqual">
      <formula>0</formula>
    </cfRule>
  </conditionalFormatting>
  <conditionalFormatting sqref="V25:V26">
    <cfRule type="cellIs" dxfId="1011" priority="93" operator="equal">
      <formula>0</formula>
    </cfRule>
    <cfRule type="cellIs" dxfId="1010" priority="94" operator="notEqual">
      <formula>0</formula>
    </cfRule>
  </conditionalFormatting>
  <conditionalFormatting sqref="W25:W26">
    <cfRule type="cellIs" dxfId="1009" priority="91" operator="equal">
      <formula>0</formula>
    </cfRule>
    <cfRule type="cellIs" dxfId="1008" priority="92" operator="notEqual">
      <formula>0</formula>
    </cfRule>
  </conditionalFormatting>
  <conditionalFormatting sqref="X25:X26">
    <cfRule type="cellIs" dxfId="1007" priority="89" operator="equal">
      <formula>0</formula>
    </cfRule>
    <cfRule type="cellIs" dxfId="1006" priority="90" operator="notEqual">
      <formula>0</formula>
    </cfRule>
  </conditionalFormatting>
  <conditionalFormatting sqref="Y25:Y26">
    <cfRule type="cellIs" dxfId="1005" priority="87" operator="equal">
      <formula>0</formula>
    </cfRule>
    <cfRule type="cellIs" dxfId="1004" priority="88" operator="notEqual">
      <formula>0</formula>
    </cfRule>
  </conditionalFormatting>
  <conditionalFormatting sqref="Z25:Z26">
    <cfRule type="cellIs" dxfId="1003" priority="85" operator="equal">
      <formula>0</formula>
    </cfRule>
    <cfRule type="cellIs" dxfId="1002" priority="86" operator="notEqual">
      <formula>0</formula>
    </cfRule>
  </conditionalFormatting>
  <conditionalFormatting sqref="AA25:AA26">
    <cfRule type="cellIs" dxfId="1001" priority="83" operator="equal">
      <formula>0</formula>
    </cfRule>
    <cfRule type="cellIs" dxfId="1000" priority="84" operator="notEqual">
      <formula>0</formula>
    </cfRule>
  </conditionalFormatting>
  <conditionalFormatting sqref="AB25:AB26">
    <cfRule type="cellIs" dxfId="999" priority="81" operator="equal">
      <formula>0</formula>
    </cfRule>
    <cfRule type="cellIs" dxfId="998" priority="82" operator="notEqual">
      <formula>0</formula>
    </cfRule>
  </conditionalFormatting>
  <conditionalFormatting sqref="AG24">
    <cfRule type="cellIs" dxfId="997" priority="79" operator="equal">
      <formula>0</formula>
    </cfRule>
    <cfRule type="cellIs" dxfId="996" priority="80" operator="notEqual">
      <formula>0</formula>
    </cfRule>
  </conditionalFormatting>
  <conditionalFormatting sqref="AG27">
    <cfRule type="cellIs" dxfId="995" priority="77" operator="equal">
      <formula>0</formula>
    </cfRule>
    <cfRule type="cellIs" dxfId="994" priority="78" operator="notEqual">
      <formula>0</formula>
    </cfRule>
  </conditionalFormatting>
  <conditionalFormatting sqref="AH24">
    <cfRule type="cellIs" dxfId="993" priority="75" operator="equal">
      <formula>0</formula>
    </cfRule>
    <cfRule type="cellIs" dxfId="992" priority="76" operator="notEqual">
      <formula>0</formula>
    </cfRule>
  </conditionalFormatting>
  <conditionalFormatting sqref="AH27">
    <cfRule type="cellIs" dxfId="991" priority="73" operator="equal">
      <formula>0</formula>
    </cfRule>
    <cfRule type="cellIs" dxfId="990" priority="74" operator="notEqual">
      <formula>0</formula>
    </cfRule>
  </conditionalFormatting>
  <conditionalFormatting sqref="AI24">
    <cfRule type="cellIs" dxfId="989" priority="71" operator="equal">
      <formula>0</formula>
    </cfRule>
    <cfRule type="cellIs" dxfId="988" priority="72" operator="notEqual">
      <formula>0</formula>
    </cfRule>
  </conditionalFormatting>
  <conditionalFormatting sqref="AI27">
    <cfRule type="cellIs" dxfId="987" priority="69" operator="equal">
      <formula>0</formula>
    </cfRule>
    <cfRule type="cellIs" dxfId="986" priority="70" operator="notEqual">
      <formula>0</formula>
    </cfRule>
  </conditionalFormatting>
  <conditionalFormatting sqref="AJ24">
    <cfRule type="cellIs" dxfId="985" priority="67" operator="equal">
      <formula>0</formula>
    </cfRule>
    <cfRule type="cellIs" dxfId="984" priority="68" operator="notEqual">
      <formula>0</formula>
    </cfRule>
  </conditionalFormatting>
  <conditionalFormatting sqref="AJ27">
    <cfRule type="cellIs" dxfId="983" priority="65" operator="equal">
      <formula>0</formula>
    </cfRule>
    <cfRule type="cellIs" dxfId="982" priority="66" operator="notEqual">
      <formula>0</formula>
    </cfRule>
  </conditionalFormatting>
  <conditionalFormatting sqref="U18:U19">
    <cfRule type="cellIs" dxfId="981" priority="63" operator="equal">
      <formula>0</formula>
    </cfRule>
    <cfRule type="cellIs" dxfId="980" priority="64" operator="notEqual">
      <formula>0</formula>
    </cfRule>
  </conditionalFormatting>
  <conditionalFormatting sqref="V18:V19">
    <cfRule type="cellIs" dxfId="979" priority="61" operator="equal">
      <formula>0</formula>
    </cfRule>
    <cfRule type="cellIs" dxfId="978" priority="62" operator="notEqual">
      <formula>0</formula>
    </cfRule>
  </conditionalFormatting>
  <conditionalFormatting sqref="W18:W19">
    <cfRule type="cellIs" dxfId="977" priority="59" operator="equal">
      <formula>0</formula>
    </cfRule>
    <cfRule type="cellIs" dxfId="976" priority="60" operator="notEqual">
      <formula>0</formula>
    </cfRule>
  </conditionalFormatting>
  <conditionalFormatting sqref="X18:X19">
    <cfRule type="cellIs" dxfId="975" priority="57" operator="equal">
      <formula>0</formula>
    </cfRule>
    <cfRule type="cellIs" dxfId="974" priority="58" operator="notEqual">
      <formula>0</formula>
    </cfRule>
  </conditionalFormatting>
  <conditionalFormatting sqref="Y18:Y19">
    <cfRule type="cellIs" dxfId="973" priority="55" operator="equal">
      <formula>0</formula>
    </cfRule>
    <cfRule type="cellIs" dxfId="972" priority="56" operator="notEqual">
      <formula>0</formula>
    </cfRule>
  </conditionalFormatting>
  <conditionalFormatting sqref="Z18:Z19">
    <cfRule type="cellIs" dxfId="971" priority="53" operator="equal">
      <formula>0</formula>
    </cfRule>
    <cfRule type="cellIs" dxfId="970" priority="54" operator="notEqual">
      <formula>0</formula>
    </cfRule>
  </conditionalFormatting>
  <conditionalFormatting sqref="AA18:AA19">
    <cfRule type="cellIs" dxfId="969" priority="51" operator="equal">
      <formula>0</formula>
    </cfRule>
    <cfRule type="cellIs" dxfId="968" priority="52" operator="notEqual">
      <formula>0</formula>
    </cfRule>
  </conditionalFormatting>
  <conditionalFormatting sqref="AB18:AB19">
    <cfRule type="cellIs" dxfId="967" priority="49" operator="equal">
      <formula>0</formula>
    </cfRule>
    <cfRule type="cellIs" dxfId="966" priority="50" operator="notEqual">
      <formula>0</formula>
    </cfRule>
  </conditionalFormatting>
  <conditionalFormatting sqref="AG17">
    <cfRule type="cellIs" dxfId="965" priority="47" operator="equal">
      <formula>0</formula>
    </cfRule>
    <cfRule type="cellIs" dxfId="964" priority="48" operator="notEqual">
      <formula>0</formula>
    </cfRule>
  </conditionalFormatting>
  <conditionalFormatting sqref="AG20">
    <cfRule type="cellIs" dxfId="963" priority="45" operator="equal">
      <formula>0</formula>
    </cfRule>
    <cfRule type="cellIs" dxfId="962" priority="46" operator="notEqual">
      <formula>0</formula>
    </cfRule>
  </conditionalFormatting>
  <conditionalFormatting sqref="AH17">
    <cfRule type="cellIs" dxfId="961" priority="43" operator="equal">
      <formula>0</formula>
    </cfRule>
    <cfRule type="cellIs" dxfId="960" priority="44" operator="notEqual">
      <formula>0</formula>
    </cfRule>
  </conditionalFormatting>
  <conditionalFormatting sqref="AH20">
    <cfRule type="cellIs" dxfId="959" priority="41" operator="equal">
      <formula>0</formula>
    </cfRule>
    <cfRule type="cellIs" dxfId="958" priority="42" operator="notEqual">
      <formula>0</formula>
    </cfRule>
  </conditionalFormatting>
  <conditionalFormatting sqref="AI17">
    <cfRule type="cellIs" dxfId="957" priority="39" operator="equal">
      <formula>0</formula>
    </cfRule>
    <cfRule type="cellIs" dxfId="956" priority="40" operator="notEqual">
      <formula>0</formula>
    </cfRule>
  </conditionalFormatting>
  <conditionalFormatting sqref="AI20">
    <cfRule type="cellIs" dxfId="955" priority="37" operator="equal">
      <formula>0</formula>
    </cfRule>
    <cfRule type="cellIs" dxfId="954" priority="38" operator="notEqual">
      <formula>0</formula>
    </cfRule>
  </conditionalFormatting>
  <conditionalFormatting sqref="AJ17">
    <cfRule type="cellIs" dxfId="953" priority="35" operator="equal">
      <formula>0</formula>
    </cfRule>
    <cfRule type="cellIs" dxfId="952" priority="36" operator="notEqual">
      <formula>0</formula>
    </cfRule>
  </conditionalFormatting>
  <conditionalFormatting sqref="AJ20">
    <cfRule type="cellIs" dxfId="951" priority="33" operator="equal">
      <formula>0</formula>
    </cfRule>
    <cfRule type="cellIs" dxfId="950" priority="34" operator="notEqual">
      <formula>0</formula>
    </cfRule>
  </conditionalFormatting>
  <conditionalFormatting sqref="U11:U12">
    <cfRule type="cellIs" dxfId="949" priority="31" operator="equal">
      <formula>0</formula>
    </cfRule>
    <cfRule type="cellIs" dxfId="948" priority="32" operator="notEqual">
      <formula>0</formula>
    </cfRule>
  </conditionalFormatting>
  <conditionalFormatting sqref="V11:V12">
    <cfRule type="cellIs" dxfId="947" priority="29" operator="equal">
      <formula>0</formula>
    </cfRule>
    <cfRule type="cellIs" dxfId="946" priority="30" operator="notEqual">
      <formula>0</formula>
    </cfRule>
  </conditionalFormatting>
  <conditionalFormatting sqref="W11:W12">
    <cfRule type="cellIs" dxfId="945" priority="27" operator="equal">
      <formula>0</formula>
    </cfRule>
    <cfRule type="cellIs" dxfId="944" priority="28" operator="notEqual">
      <formula>0</formula>
    </cfRule>
  </conditionalFormatting>
  <conditionalFormatting sqref="X11:X12">
    <cfRule type="cellIs" dxfId="943" priority="25" operator="equal">
      <formula>0</formula>
    </cfRule>
    <cfRule type="cellIs" dxfId="942" priority="26" operator="notEqual">
      <formula>0</formula>
    </cfRule>
  </conditionalFormatting>
  <conditionalFormatting sqref="Y11:Y12">
    <cfRule type="cellIs" dxfId="941" priority="23" operator="equal">
      <formula>0</formula>
    </cfRule>
    <cfRule type="cellIs" dxfId="940" priority="24" operator="notEqual">
      <formula>0</formula>
    </cfRule>
  </conditionalFormatting>
  <conditionalFormatting sqref="Z11:Z12">
    <cfRule type="cellIs" dxfId="939" priority="21" operator="equal">
      <formula>0</formula>
    </cfRule>
    <cfRule type="cellIs" dxfId="938" priority="22" operator="notEqual">
      <formula>0</formula>
    </cfRule>
  </conditionalFormatting>
  <conditionalFormatting sqref="AA11:AA12">
    <cfRule type="cellIs" dxfId="937" priority="19" operator="equal">
      <formula>0</formula>
    </cfRule>
    <cfRule type="cellIs" dxfId="936" priority="20" operator="notEqual">
      <formula>0</formula>
    </cfRule>
  </conditionalFormatting>
  <conditionalFormatting sqref="AB11:AB12">
    <cfRule type="cellIs" dxfId="935" priority="17" operator="equal">
      <formula>0</formula>
    </cfRule>
    <cfRule type="cellIs" dxfId="934" priority="18" operator="notEqual">
      <formula>0</formula>
    </cfRule>
  </conditionalFormatting>
  <conditionalFormatting sqref="AG10">
    <cfRule type="cellIs" dxfId="933" priority="15" operator="equal">
      <formula>0</formula>
    </cfRule>
    <cfRule type="cellIs" dxfId="932" priority="16" operator="notEqual">
      <formula>0</formula>
    </cfRule>
  </conditionalFormatting>
  <conditionalFormatting sqref="AG13">
    <cfRule type="cellIs" dxfId="931" priority="13" operator="equal">
      <formula>0</formula>
    </cfRule>
    <cfRule type="cellIs" dxfId="930" priority="14" operator="notEqual">
      <formula>0</formula>
    </cfRule>
  </conditionalFormatting>
  <conditionalFormatting sqref="AH10">
    <cfRule type="cellIs" dxfId="929" priority="11" operator="equal">
      <formula>0</formula>
    </cfRule>
    <cfRule type="cellIs" dxfId="928" priority="12" operator="notEqual">
      <formula>0</formula>
    </cfRule>
  </conditionalFormatting>
  <conditionalFormatting sqref="AH13">
    <cfRule type="cellIs" dxfId="927" priority="9" operator="equal">
      <formula>0</formula>
    </cfRule>
    <cfRule type="cellIs" dxfId="926" priority="10" operator="notEqual">
      <formula>0</formula>
    </cfRule>
  </conditionalFormatting>
  <conditionalFormatting sqref="AI10">
    <cfRule type="cellIs" dxfId="925" priority="7" operator="equal">
      <formula>0</formula>
    </cfRule>
    <cfRule type="cellIs" dxfId="924" priority="8" operator="notEqual">
      <formula>0</formula>
    </cfRule>
  </conditionalFormatting>
  <conditionalFormatting sqref="AI13">
    <cfRule type="cellIs" dxfId="923" priority="5" operator="equal">
      <formula>0</formula>
    </cfRule>
    <cfRule type="cellIs" dxfId="922" priority="6" operator="notEqual">
      <formula>0</formula>
    </cfRule>
  </conditionalFormatting>
  <conditionalFormatting sqref="AJ10">
    <cfRule type="cellIs" dxfId="921" priority="3" operator="equal">
      <formula>0</formula>
    </cfRule>
    <cfRule type="cellIs" dxfId="920" priority="4" operator="notEqual">
      <formula>0</formula>
    </cfRule>
  </conditionalFormatting>
  <conditionalFormatting sqref="AJ13">
    <cfRule type="cellIs" dxfId="919" priority="1" operator="equal">
      <formula>0</formula>
    </cfRule>
    <cfRule type="cellIs" dxfId="918" priority="2" operator="notEqual">
      <formula>0</formula>
    </cfRule>
  </conditionalFormatting>
  <dataValidations count="1">
    <dataValidation type="list" allowBlank="1" showInputMessage="1" showErrorMessage="1" sqref="B5" xr:uid="{84235E3F-D3EF-47AD-B75A-682C1386A5B2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7"/>
  <dimension ref="A1:AX76"/>
  <sheetViews>
    <sheetView showGridLines="0" topLeftCell="H1" zoomScale="70" zoomScaleNormal="70" workbookViewId="0">
      <selection activeCell="B1" sqref="B1:AX1"/>
    </sheetView>
  </sheetViews>
  <sheetFormatPr baseColWidth="10" defaultColWidth="9.1640625" defaultRowHeight="14" x14ac:dyDescent="0.15"/>
  <cols>
    <col min="1" max="1" width="3.1640625" customWidth="1"/>
    <col min="2" max="2" width="36.1640625" customWidth="1"/>
    <col min="20" max="20" width="33" customWidth="1"/>
  </cols>
  <sheetData>
    <row r="1" spans="1:50" ht="67.5" customHeight="1" x14ac:dyDescent="0.15">
      <c r="A1" s="64"/>
      <c r="B1" s="352" t="s">
        <v>1265</v>
      </c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  <c r="V1" s="353"/>
      <c r="W1" s="353"/>
      <c r="X1" s="353"/>
      <c r="Y1" s="353"/>
      <c r="Z1" s="353"/>
      <c r="AA1" s="353"/>
      <c r="AB1" s="353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353"/>
      <c r="AN1" s="353"/>
      <c r="AO1" s="353"/>
      <c r="AP1" s="353"/>
      <c r="AQ1" s="353"/>
      <c r="AR1" s="353"/>
      <c r="AS1" s="353"/>
      <c r="AT1" s="353"/>
      <c r="AU1" s="353"/>
      <c r="AV1" s="353"/>
      <c r="AW1" s="353"/>
      <c r="AX1" s="353"/>
    </row>
    <row r="2" spans="1:50" ht="49.5" customHeight="1" x14ac:dyDescent="0.15">
      <c r="A2" s="63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4"/>
      <c r="AA2" s="354"/>
      <c r="AB2" s="354"/>
      <c r="AC2" s="354"/>
      <c r="AD2" s="354"/>
      <c r="AE2" s="354"/>
      <c r="AF2" s="354"/>
      <c r="AG2" s="354"/>
      <c r="AH2" s="354"/>
      <c r="AI2" s="354"/>
      <c r="AJ2" s="354"/>
      <c r="AK2" s="354"/>
      <c r="AL2" s="354"/>
      <c r="AM2" s="354"/>
      <c r="AN2" s="354"/>
      <c r="AO2" s="354"/>
      <c r="AP2" s="354"/>
      <c r="AQ2" s="354"/>
      <c r="AR2" s="354"/>
      <c r="AS2" s="354"/>
      <c r="AT2" s="354"/>
      <c r="AU2" s="354"/>
      <c r="AV2" s="354"/>
      <c r="AW2" s="354"/>
      <c r="AX2" s="354"/>
    </row>
    <row r="3" spans="1:50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</row>
    <row r="4" spans="1:50" ht="30" x14ac:dyDescent="0.15">
      <c r="B4" s="40" t="s">
        <v>1133</v>
      </c>
    </row>
    <row r="5" spans="1:50" ht="15" x14ac:dyDescent="0.15">
      <c r="B5" s="61" t="s">
        <v>25</v>
      </c>
      <c r="P5" s="44"/>
      <c r="Q5" s="44"/>
    </row>
    <row r="6" spans="1:50" x14ac:dyDescent="0.15">
      <c r="B6" s="53"/>
    </row>
    <row r="8" spans="1:50" ht="47.25" customHeight="1" x14ac:dyDescent="0.15">
      <c r="B8" s="162" t="str">
        <f>HLOOKUP($B$5,Region_Table,2,0)</f>
        <v>All South Central</v>
      </c>
      <c r="C8" s="333" t="s">
        <v>1266</v>
      </c>
      <c r="D8" s="334"/>
      <c r="E8" s="334"/>
      <c r="F8" s="334"/>
      <c r="G8" s="334"/>
      <c r="H8" s="334"/>
      <c r="I8" s="334"/>
      <c r="J8" s="334"/>
      <c r="K8" s="334"/>
      <c r="L8" s="334"/>
      <c r="M8" s="343"/>
      <c r="N8" s="343"/>
      <c r="O8" s="344"/>
      <c r="P8" s="337">
        <f>SUM(SUMIFS('caseload data'!V:V,'caseload data'!B:B,{"licence","community"},'caseload data'!C:C,'community caseload'!B8))</f>
        <v>0</v>
      </c>
      <c r="Q8" s="345"/>
      <c r="R8" s="346"/>
      <c r="S8" s="76"/>
      <c r="T8" s="162" t="str">
        <f>HLOOKUP($B$5,Region_Table,3,0)</f>
        <v>Buckinghamshire and M Keynes - N59</v>
      </c>
      <c r="U8" s="333" t="s">
        <v>1266</v>
      </c>
      <c r="V8" s="334"/>
      <c r="W8" s="334"/>
      <c r="X8" s="334"/>
      <c r="Y8" s="334"/>
      <c r="Z8" s="334"/>
      <c r="AA8" s="334"/>
      <c r="AB8" s="334"/>
      <c r="AC8" s="334"/>
      <c r="AD8" s="334"/>
      <c r="AE8" s="343"/>
      <c r="AF8" s="343"/>
      <c r="AG8" s="344"/>
      <c r="AH8" s="337">
        <f>SUM(SUMIFS('caseload data'!V:V,'caseload data'!B:B,{"licence","community"},'caseload data'!C:C,'community caseload'!T8))</f>
        <v>0</v>
      </c>
      <c r="AI8" s="345"/>
      <c r="AJ8" s="346"/>
    </row>
    <row r="9" spans="1:50" x14ac:dyDescent="0.15">
      <c r="B9" s="108" t="s">
        <v>1199</v>
      </c>
      <c r="C9" s="42" t="s">
        <v>1019</v>
      </c>
      <c r="D9" s="42" t="s">
        <v>1020</v>
      </c>
      <c r="E9" s="42" t="s">
        <v>1021</v>
      </c>
      <c r="F9" s="42" t="s">
        <v>1022</v>
      </c>
      <c r="G9" s="42" t="s">
        <v>1023</v>
      </c>
      <c r="H9" s="42" t="s">
        <v>1024</v>
      </c>
      <c r="I9" s="42" t="s">
        <v>1025</v>
      </c>
      <c r="J9" s="42" t="s">
        <v>1026</v>
      </c>
      <c r="K9" s="42" t="s">
        <v>1027</v>
      </c>
      <c r="L9" s="42" t="s">
        <v>1028</v>
      </c>
      <c r="M9" s="42" t="s">
        <v>1029</v>
      </c>
      <c r="N9" s="42" t="s">
        <v>1030</v>
      </c>
      <c r="O9" s="42" t="s">
        <v>1031</v>
      </c>
      <c r="P9" s="42" t="s">
        <v>1032</v>
      </c>
      <c r="Q9" s="42" t="s">
        <v>1033</v>
      </c>
      <c r="R9" s="42" t="s">
        <v>1034</v>
      </c>
      <c r="S9" s="76"/>
      <c r="T9" s="108" t="s">
        <v>1199</v>
      </c>
      <c r="U9" s="42" t="s">
        <v>1019</v>
      </c>
      <c r="V9" s="42" t="s">
        <v>1020</v>
      </c>
      <c r="W9" s="42" t="s">
        <v>1021</v>
      </c>
      <c r="X9" s="42" t="s">
        <v>1022</v>
      </c>
      <c r="Y9" s="42" t="s">
        <v>1023</v>
      </c>
      <c r="Z9" s="42" t="s">
        <v>1024</v>
      </c>
      <c r="AA9" s="42" t="s">
        <v>1025</v>
      </c>
      <c r="AB9" s="42" t="s">
        <v>1026</v>
      </c>
      <c r="AC9" s="42" t="s">
        <v>1027</v>
      </c>
      <c r="AD9" s="42" t="s">
        <v>1028</v>
      </c>
      <c r="AE9" s="42" t="s">
        <v>1029</v>
      </c>
      <c r="AF9" s="42" t="s">
        <v>1030</v>
      </c>
      <c r="AG9" s="42" t="s">
        <v>1031</v>
      </c>
      <c r="AH9" s="42" t="s">
        <v>1032</v>
      </c>
      <c r="AI9" s="42" t="s">
        <v>1033</v>
      </c>
      <c r="AJ9" s="42" t="s">
        <v>1034</v>
      </c>
    </row>
    <row r="10" spans="1:50" x14ac:dyDescent="0.15">
      <c r="B10" s="109" t="s">
        <v>1037</v>
      </c>
      <c r="C10" s="107">
        <f>SUM(SUMIFS('caseload data'!E:E,'caseload data'!$D:$D,"PO",'caseload data'!$C:$C,'community caseload'!$B$8,'caseload data'!$B:$B,{"licence","community"}))</f>
        <v>0</v>
      </c>
      <c r="D10" s="107">
        <f>SUM(SUMIFS('caseload data'!F:F,'caseload data'!$D:$D,"PO",'caseload data'!$C:$C,'community caseload'!$B$8,'caseload data'!$B:$B,{"licence","community"}))</f>
        <v>0</v>
      </c>
      <c r="E10" s="107">
        <f>SUM(SUMIFS('caseload data'!G:G,'caseload data'!$D:$D,"PO",'caseload data'!$C:$C,'community caseload'!$B$8,'caseload data'!$B:$B,{"licence","community"}))</f>
        <v>0</v>
      </c>
      <c r="F10" s="107">
        <f>SUM(SUMIFS('caseload data'!H:H,'caseload data'!$D:$D,"PO",'caseload data'!$C:$C,'community caseload'!$B$8,'caseload data'!$B:$B,{"licence","community"}))</f>
        <v>0</v>
      </c>
      <c r="G10" s="107">
        <f>SUM(SUMIFS('caseload data'!I:I,'caseload data'!$D:$D,"PO",'caseload data'!$C:$C,'community caseload'!$B$8,'caseload data'!$B:$B,{"licence","community"}))</f>
        <v>0</v>
      </c>
      <c r="H10" s="107">
        <f>SUM(SUMIFS('caseload data'!J:J,'caseload data'!$D:$D,"PO",'caseload data'!$C:$C,'community caseload'!$B$8,'caseload data'!$B:$B,{"licence","community"}))</f>
        <v>0</v>
      </c>
      <c r="I10" s="107">
        <f>SUM(SUMIFS('caseload data'!K:K,'caseload data'!$D:$D,"PO",'caseload data'!$C:$C,'community caseload'!$B$8,'caseload data'!$B:$B,{"licence","community"}))</f>
        <v>0</v>
      </c>
      <c r="J10" s="107">
        <f>SUM(SUMIFS('caseload data'!L:L,'caseload data'!$D:$D,"PO",'caseload data'!$C:$C,'community caseload'!$B$8,'caseload data'!$B:$B,{"licence","community"}))</f>
        <v>0</v>
      </c>
      <c r="K10" s="107">
        <f>SUM(SUMIFS('caseload data'!M:M,'caseload data'!$D:$D,"PO",'caseload data'!$C:$C,'community caseload'!$B$8,'caseload data'!$B:$B,{"licence","community"}))</f>
        <v>0</v>
      </c>
      <c r="L10" s="107">
        <f>SUM(SUMIFS('caseload data'!N:N,'caseload data'!$D:$D,"PO",'caseload data'!$C:$C,'community caseload'!$B$8,'caseload data'!$B:$B,{"licence","community"}))</f>
        <v>0</v>
      </c>
      <c r="M10" s="107">
        <f>SUM(SUMIFS('caseload data'!O:O,'caseload data'!$D:$D,"PO",'caseload data'!$C:$C,'community caseload'!$B$8,'caseload data'!$B:$B,{"licence","community"}))</f>
        <v>0</v>
      </c>
      <c r="N10" s="107">
        <f>SUM(SUMIFS('caseload data'!P:P,'caseload data'!$D:$D,"PO",'caseload data'!$C:$C,'community caseload'!$B$8,'caseload data'!$B:$B,{"licence","community"}))</f>
        <v>0</v>
      </c>
      <c r="O10" s="107">
        <f>SUM(SUMIFS('caseload data'!Q:Q,'caseload data'!$D:$D,"PO",'caseload data'!$C:$C,'community caseload'!$B$8,'caseload data'!$B:$B,{"licence","community"}))</f>
        <v>0</v>
      </c>
      <c r="P10" s="107">
        <f>SUM(SUMIFS('caseload data'!R:R,'caseload data'!$D:$D,"PO",'caseload data'!$C:$C,'community caseload'!$B$8,'caseload data'!$B:$B,{"licence","community"}))</f>
        <v>0</v>
      </c>
      <c r="Q10" s="107">
        <f>SUM(SUMIFS('caseload data'!S:S,'caseload data'!$D:$D,"PO",'caseload data'!$C:$C,'community caseload'!$B$8,'caseload data'!$B:$B,{"licence","community"}))</f>
        <v>0</v>
      </c>
      <c r="R10" s="107">
        <f>SUM(SUMIFS('caseload data'!T:T,'caseload data'!$D:$D,"PO",'caseload data'!$C:$C,'community caseload'!$B$8,'caseload data'!$B:$B,{"licence","community"}))</f>
        <v>0</v>
      </c>
      <c r="S10" s="76"/>
      <c r="T10" s="109" t="s">
        <v>1037</v>
      </c>
      <c r="U10" s="107">
        <f>SUM(SUMIFS('caseload data'!E:E,'caseload data'!$D:$D,"PO",'caseload data'!$C:$C,'community caseload'!$T$8,'caseload data'!$B:$B,{"licence","community"}))</f>
        <v>0</v>
      </c>
      <c r="V10" s="107"/>
      <c r="W10" s="107"/>
      <c r="X10" s="107"/>
      <c r="Y10" s="107"/>
      <c r="Z10" s="107"/>
      <c r="AA10" s="107"/>
      <c r="AB10" s="107"/>
      <c r="AC10" s="107"/>
      <c r="AD10" s="107"/>
      <c r="AE10" s="107">
        <f>SUM(SUMIFS('caseload data'!J:J,'caseload data'!$D:$D,"PO",'caseload data'!$C:$C,'community caseload'!$T$8,'caseload data'!$B:$B,{"licence","community"}))</f>
        <v>0</v>
      </c>
      <c r="AF10" s="107">
        <f>SUM(SUMIFS('caseload data'!K:K,'caseload data'!$D:$D,"PO",'caseload data'!$C:$C,'community caseload'!$T$8,'caseload data'!$B:$B,{"licence","community"}))</f>
        <v>0</v>
      </c>
      <c r="AG10" s="107">
        <f>SUM(SUMIFS('caseload data'!N:N,'caseload data'!$D:$D,"PO",'caseload data'!$C:$C,'community caseload'!$T$8,'caseload data'!$B:$B,{"licence","community"}))</f>
        <v>0</v>
      </c>
      <c r="AH10" s="107">
        <f>SUM(SUMIFS('caseload data'!O:O,'caseload data'!$D:$D,"PO",'caseload data'!$C:$C,'community caseload'!$T$8,'caseload data'!$B:$B,{"licence","community"}))</f>
        <v>0</v>
      </c>
      <c r="AI10" s="107">
        <f>SUM(SUMIFS('caseload data'!R:R,'caseload data'!$D:$D,"PO",'caseload data'!$C:$C,'community caseload'!$T$8,'caseload data'!$B:$B,{"licence","community"}))</f>
        <v>0</v>
      </c>
      <c r="AJ10" s="107">
        <f>SUM(SUMIFS('caseload data'!S:S,'caseload data'!$D:$D,"PO",'caseload data'!$C:$C,'community caseload'!$T$8,'caseload data'!$B:$B,{"licence","community"}))</f>
        <v>0</v>
      </c>
    </row>
    <row r="11" spans="1:50" x14ac:dyDescent="0.15">
      <c r="B11" s="110" t="s">
        <v>1038</v>
      </c>
      <c r="C11" s="107">
        <f>SUM(SUMIFS('caseload data'!E:E,'caseload data'!$D:$D,"PSO",'caseload data'!$C:$C,'community caseload'!$B$8,'caseload data'!$B:$B,{"licence","community"}))</f>
        <v>0</v>
      </c>
      <c r="D11" s="107">
        <f>SUM(SUMIFS('caseload data'!F:F,'caseload data'!$D:$D,"PSO",'caseload data'!$C:$C,'community caseload'!$B$8,'caseload data'!$B:$B,{"licence","community"}))</f>
        <v>0</v>
      </c>
      <c r="E11" s="107">
        <f>SUM(SUMIFS('caseload data'!G:G,'caseload data'!$D:$D,"PSO",'caseload data'!$C:$C,'community caseload'!$B$8,'caseload data'!$B:$B,{"licence","community"}))</f>
        <v>0</v>
      </c>
      <c r="F11" s="107">
        <f>SUM(SUMIFS('caseload data'!H:H,'caseload data'!$D:$D,"PSO",'caseload data'!$C:$C,'community caseload'!$B$8,'caseload data'!$B:$B,{"licence","community"}))</f>
        <v>0</v>
      </c>
      <c r="G11" s="107">
        <f>SUM(SUMIFS('caseload data'!I:I,'caseload data'!$D:$D,"PSO",'caseload data'!$C:$C,'community caseload'!$B$8,'caseload data'!$B:$B,{"licence","community"}))</f>
        <v>0</v>
      </c>
      <c r="H11" s="107">
        <f>SUM(SUMIFS('caseload data'!J:J,'caseload data'!$D:$D,"PSO",'caseload data'!$C:$C,'community caseload'!$B$8,'caseload data'!$B:$B,{"licence","community"}))</f>
        <v>0</v>
      </c>
      <c r="I11" s="107">
        <f>SUM(SUMIFS('caseload data'!K:K,'caseload data'!$D:$D,"PSO",'caseload data'!$C:$C,'community caseload'!$B$8,'caseload data'!$B:$B,{"licence","community"}))</f>
        <v>0</v>
      </c>
      <c r="J11" s="107">
        <f>SUM(SUMIFS('caseload data'!L:L,'caseload data'!$D:$D,"PSO",'caseload data'!$C:$C,'community caseload'!$B$8,'caseload data'!$B:$B,{"licence","community"}))</f>
        <v>0</v>
      </c>
      <c r="K11" s="107">
        <f>SUM(SUMIFS('caseload data'!M:M,'caseload data'!$D:$D,"PSO",'caseload data'!$C:$C,'community caseload'!$B$8,'caseload data'!$B:$B,{"licence","community"}))</f>
        <v>0</v>
      </c>
      <c r="L11" s="107">
        <f>SUM(SUMIFS('caseload data'!N:N,'caseload data'!$D:$D,"PSO",'caseload data'!$C:$C,'community caseload'!$B$8,'caseload data'!$B:$B,{"licence","community"}))</f>
        <v>0</v>
      </c>
      <c r="M11" s="107">
        <f>SUM(SUMIFS('caseload data'!O:O,'caseload data'!$D:$D,"PSO",'caseload data'!$C:$C,'community caseload'!$B$8,'caseload data'!$B:$B,{"licence","community"}))</f>
        <v>0</v>
      </c>
      <c r="N11" s="107">
        <f>SUM(SUMIFS('caseload data'!P:P,'caseload data'!$D:$D,"PSO",'caseload data'!$C:$C,'community caseload'!$B$8,'caseload data'!$B:$B,{"licence","community"}))</f>
        <v>0</v>
      </c>
      <c r="O11" s="107">
        <f>SUM(SUMIFS('caseload data'!Q:Q,'caseload data'!$D:$D,"PSO",'caseload data'!$C:$C,'community caseload'!$B$8,'caseload data'!$B:$B,{"licence","community"}))</f>
        <v>0</v>
      </c>
      <c r="P11" s="107">
        <f>SUM(SUMIFS('caseload data'!R:R,'caseload data'!$D:$D,"PSO",'caseload data'!$C:$C,'community caseload'!$B$8,'caseload data'!$B:$B,{"licence","community"}))</f>
        <v>0</v>
      </c>
      <c r="Q11" s="107">
        <f>SUM(SUMIFS('caseload data'!S:S,'caseload data'!$D:$D,"PSO",'caseload data'!$C:$C,'community caseload'!$B$8,'caseload data'!$B:$B,{"licence","community"}))</f>
        <v>0</v>
      </c>
      <c r="R11" s="107">
        <f>SUM(SUMIFS('caseload data'!T:T,'caseload data'!$D:$D,"PSO",'caseload data'!$C:$C,'community caseload'!$B$8,'caseload data'!$B:$B,{"licence","community"}))</f>
        <v>0</v>
      </c>
      <c r="S11" s="76"/>
      <c r="T11" s="110" t="s">
        <v>1038</v>
      </c>
      <c r="U11" s="107">
        <f>SUM(SUMIFS('caseload data'!E:E,'caseload data'!$D:$D,"PSO",'caseload data'!$C:$C,'community caseload'!$T$8,'caseload data'!$B:$B,{"licence","community"}))</f>
        <v>0</v>
      </c>
      <c r="V11" s="107"/>
      <c r="W11" s="107"/>
      <c r="X11" s="107"/>
      <c r="Y11" s="107"/>
      <c r="Z11" s="107"/>
      <c r="AA11" s="107"/>
      <c r="AB11" s="107"/>
      <c r="AC11" s="107"/>
      <c r="AD11" s="107"/>
      <c r="AE11" s="107">
        <f>SUM(SUMIFS('caseload data'!J:J,'caseload data'!$D:$D,"PSO",'caseload data'!$C:$C,'community caseload'!$T$8,'caseload data'!$B:$B,{"licence","community"}))</f>
        <v>0</v>
      </c>
      <c r="AF11" s="107">
        <f>SUM(SUMIFS('caseload data'!K:K,'caseload data'!$D:$D,"PSO",'caseload data'!$C:$C,'community caseload'!$T$8,'caseload data'!$B:$B,{"licence","community"}))</f>
        <v>0</v>
      </c>
      <c r="AG11" s="107">
        <f>SUM(SUMIFS('caseload data'!N:N,'caseload data'!$D:$D,"PSO",'caseload data'!$C:$C,'community caseload'!$T$8,'caseload data'!$B:$B,{"licence","community"}))</f>
        <v>0</v>
      </c>
      <c r="AH11" s="107">
        <f>SUM(SUMIFS('caseload data'!O:O,'caseload data'!$D:$D,"PSO",'caseload data'!$C:$C,'community caseload'!$T$8,'caseload data'!$B:$B,{"licence","community"}))</f>
        <v>0</v>
      </c>
      <c r="AI11" s="107">
        <f>SUM(SUMIFS('caseload data'!R:R,'caseload data'!$D:$D,"PSO",'caseload data'!$C:$C,'community caseload'!$T$8,'caseload data'!$B:$B,{"licence","community"}))</f>
        <v>0</v>
      </c>
      <c r="AJ11" s="107">
        <f>SUM(SUMIFS('caseload data'!S:S,'caseload data'!$D:$D,"PSO",'caseload data'!$C:$C,'community caseload'!$T$8,'caseload data'!$B:$B,{"licence","community"}))</f>
        <v>0</v>
      </c>
    </row>
    <row r="12" spans="1:50" x14ac:dyDescent="0.15">
      <c r="B12" s="110" t="s">
        <v>1039</v>
      </c>
      <c r="C12" s="107">
        <f>SUM(SUMIFS('caseload data'!E:E,'caseload data'!$D:$D,"TPO",'caseload data'!$C:$C,'community caseload'!$B$8,'caseload data'!$B:$B,{"licence","community"}))</f>
        <v>0</v>
      </c>
      <c r="D12" s="107">
        <f>SUM(SUMIFS('caseload data'!F:F,'caseload data'!$D:$D,"TPO",'caseload data'!$C:$C,'community caseload'!$B$8,'caseload data'!$B:$B,{"licence","community"}))</f>
        <v>0</v>
      </c>
      <c r="E12" s="107">
        <f>SUM(SUMIFS('caseload data'!G:G,'caseload data'!$D:$D,"TPO",'caseload data'!$C:$C,'community caseload'!$B$8,'caseload data'!$B:$B,{"licence","community"}))</f>
        <v>0</v>
      </c>
      <c r="F12" s="107">
        <f>SUM(SUMIFS('caseload data'!H:H,'caseload data'!$D:$D,"TPO",'caseload data'!$C:$C,'community caseload'!$B$8,'caseload data'!$B:$B,{"licence","community"}))</f>
        <v>0</v>
      </c>
      <c r="G12" s="107">
        <f>SUM(SUMIFS('caseload data'!I:I,'caseload data'!$D:$D,"TPO",'caseload data'!$C:$C,'community caseload'!$B$8,'caseload data'!$B:$B,{"licence","community"}))</f>
        <v>0</v>
      </c>
      <c r="H12" s="107">
        <f>SUM(SUMIFS('caseload data'!J:J,'caseload data'!$D:$D,"TPO",'caseload data'!$C:$C,'community caseload'!$B$8,'caseload data'!$B:$B,{"licence","community"}))</f>
        <v>0</v>
      </c>
      <c r="I12" s="107">
        <f>SUM(SUMIFS('caseload data'!K:K,'caseload data'!$D:$D,"TPO",'caseload data'!$C:$C,'community caseload'!$B$8,'caseload data'!$B:$B,{"licence","community"}))</f>
        <v>0</v>
      </c>
      <c r="J12" s="107">
        <f>SUM(SUMIFS('caseload data'!L:L,'caseload data'!$D:$D,"TPO",'caseload data'!$C:$C,'community caseload'!$B$8,'caseload data'!$B:$B,{"licence","community"}))</f>
        <v>0</v>
      </c>
      <c r="K12" s="107">
        <f>SUM(SUMIFS('caseload data'!M:M,'caseload data'!$D:$D,"TPO",'caseload data'!$C:$C,'community caseload'!$B$8,'caseload data'!$B:$B,{"licence","community"}))</f>
        <v>0</v>
      </c>
      <c r="L12" s="107">
        <f>SUM(SUMIFS('caseload data'!N:N,'caseload data'!$D:$D,"TPO",'caseload data'!$C:$C,'community caseload'!$B$8,'caseload data'!$B:$B,{"licence","community"}))</f>
        <v>0</v>
      </c>
      <c r="M12" s="107">
        <f>SUM(SUMIFS('caseload data'!O:O,'caseload data'!$D:$D,"TPO",'caseload data'!$C:$C,'community caseload'!$B$8,'caseload data'!$B:$B,{"licence","community"}))</f>
        <v>0</v>
      </c>
      <c r="N12" s="107">
        <f>SUM(SUMIFS('caseload data'!P:P,'caseload data'!$D:$D,"TPO",'caseload data'!$C:$C,'community caseload'!$B$8,'caseload data'!$B:$B,{"licence","community"}))</f>
        <v>0</v>
      </c>
      <c r="O12" s="107">
        <f>SUM(SUMIFS('caseload data'!Q:Q,'caseload data'!$D:$D,"TPO",'caseload data'!$C:$C,'community caseload'!$B$8,'caseload data'!$B:$B,{"licence","community"}))</f>
        <v>0</v>
      </c>
      <c r="P12" s="107">
        <f>SUM(SUMIFS('caseload data'!R:R,'caseload data'!$D:$D,"TPO",'caseload data'!$C:$C,'community caseload'!$B$8,'caseload data'!$B:$B,{"licence","community"}))</f>
        <v>0</v>
      </c>
      <c r="Q12" s="107">
        <f>SUM(SUMIFS('caseload data'!S:S,'caseload data'!$D:$D,"TPO",'caseload data'!$C:$C,'community caseload'!$B$8,'caseload data'!$B:$B,{"licence","community"}))</f>
        <v>0</v>
      </c>
      <c r="R12" s="107">
        <f>SUM(SUMIFS('caseload data'!T:T,'caseload data'!$D:$D,"TPO",'caseload data'!$C:$C,'community caseload'!$B$8,'caseload data'!$B:$B,{"licence","community"}))</f>
        <v>0</v>
      </c>
      <c r="S12" s="76"/>
      <c r="T12" s="110" t="s">
        <v>1039</v>
      </c>
      <c r="U12" s="107">
        <f>SUM(SUMIFS('caseload data'!E:E,'caseload data'!$D:$D,"TPO",'caseload data'!$C:$C,'community caseload'!$T$8,'caseload data'!$B:$B,{"licence","community"}))</f>
        <v>0</v>
      </c>
      <c r="V12" s="107"/>
      <c r="W12" s="107"/>
      <c r="X12" s="107"/>
      <c r="Y12" s="107"/>
      <c r="Z12" s="107"/>
      <c r="AA12" s="107"/>
      <c r="AB12" s="107"/>
      <c r="AC12" s="107"/>
      <c r="AD12" s="107"/>
      <c r="AE12" s="107">
        <f>SUM(SUMIFS('caseload data'!J:J,'caseload data'!$D:$D,"TPO",'caseload data'!$C:$C,'community caseload'!$T$8,'caseload data'!$B:$B,{"licence","community"}))</f>
        <v>0</v>
      </c>
      <c r="AF12" s="107">
        <f>SUM(SUMIFS('caseload data'!K:K,'caseload data'!$D:$D,"TPO",'caseload data'!$C:$C,'community caseload'!$T$8,'caseload data'!$B:$B,{"licence","community"}))</f>
        <v>0</v>
      </c>
      <c r="AG12" s="107">
        <f>SUM(SUMIFS('caseload data'!N:N,'caseload data'!$D:$D,"TPO",'caseload data'!$C:$C,'community caseload'!$T$8,'caseload data'!$B:$B,{"licence","community"}))</f>
        <v>0</v>
      </c>
      <c r="AH12" s="107">
        <f>SUM(SUMIFS('caseload data'!O:O,'caseload data'!$D:$D,"TPO",'caseload data'!$C:$C,'community caseload'!$T$8,'caseload data'!$B:$B,{"licence","community"}))</f>
        <v>0</v>
      </c>
      <c r="AI12" s="107">
        <f>SUM(SUMIFS('caseload data'!R:R,'caseload data'!$D:$D,"TPO",'caseload data'!$C:$C,'community caseload'!$T$8,'caseload data'!$B:$B,{"licence","community"}))</f>
        <v>0</v>
      </c>
      <c r="AJ12" s="107">
        <f>SUM(SUMIFS('caseload data'!S:S,'caseload data'!$D:$D,"TPO",'caseload data'!$C:$C,'community caseload'!$T$8,'caseload data'!$B:$B,{"licence","community"}))</f>
        <v>0</v>
      </c>
    </row>
    <row r="13" spans="1:50" x14ac:dyDescent="0.15">
      <c r="B13" s="111" t="s">
        <v>1040</v>
      </c>
      <c r="C13" s="107">
        <f>SUM(SUMIFS('caseload data'!E:E,'caseload data'!$D:$D,"SPO",'caseload data'!$C:$C,'community caseload'!$B$8,'caseload data'!$B:$B,{"licence","community"}))</f>
        <v>0</v>
      </c>
      <c r="D13" s="107">
        <f>SUM(SUMIFS('caseload data'!F:F,'caseload data'!$D:$D,"SPO",'caseload data'!$C:$C,'community caseload'!$B$8,'caseload data'!$B:$B,{"licence","community"}))</f>
        <v>0</v>
      </c>
      <c r="E13" s="107">
        <f>SUM(SUMIFS('caseload data'!G:G,'caseload data'!$D:$D,"SPO",'caseload data'!$C:$C,'community caseload'!$B$8,'caseload data'!$B:$B,{"licence","community"}))</f>
        <v>0</v>
      </c>
      <c r="F13" s="107">
        <f>SUM(SUMIFS('caseload data'!H:H,'caseload data'!$D:$D,"SPO",'caseload data'!$C:$C,'community caseload'!$B$8,'caseload data'!$B:$B,{"licence","community"}))</f>
        <v>0</v>
      </c>
      <c r="G13" s="107">
        <f>SUM(SUMIFS('caseload data'!I:I,'caseload data'!$D:$D,"SPO",'caseload data'!$C:$C,'community caseload'!$B$8,'caseload data'!$B:$B,{"licence","community"}))</f>
        <v>0</v>
      </c>
      <c r="H13" s="107">
        <f>SUM(SUMIFS('caseload data'!J:J,'caseload data'!$D:$D,"SPO",'caseload data'!$C:$C,'community caseload'!$B$8,'caseload data'!$B:$B,{"licence","community"}))</f>
        <v>0</v>
      </c>
      <c r="I13" s="107">
        <f>SUM(SUMIFS('caseload data'!K:K,'caseload data'!$D:$D,"SPO",'caseload data'!$C:$C,'community caseload'!$B$8,'caseload data'!$B:$B,{"licence","community"}))</f>
        <v>0</v>
      </c>
      <c r="J13" s="107">
        <f>SUM(SUMIFS('caseload data'!L:L,'caseload data'!$D:$D,"SPO",'caseload data'!$C:$C,'community caseload'!$B$8,'caseload data'!$B:$B,{"licence","community"}))</f>
        <v>0</v>
      </c>
      <c r="K13" s="107">
        <f>SUM(SUMIFS('caseload data'!M:M,'caseload data'!$D:$D,"SPO",'caseload data'!$C:$C,'community caseload'!$B$8,'caseload data'!$B:$B,{"licence","community"}))</f>
        <v>0</v>
      </c>
      <c r="L13" s="107">
        <f>SUM(SUMIFS('caseload data'!N:N,'caseload data'!$D:$D,"SPO",'caseload data'!$C:$C,'community caseload'!$B$8,'caseload data'!$B:$B,{"licence","community"}))</f>
        <v>0</v>
      </c>
      <c r="M13" s="107">
        <f>SUM(SUMIFS('caseload data'!O:O,'caseload data'!$D:$D,"SPO",'caseload data'!$C:$C,'community caseload'!$B$8,'caseload data'!$B:$B,{"licence","community"}))</f>
        <v>0</v>
      </c>
      <c r="N13" s="107">
        <f>SUM(SUMIFS('caseload data'!P:P,'caseload data'!$D:$D,"SPO",'caseload data'!$C:$C,'community caseload'!$B$8,'caseload data'!$B:$B,{"licence","community"}))</f>
        <v>0</v>
      </c>
      <c r="O13" s="107">
        <f>SUM(SUMIFS('caseload data'!Q:Q,'caseload data'!$D:$D,"SPO",'caseload data'!$C:$C,'community caseload'!$B$8,'caseload data'!$B:$B,{"licence","community"}))</f>
        <v>0</v>
      </c>
      <c r="P13" s="107">
        <f>SUM(SUMIFS('caseload data'!R:R,'caseload data'!$D:$D,"SPO",'caseload data'!$C:$C,'community caseload'!$B$8,'caseload data'!$B:$B,{"licence","community"}))</f>
        <v>0</v>
      </c>
      <c r="Q13" s="107">
        <f>SUM(SUMIFS('caseload data'!S:S,'caseload data'!$D:$D,"SPO",'caseload data'!$C:$C,'community caseload'!$B$8,'caseload data'!$B:$B,{"licence","community"}))</f>
        <v>0</v>
      </c>
      <c r="R13" s="107">
        <f>SUM(SUMIFS('caseload data'!T:T,'caseload data'!$D:$D,"SPO",'caseload data'!$C:$C,'community caseload'!$B$8,'caseload data'!$B:$B,{"licence","community"}))</f>
        <v>0</v>
      </c>
      <c r="S13" s="76"/>
      <c r="T13" s="111" t="s">
        <v>1040</v>
      </c>
      <c r="U13" s="107">
        <f>SUM(SUMIFS('caseload data'!E:E,'caseload data'!$D:$D,"SPO",'caseload data'!$C:$C,'community caseload'!$T$8,'caseload data'!$B:$B,{"licence","community"}))</f>
        <v>0</v>
      </c>
      <c r="V13" s="107"/>
      <c r="W13" s="107"/>
      <c r="X13" s="107"/>
      <c r="Y13" s="107"/>
      <c r="Z13" s="107"/>
      <c r="AA13" s="107"/>
      <c r="AB13" s="107"/>
      <c r="AC13" s="107"/>
      <c r="AD13" s="107"/>
      <c r="AE13" s="107">
        <f>SUM(SUMIFS('caseload data'!J:J,'caseload data'!$D:$D,"SPO",'caseload data'!$C:$C,'community caseload'!$T$8,'caseload data'!$B:$B,{"licence","community"}))</f>
        <v>0</v>
      </c>
      <c r="AF13" s="107">
        <f>SUM(SUMIFS('caseload data'!K:K,'caseload data'!$D:$D,"SPO",'caseload data'!$C:$C,'community caseload'!$T$8,'caseload data'!$B:$B,{"licence","community"}))</f>
        <v>0</v>
      </c>
      <c r="AG13" s="107">
        <f>SUM(SUMIFS('caseload data'!N:N,'caseload data'!$D:$D,"SPO",'caseload data'!$C:$C,'community caseload'!$T$8,'caseload data'!$B:$B,{"licence","community"}))</f>
        <v>0</v>
      </c>
      <c r="AH13" s="107">
        <f>SUM(SUMIFS('caseload data'!O:O,'caseload data'!$D:$D,"SPO",'caseload data'!$C:$C,'community caseload'!$T$8,'caseload data'!$B:$B,{"licence","community"}))</f>
        <v>0</v>
      </c>
      <c r="AI13" s="107">
        <f>SUM(SUMIFS('caseload data'!R:R,'caseload data'!$D:$D,"SPO",'caseload data'!$C:$C,'community caseload'!$T$8,'caseload data'!$B:$B,{"licence","community"}))</f>
        <v>0</v>
      </c>
      <c r="AJ13" s="107">
        <f>SUM(SUMIFS('caseload data'!S:S,'caseload data'!$D:$D,"SPO",'caseload data'!$C:$C,'community caseload'!$T$8,'caseload data'!$B:$B,{"licence","community"}))</f>
        <v>0</v>
      </c>
    </row>
    <row r="14" spans="1:50" x14ac:dyDescent="0.15">
      <c r="B14" s="104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104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</row>
    <row r="15" spans="1:50" ht="45" customHeight="1" x14ac:dyDescent="0.15">
      <c r="B15" s="162" t="str">
        <f>HLOOKUP($B$5,Region_Table,4,0)</f>
        <v>Corporate Services - N59</v>
      </c>
      <c r="C15" s="333" t="s">
        <v>1266</v>
      </c>
      <c r="D15" s="334"/>
      <c r="E15" s="334"/>
      <c r="F15" s="334"/>
      <c r="G15" s="334"/>
      <c r="H15" s="334"/>
      <c r="I15" s="334"/>
      <c r="J15" s="334"/>
      <c r="K15" s="334"/>
      <c r="L15" s="334"/>
      <c r="M15" s="343"/>
      <c r="N15" s="343"/>
      <c r="O15" s="344"/>
      <c r="P15" s="337" cm="1">
        <f t="array" ref="P15">SUM(SUMIFS('caseload data'!V:V,'caseload data'!B:B,{"licence","community"},'caseload data'!$C:$C,'community caseload'!B15))</f>
        <v>0</v>
      </c>
      <c r="Q15" s="345"/>
      <c r="R15" s="346"/>
      <c r="S15" s="76"/>
      <c r="T15" s="162" t="str">
        <f>HLOOKUP($B$5,Region_Table,5,0)</f>
        <v>Default Unallocated Borough - N59</v>
      </c>
      <c r="U15" s="333" t="s">
        <v>1266</v>
      </c>
      <c r="V15" s="334"/>
      <c r="W15" s="334"/>
      <c r="X15" s="334"/>
      <c r="Y15" s="334"/>
      <c r="Z15" s="334"/>
      <c r="AA15" s="334"/>
      <c r="AB15" s="334"/>
      <c r="AC15" s="334"/>
      <c r="AD15" s="334"/>
      <c r="AE15" s="343"/>
      <c r="AF15" s="343"/>
      <c r="AG15" s="344"/>
      <c r="AH15" s="337" cm="1">
        <f t="array" ref="AH15">SUM(SUMIFS('caseload data'!V:V,'caseload data'!B:B,{"licence","community"},'caseload data'!$C:$C,'community caseload'!T15))</f>
        <v>0</v>
      </c>
      <c r="AI15" s="345"/>
      <c r="AJ15" s="346"/>
    </row>
    <row r="16" spans="1:50" x14ac:dyDescent="0.15">
      <c r="B16" s="108" t="s">
        <v>1199</v>
      </c>
      <c r="C16" s="42" t="s">
        <v>1019</v>
      </c>
      <c r="D16" s="42" t="s">
        <v>1020</v>
      </c>
      <c r="E16" s="42" t="s">
        <v>1021</v>
      </c>
      <c r="F16" s="42" t="s">
        <v>1022</v>
      </c>
      <c r="G16" s="42" t="s">
        <v>1023</v>
      </c>
      <c r="H16" s="42" t="s">
        <v>1024</v>
      </c>
      <c r="I16" s="42" t="s">
        <v>1025</v>
      </c>
      <c r="J16" s="42" t="s">
        <v>1026</v>
      </c>
      <c r="K16" s="42" t="s">
        <v>1027</v>
      </c>
      <c r="L16" s="42" t="s">
        <v>1028</v>
      </c>
      <c r="M16" s="42" t="s">
        <v>1029</v>
      </c>
      <c r="N16" s="42" t="s">
        <v>1030</v>
      </c>
      <c r="O16" s="42" t="s">
        <v>1031</v>
      </c>
      <c r="P16" s="42" t="s">
        <v>1032</v>
      </c>
      <c r="Q16" s="42" t="s">
        <v>1033</v>
      </c>
      <c r="R16" s="42" t="s">
        <v>1034</v>
      </c>
      <c r="S16" s="76"/>
      <c r="T16" s="108" t="s">
        <v>1199</v>
      </c>
      <c r="U16" s="42" t="s">
        <v>1019</v>
      </c>
      <c r="V16" s="42" t="s">
        <v>1020</v>
      </c>
      <c r="W16" s="42" t="s">
        <v>1021</v>
      </c>
      <c r="X16" s="42" t="s">
        <v>1022</v>
      </c>
      <c r="Y16" s="42" t="s">
        <v>1023</v>
      </c>
      <c r="Z16" s="42" t="s">
        <v>1024</v>
      </c>
      <c r="AA16" s="42" t="s">
        <v>1025</v>
      </c>
      <c r="AB16" s="42" t="s">
        <v>1026</v>
      </c>
      <c r="AC16" s="42" t="s">
        <v>1027</v>
      </c>
      <c r="AD16" s="42" t="s">
        <v>1028</v>
      </c>
      <c r="AE16" s="42" t="s">
        <v>1029</v>
      </c>
      <c r="AF16" s="42" t="s">
        <v>1030</v>
      </c>
      <c r="AG16" s="42" t="s">
        <v>1031</v>
      </c>
      <c r="AH16" s="42" t="s">
        <v>1032</v>
      </c>
      <c r="AI16" s="42" t="s">
        <v>1033</v>
      </c>
      <c r="AJ16" s="42" t="s">
        <v>1034</v>
      </c>
    </row>
    <row r="17" spans="2:36" x14ac:dyDescent="0.15">
      <c r="B17" s="109" t="s">
        <v>1037</v>
      </c>
      <c r="C17" s="107">
        <f>SUM(SUMIFS('caseload data'!E:E,'caseload data'!$D:$D,"PO",'caseload data'!$C:$C,'community caseload'!$B$15,'caseload data'!$B:$B,{"licence","community"}))</f>
        <v>0</v>
      </c>
      <c r="D17" s="107">
        <f>SUM(SUMIFS('caseload data'!F:F,'caseload data'!$D:$D,"PO",'caseload data'!$C:$C,'community caseload'!$B$15,'caseload data'!$B:$B,{"licence","community"}))</f>
        <v>0</v>
      </c>
      <c r="E17" s="107">
        <f>SUM(SUMIFS('caseload data'!G:G,'caseload data'!$D:$D,"PO",'caseload data'!$C:$C,'community caseload'!$B$15,'caseload data'!$B:$B,{"licence","community"}))</f>
        <v>0</v>
      </c>
      <c r="F17" s="107">
        <f>SUM(SUMIFS('caseload data'!H:H,'caseload data'!$D:$D,"PO",'caseload data'!$C:$C,'community caseload'!$B$15,'caseload data'!$B:$B,{"licence","community"}))</f>
        <v>0</v>
      </c>
      <c r="G17" s="107">
        <f>SUM(SUMIFS('caseload data'!I:I,'caseload data'!$D:$D,"PO",'caseload data'!$C:$C,'community caseload'!$B$15,'caseload data'!$B:$B,{"licence","community"}))</f>
        <v>0</v>
      </c>
      <c r="H17" s="107">
        <f>SUM(SUMIFS('caseload data'!J:J,'caseload data'!$D:$D,"PO",'caseload data'!$C:$C,'community caseload'!$B$15,'caseload data'!$B:$B,{"licence","community"}))</f>
        <v>0</v>
      </c>
      <c r="I17" s="107">
        <f>SUM(SUMIFS('caseload data'!K:K,'caseload data'!$D:$D,"PO",'caseload data'!$C:$C,'community caseload'!$B$15,'caseload data'!$B:$B,{"licence","community"}))</f>
        <v>0</v>
      </c>
      <c r="J17" s="107">
        <f>SUM(SUMIFS('caseload data'!L:L,'caseload data'!$D:$D,"PO",'caseload data'!$C:$C,'community caseload'!$B$15,'caseload data'!$B:$B,{"licence","community"}))</f>
        <v>0</v>
      </c>
      <c r="K17" s="107">
        <f>SUM(SUMIFS('caseload data'!M:M,'caseload data'!$D:$D,"PO",'caseload data'!$C:$C,'community caseload'!$B$15,'caseload data'!$B:$B,{"licence","community"}))</f>
        <v>0</v>
      </c>
      <c r="L17" s="107">
        <f>SUM(SUMIFS('caseload data'!N:N,'caseload data'!$D:$D,"PO",'caseload data'!$C:$C,'community caseload'!$B$15,'caseload data'!$B:$B,{"licence","community"}))</f>
        <v>0</v>
      </c>
      <c r="M17" s="107">
        <f>SUM(SUMIFS('caseload data'!O:O,'caseload data'!$D:$D,"PO",'caseload data'!$C:$C,'community caseload'!$B$15,'caseload data'!$B:$B,{"licence","community"}))</f>
        <v>0</v>
      </c>
      <c r="N17" s="107">
        <f>SUM(SUMIFS('caseload data'!P:P,'caseload data'!$D:$D,"PO",'caseload data'!$C:$C,'community caseload'!$B$15,'caseload data'!$B:$B,{"licence","community"}))</f>
        <v>0</v>
      </c>
      <c r="O17" s="107">
        <f>SUM(SUMIFS('caseload data'!Q:Q,'caseload data'!$D:$D,"PO",'caseload data'!$C:$C,'community caseload'!$B$15,'caseload data'!$B:$B,{"licence","community"}))</f>
        <v>0</v>
      </c>
      <c r="P17" s="107">
        <f>SUM(SUMIFS('caseload data'!R:R,'caseload data'!$D:$D,"PO",'caseload data'!$C:$C,'community caseload'!$B$15,'caseload data'!$B:$B,{"licence","community"}))</f>
        <v>0</v>
      </c>
      <c r="Q17" s="107">
        <f>SUM(SUMIFS('caseload data'!S:S,'caseload data'!$D:$D,"PO",'caseload data'!$C:$C,'community caseload'!$B$15,'caseload data'!$B:$B,{"licence","community"}))</f>
        <v>0</v>
      </c>
      <c r="R17" s="107">
        <f>SUM(SUMIFS('caseload data'!T:T,'caseload data'!$D:$D,"PO",'caseload data'!$C:$C,'community caseload'!$B$15,'caseload data'!$B:$B,{"licence","community"}))</f>
        <v>0</v>
      </c>
      <c r="S17" s="76"/>
      <c r="T17" s="109" t="s">
        <v>1037</v>
      </c>
      <c r="U17" s="107">
        <f>SUM(SUMIFS('caseload data'!E:E,'caseload data'!$D:$D,"PO",'caseload data'!$C:$C,'community caseload'!$T$15,'caseload data'!$B:$B,{"licence","community"}))</f>
        <v>0</v>
      </c>
      <c r="V17" s="107"/>
      <c r="W17" s="107"/>
      <c r="X17" s="107"/>
      <c r="Y17" s="107"/>
      <c r="Z17" s="107"/>
      <c r="AA17" s="107"/>
      <c r="AB17" s="107"/>
      <c r="AC17" s="107"/>
      <c r="AD17" s="107"/>
      <c r="AE17" s="107">
        <f>SUM(SUMIFS('caseload data'!J:J,'caseload data'!$D:$D,"PO",'caseload data'!$C:$C,'community caseload'!$T$15,'caseload data'!$B:$B,{"licence","community"}))</f>
        <v>0</v>
      </c>
      <c r="AF17" s="107">
        <f>SUM(SUMIFS('caseload data'!K:K,'caseload data'!$D:$D,"PO",'caseload data'!$C:$C,'community caseload'!$T$15,'caseload data'!$B:$B,{"licence","community"}))</f>
        <v>0</v>
      </c>
      <c r="AG17" s="107">
        <f>SUM(SUMIFS('caseload data'!N:N,'caseload data'!$D:$D,"PO",'caseload data'!$C:$C,'community caseload'!$T$15,'caseload data'!$B:$B,{"licence","community"}))</f>
        <v>0</v>
      </c>
      <c r="AH17" s="107">
        <f>SUM(SUMIFS('caseload data'!O:O,'caseload data'!$D:$D,"PO",'caseload data'!$C:$C,'community caseload'!$T$15,'caseload data'!$B:$B,{"licence","community"}))</f>
        <v>0</v>
      </c>
      <c r="AI17" s="107">
        <f>SUM(SUMIFS('caseload data'!R:R,'caseload data'!$D:$D,"PO",'caseload data'!$C:$C,'community caseload'!$T$15,'caseload data'!$B:$B,{"licence","community"}))</f>
        <v>0</v>
      </c>
      <c r="AJ17" s="107">
        <f>SUM(SUMIFS('caseload data'!S:S,'caseload data'!$D:$D,"PO",'caseload data'!$C:$C,'community caseload'!$T$15,'caseload data'!$B:$B,{"licence","community"}))</f>
        <v>0</v>
      </c>
    </row>
    <row r="18" spans="2:36" x14ac:dyDescent="0.15">
      <c r="B18" s="110" t="s">
        <v>1038</v>
      </c>
      <c r="C18" s="107">
        <f>SUM(SUMIFS('caseload data'!E:E,'caseload data'!$D:$D,"PSO",'caseload data'!$C:$C,'community caseload'!$B$15,'caseload data'!$B:$B,{"licence","community"}))</f>
        <v>0</v>
      </c>
      <c r="D18" s="107">
        <f>SUM(SUMIFS('caseload data'!F:F,'caseload data'!$D:$D,"PSO",'caseload data'!$C:$C,'community caseload'!$B$15,'caseload data'!$B:$B,{"licence","community"}))</f>
        <v>0</v>
      </c>
      <c r="E18" s="107">
        <f>SUM(SUMIFS('caseload data'!G:G,'caseload data'!$D:$D,"PSO",'caseload data'!$C:$C,'community caseload'!$B$15,'caseload data'!$B:$B,{"licence","community"}))</f>
        <v>0</v>
      </c>
      <c r="F18" s="107">
        <f>SUM(SUMIFS('caseload data'!H:H,'caseload data'!$D:$D,"PSO",'caseload data'!$C:$C,'community caseload'!$B$15,'caseload data'!$B:$B,{"licence","community"}))</f>
        <v>0</v>
      </c>
      <c r="G18" s="107">
        <f>SUM(SUMIFS('caseload data'!I:I,'caseload data'!$D:$D,"PSO",'caseload data'!$C:$C,'community caseload'!$B$15,'caseload data'!$B:$B,{"licence","community"}))</f>
        <v>0</v>
      </c>
      <c r="H18" s="107">
        <f>SUM(SUMIFS('caseload data'!J:J,'caseload data'!$D:$D,"PSO",'caseload data'!$C:$C,'community caseload'!$B$15,'caseload data'!$B:$B,{"licence","community"}))</f>
        <v>0</v>
      </c>
      <c r="I18" s="107">
        <f>SUM(SUMIFS('caseload data'!K:K,'caseload data'!$D:$D,"PSO",'caseload data'!$C:$C,'community caseload'!$B$15,'caseload data'!$B:$B,{"licence","community"}))</f>
        <v>0</v>
      </c>
      <c r="J18" s="107">
        <f>SUM(SUMIFS('caseload data'!L:L,'caseload data'!$D:$D,"PSO",'caseload data'!$C:$C,'community caseload'!$B$15,'caseload data'!$B:$B,{"licence","community"}))</f>
        <v>0</v>
      </c>
      <c r="K18" s="107">
        <f>SUM(SUMIFS('caseload data'!M:M,'caseload data'!$D:$D,"PSO",'caseload data'!$C:$C,'community caseload'!$B$15,'caseload data'!$B:$B,{"licence","community"}))</f>
        <v>0</v>
      </c>
      <c r="L18" s="107">
        <f>SUM(SUMIFS('caseload data'!N:N,'caseload data'!$D:$D,"PSO",'caseload data'!$C:$C,'community caseload'!$B$15,'caseload data'!$B:$B,{"licence","community"}))</f>
        <v>0</v>
      </c>
      <c r="M18" s="107">
        <f>SUM(SUMIFS('caseload data'!O:O,'caseload data'!$D:$D,"PSO",'caseload data'!$C:$C,'community caseload'!$B$15,'caseload data'!$B:$B,{"licence","community"}))</f>
        <v>0</v>
      </c>
      <c r="N18" s="107">
        <f>SUM(SUMIFS('caseload data'!P:P,'caseload data'!$D:$D,"PSO",'caseload data'!$C:$C,'community caseload'!$B$15,'caseload data'!$B:$B,{"licence","community"}))</f>
        <v>0</v>
      </c>
      <c r="O18" s="107">
        <f>SUM(SUMIFS('caseload data'!Q:Q,'caseload data'!$D:$D,"PSO",'caseload data'!$C:$C,'community caseload'!$B$15,'caseload data'!$B:$B,{"licence","community"}))</f>
        <v>0</v>
      </c>
      <c r="P18" s="107">
        <f>SUM(SUMIFS('caseload data'!R:R,'caseload data'!$D:$D,"PSO",'caseload data'!$C:$C,'community caseload'!$B$15,'caseload data'!$B:$B,{"licence","community"}))</f>
        <v>0</v>
      </c>
      <c r="Q18" s="107">
        <f>SUM(SUMIFS('caseload data'!S:S,'caseload data'!$D:$D,"PSO",'caseload data'!$C:$C,'community caseload'!$B$15,'caseload data'!$B:$B,{"licence","community"}))</f>
        <v>0</v>
      </c>
      <c r="R18" s="107">
        <f>SUM(SUMIFS('caseload data'!T:T,'caseload data'!$D:$D,"PSO",'caseload data'!$C:$C,'community caseload'!$B$15,'caseload data'!$B:$B,{"licence","community"}))</f>
        <v>0</v>
      </c>
      <c r="S18" s="76"/>
      <c r="T18" s="110" t="s">
        <v>1038</v>
      </c>
      <c r="U18" s="107">
        <f>SUM(SUMIFS('caseload data'!E:E,'caseload data'!$D:$D,"PSO",'caseload data'!$C:$C,'community caseload'!$T$15,'caseload data'!$B:$B,{"licence","community"}))</f>
        <v>0</v>
      </c>
      <c r="V18" s="107"/>
      <c r="W18" s="107"/>
      <c r="X18" s="107"/>
      <c r="Y18" s="107"/>
      <c r="Z18" s="107"/>
      <c r="AA18" s="107"/>
      <c r="AB18" s="107"/>
      <c r="AC18" s="107"/>
      <c r="AD18" s="107"/>
      <c r="AE18" s="107">
        <f>SUM(SUMIFS('caseload data'!J:J,'caseload data'!$D:$D,"PSO",'caseload data'!$C:$C,'community caseload'!$T$15,'caseload data'!$B:$B,{"licence","community"}))</f>
        <v>0</v>
      </c>
      <c r="AF18" s="107">
        <f>SUM(SUMIFS('caseload data'!K:K,'caseload data'!$D:$D,"PSO",'caseload data'!$C:$C,'community caseload'!$T$15,'caseload data'!$B:$B,{"licence","community"}))</f>
        <v>0</v>
      </c>
      <c r="AG18" s="107">
        <f>SUM(SUMIFS('caseload data'!N:N,'caseload data'!$D:$D,"PSO",'caseload data'!$C:$C,'community caseload'!$T$15,'caseload data'!$B:$B,{"licence","community"}))</f>
        <v>0</v>
      </c>
      <c r="AH18" s="107">
        <f>SUM(SUMIFS('caseload data'!O:O,'caseload data'!$D:$D,"PSO",'caseload data'!$C:$C,'community caseload'!$T$15,'caseload data'!$B:$B,{"licence","community"}))</f>
        <v>0</v>
      </c>
      <c r="AI18" s="107">
        <f>SUM(SUMIFS('caseload data'!R:R,'caseload data'!$D:$D,"PSO",'caseload data'!$C:$C,'community caseload'!$T$15,'caseload data'!$B:$B,{"licence","community"}))</f>
        <v>0</v>
      </c>
      <c r="AJ18" s="107">
        <f>SUM(SUMIFS('caseload data'!S:S,'caseload data'!$D:$D,"PSO",'caseload data'!$C:$C,'community caseload'!$T$15,'caseload data'!$B:$B,{"licence","community"}))</f>
        <v>0</v>
      </c>
    </row>
    <row r="19" spans="2:36" x14ac:dyDescent="0.15">
      <c r="B19" s="110" t="s">
        <v>1039</v>
      </c>
      <c r="C19" s="107">
        <f>SUM(SUMIFS('caseload data'!E:E,'caseload data'!$D:$D,"TPO",'caseload data'!$C:$C,'community caseload'!$B$15,'caseload data'!$B:$B,{"licence","community"}))</f>
        <v>0</v>
      </c>
      <c r="D19" s="107">
        <f>SUM(SUMIFS('caseload data'!F:F,'caseload data'!$D:$D,"TPO",'caseload data'!$C:$C,'community caseload'!$B$15,'caseload data'!$B:$B,{"licence","community"}))</f>
        <v>0</v>
      </c>
      <c r="E19" s="107">
        <f>SUM(SUMIFS('caseload data'!G:G,'caseload data'!$D:$D,"TPO",'caseload data'!$C:$C,'community caseload'!$B$15,'caseload data'!$B:$B,{"licence","community"}))</f>
        <v>0</v>
      </c>
      <c r="F19" s="107">
        <f>SUM(SUMIFS('caseload data'!H:H,'caseload data'!$D:$D,"TPO",'caseload data'!$C:$C,'community caseload'!$B$15,'caseload data'!$B:$B,{"licence","community"}))</f>
        <v>0</v>
      </c>
      <c r="G19" s="107">
        <f>SUM(SUMIFS('caseload data'!I:I,'caseload data'!$D:$D,"TPO",'caseload data'!$C:$C,'community caseload'!$B$15,'caseload data'!$B:$B,{"licence","community"}))</f>
        <v>0</v>
      </c>
      <c r="H19" s="107">
        <f>SUM(SUMIFS('caseload data'!J:J,'caseload data'!$D:$D,"TPO",'caseload data'!$C:$C,'community caseload'!$B$15,'caseload data'!$B:$B,{"licence","community"}))</f>
        <v>0</v>
      </c>
      <c r="I19" s="107">
        <f>SUM(SUMIFS('caseload data'!K:K,'caseload data'!$D:$D,"TPO",'caseload data'!$C:$C,'community caseload'!$B$15,'caseload data'!$B:$B,{"licence","community"}))</f>
        <v>0</v>
      </c>
      <c r="J19" s="107">
        <f>SUM(SUMIFS('caseload data'!L:L,'caseload data'!$D:$D,"TPO",'caseload data'!$C:$C,'community caseload'!$B$15,'caseload data'!$B:$B,{"licence","community"}))</f>
        <v>0</v>
      </c>
      <c r="K19" s="107">
        <f>SUM(SUMIFS('caseload data'!M:M,'caseload data'!$D:$D,"TPO",'caseload data'!$C:$C,'community caseload'!$B$15,'caseload data'!$B:$B,{"licence","community"}))</f>
        <v>0</v>
      </c>
      <c r="L19" s="107">
        <f>SUM(SUMIFS('caseload data'!N:N,'caseload data'!$D:$D,"TPO",'caseload data'!$C:$C,'community caseload'!$B$15,'caseload data'!$B:$B,{"licence","community"}))</f>
        <v>0</v>
      </c>
      <c r="M19" s="107">
        <f>SUM(SUMIFS('caseload data'!O:O,'caseload data'!$D:$D,"TPO",'caseload data'!$C:$C,'community caseload'!$B$15,'caseload data'!$B:$B,{"licence","community"}))</f>
        <v>0</v>
      </c>
      <c r="N19" s="107">
        <f>SUM(SUMIFS('caseload data'!P:P,'caseload data'!$D:$D,"TPO",'caseload data'!$C:$C,'community caseload'!$B$15,'caseload data'!$B:$B,{"licence","community"}))</f>
        <v>0</v>
      </c>
      <c r="O19" s="107">
        <f>SUM(SUMIFS('caseload data'!Q:Q,'caseload data'!$D:$D,"TPO",'caseload data'!$C:$C,'community caseload'!$B$15,'caseload data'!$B:$B,{"licence","community"}))</f>
        <v>0</v>
      </c>
      <c r="P19" s="107">
        <f>SUM(SUMIFS('caseload data'!R:R,'caseload data'!$D:$D,"TPO",'caseload data'!$C:$C,'community caseload'!$B$15,'caseload data'!$B:$B,{"licence","community"}))</f>
        <v>0</v>
      </c>
      <c r="Q19" s="107">
        <f>SUM(SUMIFS('caseload data'!S:S,'caseload data'!$D:$D,"TPO",'caseload data'!$C:$C,'community caseload'!$B$15,'caseload data'!$B:$B,{"licence","community"}))</f>
        <v>0</v>
      </c>
      <c r="R19" s="107">
        <f>SUM(SUMIFS('caseload data'!T:T,'caseload data'!$D:$D,"TPO",'caseload data'!$C:$C,'community caseload'!$B$15,'caseload data'!$B:$B,{"licence","community"}))</f>
        <v>0</v>
      </c>
      <c r="S19" s="76"/>
      <c r="T19" s="110" t="s">
        <v>1039</v>
      </c>
      <c r="U19" s="107">
        <f>SUM(SUMIFS('caseload data'!E:E,'caseload data'!$D:$D,"TPO",'caseload data'!$C:$C,'community caseload'!$T$15,'caseload data'!$B:$B,{"licence","community"}))</f>
        <v>0</v>
      </c>
      <c r="V19" s="107"/>
      <c r="W19" s="107"/>
      <c r="X19" s="107"/>
      <c r="Y19" s="107"/>
      <c r="Z19" s="107"/>
      <c r="AA19" s="107"/>
      <c r="AB19" s="107"/>
      <c r="AC19" s="107"/>
      <c r="AD19" s="107"/>
      <c r="AE19" s="107">
        <f>SUM(SUMIFS('caseload data'!J:J,'caseload data'!$D:$D,"TPO",'caseload data'!$C:$C,'community caseload'!$T$15,'caseload data'!$B:$B,{"licence","community"}))</f>
        <v>0</v>
      </c>
      <c r="AF19" s="107">
        <f>SUM(SUMIFS('caseload data'!K:K,'caseload data'!$D:$D,"TPO",'caseload data'!$C:$C,'community caseload'!$T$15,'caseload data'!$B:$B,{"licence","community"}))</f>
        <v>0</v>
      </c>
      <c r="AG19" s="107">
        <f>SUM(SUMIFS('caseload data'!N:N,'caseload data'!$D:$D,"TPO",'caseload data'!$C:$C,'community caseload'!$T$15,'caseload data'!$B:$B,{"licence","community"}))</f>
        <v>0</v>
      </c>
      <c r="AH19" s="107">
        <f>SUM(SUMIFS('caseload data'!O:O,'caseload data'!$D:$D,"TPO",'caseload data'!$C:$C,'community caseload'!$T$15,'caseload data'!$B:$B,{"licence","community"}))</f>
        <v>0</v>
      </c>
      <c r="AI19" s="107">
        <f>SUM(SUMIFS('caseload data'!R:R,'caseload data'!$D:$D,"TPO",'caseload data'!$C:$C,'community caseload'!$T$15,'caseload data'!$B:$B,{"licence","community"}))</f>
        <v>0</v>
      </c>
      <c r="AJ19" s="107">
        <f>SUM(SUMIFS('caseload data'!S:S,'caseload data'!$D:$D,"TPO",'caseload data'!$C:$C,'community caseload'!$T$15,'caseload data'!$B:$B,{"licence","community"}))</f>
        <v>0</v>
      </c>
    </row>
    <row r="20" spans="2:36" x14ac:dyDescent="0.15">
      <c r="B20" s="111" t="s">
        <v>1040</v>
      </c>
      <c r="C20" s="107">
        <f>SUM(SUMIFS('caseload data'!E:E,'caseload data'!$D:$D,"SPO",'caseload data'!$C:$C,'community caseload'!$B$15,'caseload data'!$B:$B,{"licence","community"}))</f>
        <v>0</v>
      </c>
      <c r="D20" s="107">
        <f>SUM(SUMIFS('caseload data'!F:F,'caseload data'!$D:$D,"SPO",'caseload data'!$C:$C,'community caseload'!$B$15,'caseload data'!$B:$B,{"licence","community"}))</f>
        <v>0</v>
      </c>
      <c r="E20" s="107">
        <f>SUM(SUMIFS('caseload data'!G:G,'caseload data'!$D:$D,"SPO",'caseload data'!$C:$C,'community caseload'!$B$15,'caseload data'!$B:$B,{"licence","community"}))</f>
        <v>0</v>
      </c>
      <c r="F20" s="107">
        <f>SUM(SUMIFS('caseload data'!H:H,'caseload data'!$D:$D,"SPO",'caseload data'!$C:$C,'community caseload'!$B$15,'caseload data'!$B:$B,{"licence","community"}))</f>
        <v>0</v>
      </c>
      <c r="G20" s="107">
        <f>SUM(SUMIFS('caseload data'!I:I,'caseload data'!$D:$D,"SPO",'caseload data'!$C:$C,'community caseload'!$B$15,'caseload data'!$B:$B,{"licence","community"}))</f>
        <v>0</v>
      </c>
      <c r="H20" s="107">
        <f>SUM(SUMIFS('caseload data'!J:J,'caseload data'!$D:$D,"SPO",'caseload data'!$C:$C,'community caseload'!$B$15,'caseload data'!$B:$B,{"licence","community"}))</f>
        <v>0</v>
      </c>
      <c r="I20" s="107">
        <f>SUM(SUMIFS('caseload data'!K:K,'caseload data'!$D:$D,"SPO",'caseload data'!$C:$C,'community caseload'!$B$15,'caseload data'!$B:$B,{"licence","community"}))</f>
        <v>0</v>
      </c>
      <c r="J20" s="107">
        <f>SUM(SUMIFS('caseload data'!L:L,'caseload data'!$D:$D,"SPO",'caseload data'!$C:$C,'community caseload'!$B$15,'caseload data'!$B:$B,{"licence","community"}))</f>
        <v>0</v>
      </c>
      <c r="K20" s="107">
        <f>SUM(SUMIFS('caseload data'!M:M,'caseload data'!$D:$D,"SPO",'caseload data'!$C:$C,'community caseload'!$B$15,'caseload data'!$B:$B,{"licence","community"}))</f>
        <v>0</v>
      </c>
      <c r="L20" s="107">
        <f>SUM(SUMIFS('caseload data'!N:N,'caseload data'!$D:$D,"SPO",'caseload data'!$C:$C,'community caseload'!$B$15,'caseload data'!$B:$B,{"licence","community"}))</f>
        <v>0</v>
      </c>
      <c r="M20" s="107">
        <f>SUM(SUMIFS('caseload data'!O:O,'caseload data'!$D:$D,"SPO",'caseload data'!$C:$C,'community caseload'!$B$15,'caseload data'!$B:$B,{"licence","community"}))</f>
        <v>0</v>
      </c>
      <c r="N20" s="107">
        <f>SUM(SUMIFS('caseload data'!P:P,'caseload data'!$D:$D,"SPO",'caseload data'!$C:$C,'community caseload'!$B$15,'caseload data'!$B:$B,{"licence","community"}))</f>
        <v>0</v>
      </c>
      <c r="O20" s="107">
        <f>SUM(SUMIFS('caseload data'!Q:Q,'caseload data'!$D:$D,"SPO",'caseload data'!$C:$C,'community caseload'!$B$15,'caseload data'!$B:$B,{"licence","community"}))</f>
        <v>0</v>
      </c>
      <c r="P20" s="107">
        <f>SUM(SUMIFS('caseload data'!R:R,'caseload data'!$D:$D,"SPO",'caseload data'!$C:$C,'community caseload'!$B$15,'caseload data'!$B:$B,{"licence","community"}))</f>
        <v>0</v>
      </c>
      <c r="Q20" s="107">
        <f>SUM(SUMIFS('caseload data'!S:S,'caseload data'!$D:$D,"SPO",'caseload data'!$C:$C,'community caseload'!$B$15,'caseload data'!$B:$B,{"licence","community"}))</f>
        <v>0</v>
      </c>
      <c r="R20" s="107">
        <f>SUM(SUMIFS('caseload data'!T:T,'caseload data'!$D:$D,"SPO",'caseload data'!$C:$C,'community caseload'!$B$15,'caseload data'!$B:$B,{"licence","community"}))</f>
        <v>0</v>
      </c>
      <c r="S20" s="76"/>
      <c r="T20" s="111" t="s">
        <v>1040</v>
      </c>
      <c r="U20" s="107">
        <f>SUM(SUMIFS('caseload data'!E:E,'caseload data'!$D:$D,"SPO",'caseload data'!$C:$C,'community caseload'!$T$15,'caseload data'!$B:$B,{"licence","community"}))</f>
        <v>0</v>
      </c>
      <c r="V20" s="107"/>
      <c r="W20" s="107"/>
      <c r="X20" s="107"/>
      <c r="Y20" s="107"/>
      <c r="Z20" s="107"/>
      <c r="AA20" s="107"/>
      <c r="AB20" s="107"/>
      <c r="AC20" s="107"/>
      <c r="AD20" s="107"/>
      <c r="AE20" s="107">
        <f>SUM(SUMIFS('caseload data'!J:J,'caseload data'!$D:$D,"SPO",'caseload data'!$C:$C,'community caseload'!$T$15,'caseload data'!$B:$B,{"licence","community"}))</f>
        <v>0</v>
      </c>
      <c r="AF20" s="107">
        <f>SUM(SUMIFS('caseload data'!K:K,'caseload data'!$D:$D,"SPO",'caseload data'!$C:$C,'community caseload'!$T$15,'caseload data'!$B:$B,{"licence","community"}))</f>
        <v>0</v>
      </c>
      <c r="AG20" s="107">
        <f>SUM(SUMIFS('caseload data'!N:N,'caseload data'!$D:$D,"SPO",'caseload data'!$C:$C,'community caseload'!$T$15,'caseload data'!$B:$B,{"licence","community"}))</f>
        <v>0</v>
      </c>
      <c r="AH20" s="107">
        <f>SUM(SUMIFS('caseload data'!O:O,'caseload data'!$D:$D,"SPO",'caseload data'!$C:$C,'community caseload'!$T$15,'caseload data'!$B:$B,{"licence","community"}))</f>
        <v>0</v>
      </c>
      <c r="AI20" s="107">
        <f>SUM(SUMIFS('caseload data'!R:R,'caseload data'!$D:$D,"SPO",'caseload data'!$C:$C,'community caseload'!$T$15,'caseload data'!$B:$B,{"licence","community"}))</f>
        <v>0</v>
      </c>
      <c r="AJ20" s="107">
        <f>SUM(SUMIFS('caseload data'!S:S,'caseload data'!$D:$D,"SPO",'caseload data'!$C:$C,'community caseload'!$T$15,'caseload data'!$B:$B,{"licence","community"}))</f>
        <v>0</v>
      </c>
    </row>
    <row r="21" spans="2:36" x14ac:dyDescent="0.15">
      <c r="B21" s="10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04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</row>
    <row r="22" spans="2:36" ht="51.75" customHeight="1" x14ac:dyDescent="0.15">
      <c r="B22" s="162" t="str">
        <f>HLOOKUP($B$5,Region_Table,6,0)</f>
        <v>East Berkshire</v>
      </c>
      <c r="C22" s="333" t="s">
        <v>1266</v>
      </c>
      <c r="D22" s="334"/>
      <c r="E22" s="334"/>
      <c r="F22" s="334"/>
      <c r="G22" s="334"/>
      <c r="H22" s="334"/>
      <c r="I22" s="334"/>
      <c r="J22" s="334"/>
      <c r="K22" s="334"/>
      <c r="L22" s="334"/>
      <c r="M22" s="343"/>
      <c r="N22" s="343"/>
      <c r="O22" s="344"/>
      <c r="P22" s="337" cm="1">
        <f t="array" ref="P22">SUM(SUMIFS('caseload data'!V:V,'caseload data'!B:B,{"licence","community"},'caseload data'!$C:$C,'community caseload'!B22))</f>
        <v>0</v>
      </c>
      <c r="Q22" s="345"/>
      <c r="R22" s="346"/>
      <c r="S22" s="76"/>
      <c r="T22" s="162" t="str">
        <f>HLOOKUP($B$5,Region_Table,7,0)</f>
        <v>Hampshire North and East - N59</v>
      </c>
      <c r="U22" s="333" t="s">
        <v>1266</v>
      </c>
      <c r="V22" s="334"/>
      <c r="W22" s="334"/>
      <c r="X22" s="334"/>
      <c r="Y22" s="334"/>
      <c r="Z22" s="334"/>
      <c r="AA22" s="334"/>
      <c r="AB22" s="334"/>
      <c r="AC22" s="334"/>
      <c r="AD22" s="334"/>
      <c r="AE22" s="343"/>
      <c r="AF22" s="343"/>
      <c r="AG22" s="344"/>
      <c r="AH22" s="337" cm="1">
        <f t="array" ref="AH22">SUM(SUMIFS('caseload data'!V:V,'caseload data'!B:B,{"licence","community"},'caseload data'!$C:$C,'community caseload'!T22))</f>
        <v>0</v>
      </c>
      <c r="AI22" s="345"/>
      <c r="AJ22" s="346"/>
    </row>
    <row r="23" spans="2:36" x14ac:dyDescent="0.15">
      <c r="B23" s="108" t="s">
        <v>1199</v>
      </c>
      <c r="C23" s="42" t="s">
        <v>1019</v>
      </c>
      <c r="D23" s="42" t="s">
        <v>1020</v>
      </c>
      <c r="E23" s="42" t="s">
        <v>1021</v>
      </c>
      <c r="F23" s="42" t="s">
        <v>1022</v>
      </c>
      <c r="G23" s="42" t="s">
        <v>1023</v>
      </c>
      <c r="H23" s="42" t="s">
        <v>1024</v>
      </c>
      <c r="I23" s="42" t="s">
        <v>1025</v>
      </c>
      <c r="J23" s="42" t="s">
        <v>1026</v>
      </c>
      <c r="K23" s="42" t="s">
        <v>1027</v>
      </c>
      <c r="L23" s="42" t="s">
        <v>1028</v>
      </c>
      <c r="M23" s="42" t="s">
        <v>1029</v>
      </c>
      <c r="N23" s="42" t="s">
        <v>1030</v>
      </c>
      <c r="O23" s="42" t="s">
        <v>1031</v>
      </c>
      <c r="P23" s="42" t="s">
        <v>1032</v>
      </c>
      <c r="Q23" s="42" t="s">
        <v>1033</v>
      </c>
      <c r="R23" s="42" t="s">
        <v>1034</v>
      </c>
      <c r="S23" s="76"/>
      <c r="T23" s="108" t="s">
        <v>1199</v>
      </c>
      <c r="U23" s="42" t="s">
        <v>1019</v>
      </c>
      <c r="V23" s="42" t="s">
        <v>1020</v>
      </c>
      <c r="W23" s="42" t="s">
        <v>1021</v>
      </c>
      <c r="X23" s="42" t="s">
        <v>1022</v>
      </c>
      <c r="Y23" s="42" t="s">
        <v>1023</v>
      </c>
      <c r="Z23" s="42" t="s">
        <v>1024</v>
      </c>
      <c r="AA23" s="42" t="s">
        <v>1025</v>
      </c>
      <c r="AB23" s="42" t="s">
        <v>1026</v>
      </c>
      <c r="AC23" s="42" t="s">
        <v>1027</v>
      </c>
      <c r="AD23" s="42" t="s">
        <v>1028</v>
      </c>
      <c r="AE23" s="42" t="s">
        <v>1029</v>
      </c>
      <c r="AF23" s="42" t="s">
        <v>1030</v>
      </c>
      <c r="AG23" s="42" t="s">
        <v>1031</v>
      </c>
      <c r="AH23" s="42" t="s">
        <v>1032</v>
      </c>
      <c r="AI23" s="42" t="s">
        <v>1033</v>
      </c>
      <c r="AJ23" s="42" t="s">
        <v>1034</v>
      </c>
    </row>
    <row r="24" spans="2:36" x14ac:dyDescent="0.15">
      <c r="B24" s="109" t="s">
        <v>1037</v>
      </c>
      <c r="C24" s="107">
        <f>SUM(SUMIFS('caseload data'!E:E,'caseload data'!$D:$D,"PO",'caseload data'!$C:$C,'community caseload'!$B$22,'caseload data'!$B:$B,{"licence","community"}))</f>
        <v>0</v>
      </c>
      <c r="D24" s="107">
        <f>SUM(SUMIFS('caseload data'!F:F,'caseload data'!$D:$D,"PO",'caseload data'!$C:$C,'community caseload'!$B$22,'caseload data'!$B:$B,{"licence","community"}))</f>
        <v>0</v>
      </c>
      <c r="E24" s="107">
        <f>SUM(SUMIFS('caseload data'!G:G,'caseload data'!$D:$D,"PO",'caseload data'!$C:$C,'community caseload'!$B$22,'caseload data'!$B:$B,{"licence","community"}))</f>
        <v>0</v>
      </c>
      <c r="F24" s="107">
        <f>SUM(SUMIFS('caseload data'!H:H,'caseload data'!$D:$D,"PO",'caseload data'!$C:$C,'community caseload'!$B$22,'caseload data'!$B:$B,{"licence","community"}))</f>
        <v>0</v>
      </c>
      <c r="G24" s="107">
        <f>SUM(SUMIFS('caseload data'!I:I,'caseload data'!$D:$D,"PO",'caseload data'!$C:$C,'community caseload'!$B$22,'caseload data'!$B:$B,{"licence","community"}))</f>
        <v>0</v>
      </c>
      <c r="H24" s="107">
        <f>SUM(SUMIFS('caseload data'!J:J,'caseload data'!$D:$D,"PO",'caseload data'!$C:$C,'community caseload'!$B$22,'caseload data'!$B:$B,{"licence","community"}))</f>
        <v>0</v>
      </c>
      <c r="I24" s="107">
        <f>SUM(SUMIFS('caseload data'!K:K,'caseload data'!$D:$D,"PO",'caseload data'!$C:$C,'community caseload'!$B$22,'caseload data'!$B:$B,{"licence","community"}))</f>
        <v>0</v>
      </c>
      <c r="J24" s="107">
        <f>SUM(SUMIFS('caseload data'!L:L,'caseload data'!$D:$D,"PO",'caseload data'!$C:$C,'community caseload'!$B$22,'caseload data'!$B:$B,{"licence","community"}))</f>
        <v>0</v>
      </c>
      <c r="K24" s="107">
        <f>SUM(SUMIFS('caseload data'!M:M,'caseload data'!$D:$D,"PO",'caseload data'!$C:$C,'community caseload'!$B$22,'caseload data'!$B:$B,{"licence","community"}))</f>
        <v>0</v>
      </c>
      <c r="L24" s="107">
        <f>SUM(SUMIFS('caseload data'!N:N,'caseload data'!$D:$D,"PO",'caseload data'!$C:$C,'community caseload'!$B$22,'caseload data'!$B:$B,{"licence","community"}))</f>
        <v>0</v>
      </c>
      <c r="M24" s="107">
        <f>SUM(SUMIFS('caseload data'!O:O,'caseload data'!$D:$D,"PO",'caseload data'!$C:$C,'community caseload'!$B$22,'caseload data'!$B:$B,{"licence","community"}))</f>
        <v>0</v>
      </c>
      <c r="N24" s="107">
        <f>SUM(SUMIFS('caseload data'!P:P,'caseload data'!$D:$D,"PO",'caseload data'!$C:$C,'community caseload'!$B$22,'caseload data'!$B:$B,{"licence","community"}))</f>
        <v>0</v>
      </c>
      <c r="O24" s="107">
        <f>SUM(SUMIFS('caseload data'!Q:Q,'caseload data'!$D:$D,"PO",'caseload data'!$C:$C,'community caseload'!$B$22,'caseload data'!$B:$B,{"licence","community"}))</f>
        <v>0</v>
      </c>
      <c r="P24" s="107">
        <f>SUM(SUMIFS('caseload data'!R:R,'caseload data'!$D:$D,"PO",'caseload data'!$C:$C,'community caseload'!$B$22,'caseload data'!$B:$B,{"licence","community"}))</f>
        <v>0</v>
      </c>
      <c r="Q24" s="107">
        <f>SUM(SUMIFS('caseload data'!S:S,'caseload data'!$D:$D,"PO",'caseload data'!$C:$C,'community caseload'!$B$22,'caseload data'!$B:$B,{"licence","community"}))</f>
        <v>0</v>
      </c>
      <c r="R24" s="107">
        <f>SUM(SUMIFS('caseload data'!T:T,'caseload data'!$D:$D,"PO",'caseload data'!$C:$C,'community caseload'!$B$22,'caseload data'!$B:$B,{"licence","community"}))</f>
        <v>0</v>
      </c>
      <c r="S24" s="76"/>
      <c r="T24" s="109" t="s">
        <v>1037</v>
      </c>
      <c r="U24" s="107">
        <f>SUM(SUMIFS('caseload data'!E:E,'caseload data'!$D:$D,"PO",'caseload data'!$C:$C,'community caseload'!$T$22,'caseload data'!$B:$B,{"licence","community"}))</f>
        <v>0</v>
      </c>
      <c r="V24" s="107">
        <f>SUM(SUMIFS('caseload data'!F:F,'caseload data'!$D:$D,"PO",'caseload data'!$C:$C,'community caseload'!$T$22,'caseload data'!$B:$B,{"licence","community"}))</f>
        <v>0</v>
      </c>
      <c r="W24" s="107">
        <f>SUM(SUMIFS('caseload data'!G:G,'caseload data'!$D:$D,"PO",'caseload data'!$C:$C,'community caseload'!$T$22,'caseload data'!$B:$B,{"licence","community"}))</f>
        <v>0</v>
      </c>
      <c r="X24" s="107">
        <f>SUM(SUMIFS('caseload data'!H:H,'caseload data'!$D:$D,"PO",'caseload data'!$C:$C,'community caseload'!$T$22,'caseload data'!$B:$B,{"licence","community"}))</f>
        <v>0</v>
      </c>
      <c r="Y24" s="107">
        <f>SUM(SUMIFS('caseload data'!I:I,'caseload data'!$D:$D,"PO",'caseload data'!$C:$C,'community caseload'!$T$22,'caseload data'!$B:$B,{"licence","community"}))</f>
        <v>0</v>
      </c>
      <c r="Z24" s="107">
        <f>SUM(SUMIFS('caseload data'!J:J,'caseload data'!$D:$D,"PO",'caseload data'!$C:$C,'community caseload'!$T$22,'caseload data'!$B:$B,{"licence","community"}))</f>
        <v>0</v>
      </c>
      <c r="AA24" s="107">
        <f>SUM(SUMIFS('caseload data'!K:K,'caseload data'!$D:$D,"PO",'caseload data'!$C:$C,'community caseload'!$T$22,'caseload data'!$B:$B,{"licence","community"}))</f>
        <v>0</v>
      </c>
      <c r="AB24" s="107">
        <f>SUM(SUMIFS('caseload data'!L:L,'caseload data'!$D:$D,"PO",'caseload data'!$C:$C,'community caseload'!$T$22,'caseload data'!$B:$B,{"licence","community"}))</f>
        <v>0</v>
      </c>
      <c r="AC24" s="107">
        <f>SUM(SUMIFS('caseload data'!M:M,'caseload data'!$D:$D,"PO",'caseload data'!$C:$C,'community caseload'!$T$22,'caseload data'!$B:$B,{"licence","community"}))</f>
        <v>0</v>
      </c>
      <c r="AD24" s="107">
        <f>SUM(SUMIFS('caseload data'!N:N,'caseload data'!$D:$D,"PO",'caseload data'!$C:$C,'community caseload'!$T$22,'caseload data'!$B:$B,{"licence","community"}))</f>
        <v>0</v>
      </c>
      <c r="AE24" s="107">
        <f>SUM(SUMIFS('caseload data'!O:O,'caseload data'!$D:$D,"PO",'caseload data'!$C:$C,'community caseload'!$T$22,'caseload data'!$B:$B,{"licence","community"}))</f>
        <v>0</v>
      </c>
      <c r="AF24" s="107">
        <f>SUM(SUMIFS('caseload data'!P:P,'caseload data'!$D:$D,"PO",'caseload data'!$C:$C,'community caseload'!$T$22,'caseload data'!$B:$B,{"licence","community"}))</f>
        <v>0</v>
      </c>
      <c r="AG24" s="107">
        <f>SUM(SUMIFS('caseload data'!Q:Q,'caseload data'!$D:$D,"PO",'caseload data'!$C:$C,'community caseload'!$T$22,'caseload data'!$B:$B,{"licence","community"}))</f>
        <v>0</v>
      </c>
      <c r="AH24" s="107">
        <f>SUM(SUMIFS('caseload data'!R:R,'caseload data'!$D:$D,"PO",'caseload data'!$C:$C,'community caseload'!$T$22,'caseload data'!$B:$B,{"licence","community"}))</f>
        <v>0</v>
      </c>
      <c r="AI24" s="107">
        <f>SUM(SUMIFS('caseload data'!S:S,'caseload data'!$D:$D,"PO",'caseload data'!$C:$C,'community caseload'!$T$22,'caseload data'!$B:$B,{"licence","community"}))</f>
        <v>0</v>
      </c>
      <c r="AJ24" s="107">
        <f>SUM(SUMIFS('caseload data'!T:T,'caseload data'!$D:$D,"PO",'caseload data'!$C:$C,'community caseload'!$T$22,'caseload data'!$B:$B,{"licence","community"}))</f>
        <v>0</v>
      </c>
    </row>
    <row r="25" spans="2:36" x14ac:dyDescent="0.15">
      <c r="B25" s="110" t="s">
        <v>1038</v>
      </c>
      <c r="C25" s="107">
        <f>SUM(SUMIFS('caseload data'!E:E,'caseload data'!$D:$D,"PSO",'caseload data'!$C:$C,'community caseload'!$B$22,'caseload data'!$B:$B,{"licence","community"}))</f>
        <v>0</v>
      </c>
      <c r="D25" s="107">
        <f>SUM(SUMIFS('caseload data'!F:F,'caseload data'!$D:$D,"PSO",'caseload data'!$C:$C,'community caseload'!$B$22,'caseload data'!$B:$B,{"licence","community"}))</f>
        <v>0</v>
      </c>
      <c r="E25" s="107">
        <f>SUM(SUMIFS('caseload data'!G:G,'caseload data'!$D:$D,"PSO",'caseload data'!$C:$C,'community caseload'!$B$22,'caseload data'!$B:$B,{"licence","community"}))</f>
        <v>0</v>
      </c>
      <c r="F25" s="107">
        <f>SUM(SUMIFS('caseload data'!H:H,'caseload data'!$D:$D,"PSO",'caseload data'!$C:$C,'community caseload'!$B$22,'caseload data'!$B:$B,{"licence","community"}))</f>
        <v>0</v>
      </c>
      <c r="G25" s="107">
        <f>SUM(SUMIFS('caseload data'!I:I,'caseload data'!$D:$D,"PSO",'caseload data'!$C:$C,'community caseload'!$B$22,'caseload data'!$B:$B,{"licence","community"}))</f>
        <v>0</v>
      </c>
      <c r="H25" s="107">
        <f>SUM(SUMIFS('caseload data'!J:J,'caseload data'!$D:$D,"PSO",'caseload data'!$C:$C,'community caseload'!$B$22,'caseload data'!$B:$B,{"licence","community"}))</f>
        <v>0</v>
      </c>
      <c r="I25" s="107">
        <f>SUM(SUMIFS('caseload data'!K:K,'caseload data'!$D:$D,"PSO",'caseload data'!$C:$C,'community caseload'!$B$22,'caseload data'!$B:$B,{"licence","community"}))</f>
        <v>0</v>
      </c>
      <c r="J25" s="107">
        <f>SUM(SUMIFS('caseload data'!L:L,'caseload data'!$D:$D,"PSO",'caseload data'!$C:$C,'community caseload'!$B$22,'caseload data'!$B:$B,{"licence","community"}))</f>
        <v>0</v>
      </c>
      <c r="K25" s="107">
        <f>SUM(SUMIFS('caseload data'!M:M,'caseload data'!$D:$D,"PSO",'caseload data'!$C:$C,'community caseload'!$B$22,'caseload data'!$B:$B,{"licence","community"}))</f>
        <v>0</v>
      </c>
      <c r="L25" s="107">
        <f>SUM(SUMIFS('caseload data'!N:N,'caseload data'!$D:$D,"PSO",'caseload data'!$C:$C,'community caseload'!$B$22,'caseload data'!$B:$B,{"licence","community"}))</f>
        <v>0</v>
      </c>
      <c r="M25" s="107">
        <f>SUM(SUMIFS('caseload data'!O:O,'caseload data'!$D:$D,"PSO",'caseload data'!$C:$C,'community caseload'!$B$22,'caseload data'!$B:$B,{"licence","community"}))</f>
        <v>0</v>
      </c>
      <c r="N25" s="107">
        <f>SUM(SUMIFS('caseload data'!P:P,'caseload data'!$D:$D,"PSO",'caseload data'!$C:$C,'community caseload'!$B$22,'caseload data'!$B:$B,{"licence","community"}))</f>
        <v>0</v>
      </c>
      <c r="O25" s="107">
        <f>SUM(SUMIFS('caseload data'!Q:Q,'caseload data'!$D:$D,"PSO",'caseload data'!$C:$C,'community caseload'!$B$22,'caseload data'!$B:$B,{"licence","community"}))</f>
        <v>0</v>
      </c>
      <c r="P25" s="107">
        <f>SUM(SUMIFS('caseload data'!R:R,'caseload data'!$D:$D,"PSO",'caseload data'!$C:$C,'community caseload'!$B$22,'caseload data'!$B:$B,{"licence","community"}))</f>
        <v>0</v>
      </c>
      <c r="Q25" s="107">
        <f>SUM(SUMIFS('caseload data'!S:S,'caseload data'!$D:$D,"PSO",'caseload data'!$C:$C,'community caseload'!$B$22,'caseload data'!$B:$B,{"licence","community"}))</f>
        <v>0</v>
      </c>
      <c r="R25" s="107">
        <f>SUM(SUMIFS('caseload data'!T:T,'caseload data'!$D:$D,"PSO",'caseload data'!$C:$C,'community caseload'!$B$22,'caseload data'!$B:$B,{"licence","community"}))</f>
        <v>0</v>
      </c>
      <c r="S25" s="76"/>
      <c r="T25" s="110" t="s">
        <v>1038</v>
      </c>
      <c r="U25" s="107">
        <f>SUM(SUMIFS('caseload data'!E:E,'caseload data'!$D:$D,"PSO",'caseload data'!$C:$C,'community caseload'!$T$22,'caseload data'!$B:$B,{"licence","community"}))</f>
        <v>0</v>
      </c>
      <c r="V25" s="107">
        <f>SUM(SUMIFS('caseload data'!F:F,'caseload data'!$D:$D,"PSO",'caseload data'!$C:$C,'community caseload'!$T$22,'caseload data'!$B:$B,{"licence","community"}))</f>
        <v>0</v>
      </c>
      <c r="W25" s="107">
        <f>SUM(SUMIFS('caseload data'!G:G,'caseload data'!$D:$D,"PSO",'caseload data'!$C:$C,'community caseload'!$T$22,'caseload data'!$B:$B,{"licence","community"}))</f>
        <v>0</v>
      </c>
      <c r="X25" s="107">
        <f>SUM(SUMIFS('caseload data'!H:H,'caseload data'!$D:$D,"PSO",'caseload data'!$C:$C,'community caseload'!$T$22,'caseload data'!$B:$B,{"licence","community"}))</f>
        <v>0</v>
      </c>
      <c r="Y25" s="107">
        <f>SUM(SUMIFS('caseload data'!I:I,'caseload data'!$D:$D,"PSO",'caseload data'!$C:$C,'community caseload'!$T$22,'caseload data'!$B:$B,{"licence","community"}))</f>
        <v>0</v>
      </c>
      <c r="Z25" s="107">
        <f>SUM(SUMIFS('caseload data'!J:J,'caseload data'!$D:$D,"PSO",'caseload data'!$C:$C,'community caseload'!$T$22,'caseload data'!$B:$B,{"licence","community"}))</f>
        <v>0</v>
      </c>
      <c r="AA25" s="107">
        <f>SUM(SUMIFS('caseload data'!K:K,'caseload data'!$D:$D,"PSO",'caseload data'!$C:$C,'community caseload'!$T$22,'caseload data'!$B:$B,{"licence","community"}))</f>
        <v>0</v>
      </c>
      <c r="AB25" s="107">
        <f>SUM(SUMIFS('caseload data'!L:L,'caseload data'!$D:$D,"PSO",'caseload data'!$C:$C,'community caseload'!$T$22,'caseload data'!$B:$B,{"licence","community"}))</f>
        <v>0</v>
      </c>
      <c r="AC25" s="107">
        <f>SUM(SUMIFS('caseload data'!M:M,'caseload data'!$D:$D,"PSO",'caseload data'!$C:$C,'community caseload'!$T$22,'caseload data'!$B:$B,{"licence","community"}))</f>
        <v>0</v>
      </c>
      <c r="AD25" s="107">
        <f>SUM(SUMIFS('caseload data'!N:N,'caseload data'!$D:$D,"PSO",'caseload data'!$C:$C,'community caseload'!$T$22,'caseload data'!$B:$B,{"licence","community"}))</f>
        <v>0</v>
      </c>
      <c r="AE25" s="107">
        <f>SUM(SUMIFS('caseload data'!O:O,'caseload data'!$D:$D,"PSO",'caseload data'!$C:$C,'community caseload'!$T$22,'caseload data'!$B:$B,{"licence","community"}))</f>
        <v>0</v>
      </c>
      <c r="AF25" s="107">
        <f>SUM(SUMIFS('caseload data'!P:P,'caseload data'!$D:$D,"PSO",'caseload data'!$C:$C,'community caseload'!$T$22,'caseload data'!$B:$B,{"licence","community"}))</f>
        <v>0</v>
      </c>
      <c r="AG25" s="107">
        <f>SUM(SUMIFS('caseload data'!Q:Q,'caseload data'!$D:$D,"PSO",'caseload data'!$C:$C,'community caseload'!$T$22,'caseload data'!$B:$B,{"licence","community"}))</f>
        <v>0</v>
      </c>
      <c r="AH25" s="107">
        <f>SUM(SUMIFS('caseload data'!R:R,'caseload data'!$D:$D,"PSO",'caseload data'!$C:$C,'community caseload'!$T$22,'caseload data'!$B:$B,{"licence","community"}))</f>
        <v>0</v>
      </c>
      <c r="AI25" s="107">
        <f>SUM(SUMIFS('caseload data'!S:S,'caseload data'!$D:$D,"PSO",'caseload data'!$C:$C,'community caseload'!$T$22,'caseload data'!$B:$B,{"licence","community"}))</f>
        <v>0</v>
      </c>
      <c r="AJ25" s="107">
        <f>SUM(SUMIFS('caseload data'!T:T,'caseload data'!$D:$D,"PSO",'caseload data'!$C:$C,'community caseload'!$T$22,'caseload data'!$B:$B,{"licence","community"}))</f>
        <v>0</v>
      </c>
    </row>
    <row r="26" spans="2:36" x14ac:dyDescent="0.15">
      <c r="B26" s="110" t="s">
        <v>1039</v>
      </c>
      <c r="C26" s="107">
        <f>SUM(SUMIFS('caseload data'!E:E,'caseload data'!$D:$D,"TPO",'caseload data'!$C:$C,'community caseload'!$B$22,'caseload data'!$B:$B,{"licence","community"}))</f>
        <v>0</v>
      </c>
      <c r="D26" s="107">
        <f>SUM(SUMIFS('caseload data'!F:F,'caseload data'!$D:$D,"TPO",'caseload data'!$C:$C,'community caseload'!$B$22,'caseload data'!$B:$B,{"licence","community"}))</f>
        <v>0</v>
      </c>
      <c r="E26" s="107">
        <f>SUM(SUMIFS('caseload data'!G:G,'caseload data'!$D:$D,"TPO",'caseload data'!$C:$C,'community caseload'!$B$22,'caseload data'!$B:$B,{"licence","community"}))</f>
        <v>0</v>
      </c>
      <c r="F26" s="107">
        <f>SUM(SUMIFS('caseload data'!H:H,'caseload data'!$D:$D,"TPO",'caseload data'!$C:$C,'community caseload'!$B$22,'caseload data'!$B:$B,{"licence","community"}))</f>
        <v>0</v>
      </c>
      <c r="G26" s="107">
        <f>SUM(SUMIFS('caseload data'!I:I,'caseload data'!$D:$D,"TPO",'caseload data'!$C:$C,'community caseload'!$B$22,'caseload data'!$B:$B,{"licence","community"}))</f>
        <v>0</v>
      </c>
      <c r="H26" s="107">
        <f>SUM(SUMIFS('caseload data'!J:J,'caseload data'!$D:$D,"TPO",'caseload data'!$C:$C,'community caseload'!$B$22,'caseload data'!$B:$B,{"licence","community"}))</f>
        <v>0</v>
      </c>
      <c r="I26" s="107">
        <f>SUM(SUMIFS('caseload data'!K:K,'caseload data'!$D:$D,"TPO",'caseload data'!$C:$C,'community caseload'!$B$22,'caseload data'!$B:$B,{"licence","community"}))</f>
        <v>0</v>
      </c>
      <c r="J26" s="107">
        <f>SUM(SUMIFS('caseload data'!L:L,'caseload data'!$D:$D,"TPO",'caseload data'!$C:$C,'community caseload'!$B$22,'caseload data'!$B:$B,{"licence","community"}))</f>
        <v>0</v>
      </c>
      <c r="K26" s="107">
        <f>SUM(SUMIFS('caseload data'!M:M,'caseload data'!$D:$D,"TPO",'caseload data'!$C:$C,'community caseload'!$B$22,'caseload data'!$B:$B,{"licence","community"}))</f>
        <v>0</v>
      </c>
      <c r="L26" s="107">
        <f>SUM(SUMIFS('caseload data'!N:N,'caseload data'!$D:$D,"TPO",'caseload data'!$C:$C,'community caseload'!$B$22,'caseload data'!$B:$B,{"licence","community"}))</f>
        <v>0</v>
      </c>
      <c r="M26" s="107">
        <f>SUM(SUMIFS('caseload data'!O:O,'caseload data'!$D:$D,"TPO",'caseload data'!$C:$C,'community caseload'!$B$22,'caseload data'!$B:$B,{"licence","community"}))</f>
        <v>0</v>
      </c>
      <c r="N26" s="107">
        <f>SUM(SUMIFS('caseload data'!P:P,'caseload data'!$D:$D,"TPO",'caseload data'!$C:$C,'community caseload'!$B$22,'caseload data'!$B:$B,{"licence","community"}))</f>
        <v>0</v>
      </c>
      <c r="O26" s="107">
        <f>SUM(SUMIFS('caseload data'!Q:Q,'caseload data'!$D:$D,"TPO",'caseload data'!$C:$C,'community caseload'!$B$22,'caseload data'!$B:$B,{"licence","community"}))</f>
        <v>0</v>
      </c>
      <c r="P26" s="107">
        <f>SUM(SUMIFS('caseload data'!R:R,'caseload data'!$D:$D,"TPO",'caseload data'!$C:$C,'community caseload'!$B$22,'caseload data'!$B:$B,{"licence","community"}))</f>
        <v>0</v>
      </c>
      <c r="Q26" s="107">
        <f>SUM(SUMIFS('caseload data'!S:S,'caseload data'!$D:$D,"TPO",'caseload data'!$C:$C,'community caseload'!$B$22,'caseload data'!$B:$B,{"licence","community"}))</f>
        <v>0</v>
      </c>
      <c r="R26" s="107">
        <f>SUM(SUMIFS('caseload data'!T:T,'caseload data'!$D:$D,"TPO",'caseload data'!$C:$C,'community caseload'!$B$22,'caseload data'!$B:$B,{"licence","community"}))</f>
        <v>0</v>
      </c>
      <c r="S26" s="76"/>
      <c r="T26" s="110" t="s">
        <v>1039</v>
      </c>
      <c r="U26" s="107">
        <f>SUM(SUMIFS('caseload data'!E:E,'caseload data'!$D:$D,"TPO",'caseload data'!$C:$C,'community caseload'!$T$22,'caseload data'!$B:$B,{"licence","community"}))</f>
        <v>0</v>
      </c>
      <c r="V26" s="107">
        <f>SUM(SUMIFS('caseload data'!F:F,'caseload data'!$D:$D,"TPO",'caseload data'!$C:$C,'community caseload'!$T$22,'caseload data'!$B:$B,{"licence","community"}))</f>
        <v>0</v>
      </c>
      <c r="W26" s="107">
        <f>SUM(SUMIFS('caseload data'!G:G,'caseload data'!$D:$D,"TPO",'caseload data'!$C:$C,'community caseload'!$T$22,'caseload data'!$B:$B,{"licence","community"}))</f>
        <v>0</v>
      </c>
      <c r="X26" s="107">
        <f>SUM(SUMIFS('caseload data'!H:H,'caseload data'!$D:$D,"TPO",'caseload data'!$C:$C,'community caseload'!$T$22,'caseload data'!$B:$B,{"licence","community"}))</f>
        <v>0</v>
      </c>
      <c r="Y26" s="107">
        <f>SUM(SUMIFS('caseload data'!I:I,'caseload data'!$D:$D,"TPO",'caseload data'!$C:$C,'community caseload'!$T$22,'caseload data'!$B:$B,{"licence","community"}))</f>
        <v>0</v>
      </c>
      <c r="Z26" s="107">
        <f>SUM(SUMIFS('caseload data'!J:J,'caseload data'!$D:$D,"TPO",'caseload data'!$C:$C,'community caseload'!$T$22,'caseload data'!$B:$B,{"licence","community"}))</f>
        <v>0</v>
      </c>
      <c r="AA26" s="107">
        <f>SUM(SUMIFS('caseload data'!K:K,'caseload data'!$D:$D,"TPO",'caseload data'!$C:$C,'community caseload'!$T$22,'caseload data'!$B:$B,{"licence","community"}))</f>
        <v>0</v>
      </c>
      <c r="AB26" s="107">
        <f>SUM(SUMIFS('caseload data'!L:L,'caseload data'!$D:$D,"TPO",'caseload data'!$C:$C,'community caseload'!$T$22,'caseload data'!$B:$B,{"licence","community"}))</f>
        <v>0</v>
      </c>
      <c r="AC26" s="107">
        <f>SUM(SUMIFS('caseload data'!M:M,'caseload data'!$D:$D,"TPO",'caseload data'!$C:$C,'community caseload'!$T$22,'caseload data'!$B:$B,{"licence","community"}))</f>
        <v>0</v>
      </c>
      <c r="AD26" s="107">
        <f>SUM(SUMIFS('caseload data'!N:N,'caseload data'!$D:$D,"TPO",'caseload data'!$C:$C,'community caseload'!$T$22,'caseload data'!$B:$B,{"licence","community"}))</f>
        <v>0</v>
      </c>
      <c r="AE26" s="107">
        <f>SUM(SUMIFS('caseload data'!O:O,'caseload data'!$D:$D,"TPO",'caseload data'!$C:$C,'community caseload'!$T$22,'caseload data'!$B:$B,{"licence","community"}))</f>
        <v>0</v>
      </c>
      <c r="AF26" s="107">
        <f>SUM(SUMIFS('caseload data'!P:P,'caseload data'!$D:$D,"TPO",'caseload data'!$C:$C,'community caseload'!$T$22,'caseload data'!$B:$B,{"licence","community"}))</f>
        <v>0</v>
      </c>
      <c r="AG26" s="107">
        <f>SUM(SUMIFS('caseload data'!Q:Q,'caseload data'!$D:$D,"TPO",'caseload data'!$C:$C,'community caseload'!$T$22,'caseload data'!$B:$B,{"licence","community"}))</f>
        <v>0</v>
      </c>
      <c r="AH26" s="107">
        <f>SUM(SUMIFS('caseload data'!R:R,'caseload data'!$D:$D,"TPO",'caseload data'!$C:$C,'community caseload'!$T$22,'caseload data'!$B:$B,{"licence","community"}))</f>
        <v>0</v>
      </c>
      <c r="AI26" s="107">
        <f>SUM(SUMIFS('caseload data'!S:S,'caseload data'!$D:$D,"TPO",'caseload data'!$C:$C,'community caseload'!$T$22,'caseload data'!$B:$B,{"licence","community"}))</f>
        <v>0</v>
      </c>
      <c r="AJ26" s="107">
        <f>SUM(SUMIFS('caseload data'!T:T,'caseload data'!$D:$D,"TPO",'caseload data'!$C:$C,'community caseload'!$T$22,'caseload data'!$B:$B,{"licence","community"}))</f>
        <v>0</v>
      </c>
    </row>
    <row r="27" spans="2:36" x14ac:dyDescent="0.15">
      <c r="B27" s="111" t="s">
        <v>1040</v>
      </c>
      <c r="C27" s="107">
        <f>SUM(SUMIFS('caseload data'!E:E,'caseload data'!$D:$D,"SPO",'caseload data'!$C:$C,'community caseload'!$B$22,'caseload data'!$B:$B,{"licence","community"}))</f>
        <v>0</v>
      </c>
      <c r="D27" s="107">
        <f>SUM(SUMIFS('caseload data'!F:F,'caseload data'!$D:$D,"SPO",'caseload data'!$C:$C,'community caseload'!$B$22,'caseload data'!$B:$B,{"licence","community"}))</f>
        <v>0</v>
      </c>
      <c r="E27" s="107">
        <f>SUM(SUMIFS('caseload data'!G:G,'caseload data'!$D:$D,"SPO",'caseload data'!$C:$C,'community caseload'!$B$22,'caseload data'!$B:$B,{"licence","community"}))</f>
        <v>0</v>
      </c>
      <c r="F27" s="107">
        <f>SUM(SUMIFS('caseload data'!H:H,'caseload data'!$D:$D,"SPO",'caseload data'!$C:$C,'community caseload'!$B$22,'caseload data'!$B:$B,{"licence","community"}))</f>
        <v>0</v>
      </c>
      <c r="G27" s="107">
        <f>SUM(SUMIFS('caseload data'!I:I,'caseload data'!$D:$D,"SPO",'caseload data'!$C:$C,'community caseload'!$B$22,'caseload data'!$B:$B,{"licence","community"}))</f>
        <v>0</v>
      </c>
      <c r="H27" s="107">
        <f>SUM(SUMIFS('caseload data'!J:J,'caseload data'!$D:$D,"SPO",'caseload data'!$C:$C,'community caseload'!$B$22,'caseload data'!$B:$B,{"licence","community"}))</f>
        <v>0</v>
      </c>
      <c r="I27" s="107">
        <f>SUM(SUMIFS('caseload data'!K:K,'caseload data'!$D:$D,"SPO",'caseload data'!$C:$C,'community caseload'!$B$22,'caseload data'!$B:$B,{"licence","community"}))</f>
        <v>0</v>
      </c>
      <c r="J27" s="107">
        <f>SUM(SUMIFS('caseload data'!L:L,'caseload data'!$D:$D,"SPO",'caseload data'!$C:$C,'community caseload'!$B$22,'caseload data'!$B:$B,{"licence","community"}))</f>
        <v>0</v>
      </c>
      <c r="K27" s="107">
        <f>SUM(SUMIFS('caseload data'!M:M,'caseload data'!$D:$D,"SPO",'caseload data'!$C:$C,'community caseload'!$B$22,'caseload data'!$B:$B,{"licence","community"}))</f>
        <v>0</v>
      </c>
      <c r="L27" s="107">
        <f>SUM(SUMIFS('caseload data'!N:N,'caseload data'!$D:$D,"SPO",'caseload data'!$C:$C,'community caseload'!$B$22,'caseload data'!$B:$B,{"licence","community"}))</f>
        <v>0</v>
      </c>
      <c r="M27" s="107">
        <f>SUM(SUMIFS('caseload data'!O:O,'caseload data'!$D:$D,"SPO",'caseload data'!$C:$C,'community caseload'!$B$22,'caseload data'!$B:$B,{"licence","community"}))</f>
        <v>0</v>
      </c>
      <c r="N27" s="107">
        <f>SUM(SUMIFS('caseload data'!P:P,'caseload data'!$D:$D,"SPO",'caseload data'!$C:$C,'community caseload'!$B$22,'caseload data'!$B:$B,{"licence","community"}))</f>
        <v>0</v>
      </c>
      <c r="O27" s="107">
        <f>SUM(SUMIFS('caseload data'!Q:Q,'caseload data'!$D:$D,"SPO",'caseload data'!$C:$C,'community caseload'!$B$22,'caseload data'!$B:$B,{"licence","community"}))</f>
        <v>0</v>
      </c>
      <c r="P27" s="107">
        <f>SUM(SUMIFS('caseload data'!R:R,'caseload data'!$D:$D,"SPO",'caseload data'!$C:$C,'community caseload'!$B$22,'caseload data'!$B:$B,{"licence","community"}))</f>
        <v>0</v>
      </c>
      <c r="Q27" s="107">
        <f>SUM(SUMIFS('caseload data'!S:S,'caseload data'!$D:$D,"SPO",'caseload data'!$C:$C,'community caseload'!$B$22,'caseload data'!$B:$B,{"licence","community"}))</f>
        <v>0</v>
      </c>
      <c r="R27" s="107">
        <f>SUM(SUMIFS('caseload data'!T:T,'caseload data'!$D:$D,"SPO",'caseload data'!$C:$C,'community caseload'!$B$22,'caseload data'!$B:$B,{"licence","community"}))</f>
        <v>0</v>
      </c>
      <c r="S27" s="76"/>
      <c r="T27" s="111" t="s">
        <v>1040</v>
      </c>
      <c r="U27" s="107">
        <f>SUM(SUMIFS('caseload data'!E:E,'caseload data'!$D:$D,"SPO",'caseload data'!$C:$C,'community caseload'!$T$22,'caseload data'!$B:$B,{"licence","community"}))</f>
        <v>0</v>
      </c>
      <c r="V27" s="107">
        <f>SUM(SUMIFS('caseload data'!F:F,'caseload data'!$D:$D,"SPO",'caseload data'!$C:$C,'community caseload'!$T$22,'caseload data'!$B:$B,{"licence","community"}))</f>
        <v>0</v>
      </c>
      <c r="W27" s="107">
        <f>SUM(SUMIFS('caseload data'!G:G,'caseload data'!$D:$D,"SPO",'caseload data'!$C:$C,'community caseload'!$T$22,'caseload data'!$B:$B,{"licence","community"}))</f>
        <v>0</v>
      </c>
      <c r="X27" s="107">
        <f>SUM(SUMIFS('caseload data'!H:H,'caseload data'!$D:$D,"SPO",'caseload data'!$C:$C,'community caseload'!$T$22,'caseload data'!$B:$B,{"licence","community"}))</f>
        <v>0</v>
      </c>
      <c r="Y27" s="107">
        <f>SUM(SUMIFS('caseload data'!I:I,'caseload data'!$D:$D,"SPO",'caseload data'!$C:$C,'community caseload'!$T$22,'caseload data'!$B:$B,{"licence","community"}))</f>
        <v>0</v>
      </c>
      <c r="Z27" s="107">
        <f>SUM(SUMIFS('caseload data'!J:J,'caseload data'!$D:$D,"SPO",'caseload data'!$C:$C,'community caseload'!$T$22,'caseload data'!$B:$B,{"licence","community"}))</f>
        <v>0</v>
      </c>
      <c r="AA27" s="107">
        <f>SUM(SUMIFS('caseload data'!K:K,'caseload data'!$D:$D,"SPO",'caseload data'!$C:$C,'community caseload'!$T$22,'caseload data'!$B:$B,{"licence","community"}))</f>
        <v>0</v>
      </c>
      <c r="AB27" s="107">
        <f>SUM(SUMIFS('caseload data'!L:L,'caseload data'!$D:$D,"SPO",'caseload data'!$C:$C,'community caseload'!$T$22,'caseload data'!$B:$B,{"licence","community"}))</f>
        <v>0</v>
      </c>
      <c r="AC27" s="107">
        <f>SUM(SUMIFS('caseload data'!M:M,'caseload data'!$D:$D,"SPO",'caseload data'!$C:$C,'community caseload'!$T$22,'caseload data'!$B:$B,{"licence","community"}))</f>
        <v>0</v>
      </c>
      <c r="AD27" s="107">
        <f>SUM(SUMIFS('caseload data'!N:N,'caseload data'!$D:$D,"SPO",'caseload data'!$C:$C,'community caseload'!$T$22,'caseload data'!$B:$B,{"licence","community"}))</f>
        <v>0</v>
      </c>
      <c r="AE27" s="107">
        <f>SUM(SUMIFS('caseload data'!O:O,'caseload data'!$D:$D,"SPO",'caseload data'!$C:$C,'community caseload'!$T$22,'caseload data'!$B:$B,{"licence","community"}))</f>
        <v>0</v>
      </c>
      <c r="AF27" s="107">
        <f>SUM(SUMIFS('caseload data'!P:P,'caseload data'!$D:$D,"SPO",'caseload data'!$C:$C,'community caseload'!$T$22,'caseload data'!$B:$B,{"licence","community"}))</f>
        <v>0</v>
      </c>
      <c r="AG27" s="107">
        <f>SUM(SUMIFS('caseload data'!Q:Q,'caseload data'!$D:$D,"SPO",'caseload data'!$C:$C,'community caseload'!$T$22,'caseload data'!$B:$B,{"licence","community"}))</f>
        <v>0</v>
      </c>
      <c r="AH27" s="107">
        <f>SUM(SUMIFS('caseload data'!R:R,'caseload data'!$D:$D,"SPO",'caseload data'!$C:$C,'community caseload'!$T$22,'caseload data'!$B:$B,{"licence","community"}))</f>
        <v>0</v>
      </c>
      <c r="AI27" s="107">
        <f>SUM(SUMIFS('caseload data'!S:S,'caseload data'!$D:$D,"SPO",'caseload data'!$C:$C,'community caseload'!$T$22,'caseload data'!$B:$B,{"licence","community"}))</f>
        <v>0</v>
      </c>
      <c r="AJ27" s="107">
        <f>SUM(SUMIFS('caseload data'!T:T,'caseload data'!$D:$D,"SPO",'caseload data'!$C:$C,'community caseload'!$T$22,'caseload data'!$B:$B,{"licence","community"}))</f>
        <v>0</v>
      </c>
    </row>
    <row r="28" spans="2:36" x14ac:dyDescent="0.15">
      <c r="B28" s="104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04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</row>
    <row r="29" spans="2:36" ht="48" customHeight="1" x14ac:dyDescent="0.15">
      <c r="B29" s="162" t="str">
        <f>HLOOKUP($B$5,Region_Table,8,0)</f>
        <v>Oxfordshire</v>
      </c>
      <c r="C29" s="333" t="s">
        <v>1266</v>
      </c>
      <c r="D29" s="334"/>
      <c r="E29" s="334"/>
      <c r="F29" s="334"/>
      <c r="G29" s="334"/>
      <c r="H29" s="334"/>
      <c r="I29" s="334"/>
      <c r="J29" s="334"/>
      <c r="K29" s="334"/>
      <c r="L29" s="334"/>
      <c r="M29" s="343"/>
      <c r="N29" s="343"/>
      <c r="O29" s="344"/>
      <c r="P29" s="337" cm="1">
        <f t="array" ref="P29">SUM(SUMIFS('caseload data'!V:V,'caseload data'!B:B,{"licence","community"},'caseload data'!$C:$C,'community caseload'!B29))</f>
        <v>0</v>
      </c>
      <c r="Q29" s="345"/>
      <c r="R29" s="346"/>
      <c r="S29" s="76"/>
      <c r="T29" s="162" t="str">
        <f>HLOOKUP($B$5,Region_Table,9,0)</f>
        <v>Performance And Quality</v>
      </c>
      <c r="U29" s="333" t="s">
        <v>1266</v>
      </c>
      <c r="V29" s="334"/>
      <c r="W29" s="334"/>
      <c r="X29" s="334"/>
      <c r="Y29" s="334"/>
      <c r="Z29" s="334"/>
      <c r="AA29" s="334"/>
      <c r="AB29" s="334"/>
      <c r="AC29" s="334"/>
      <c r="AD29" s="334"/>
      <c r="AE29" s="343"/>
      <c r="AF29" s="343"/>
      <c r="AG29" s="344"/>
      <c r="AH29" s="337" cm="1">
        <f t="array" ref="AH29">SUM(SUMIFS('caseload data'!V:V,'caseload data'!B:B,{"licence","community"},'caseload data'!$C:$C,'community caseload'!T29))</f>
        <v>0</v>
      </c>
      <c r="AI29" s="345"/>
      <c r="AJ29" s="346"/>
    </row>
    <row r="30" spans="2:36" x14ac:dyDescent="0.15">
      <c r="B30" s="108" t="s">
        <v>1199</v>
      </c>
      <c r="C30" s="42" t="s">
        <v>1019</v>
      </c>
      <c r="D30" s="42" t="s">
        <v>1020</v>
      </c>
      <c r="E30" s="42" t="s">
        <v>1021</v>
      </c>
      <c r="F30" s="42" t="s">
        <v>1022</v>
      </c>
      <c r="G30" s="42" t="s">
        <v>1023</v>
      </c>
      <c r="H30" s="42" t="s">
        <v>1024</v>
      </c>
      <c r="I30" s="42" t="s">
        <v>1025</v>
      </c>
      <c r="J30" s="42" t="s">
        <v>1026</v>
      </c>
      <c r="K30" s="42" t="s">
        <v>1027</v>
      </c>
      <c r="L30" s="42" t="s">
        <v>1028</v>
      </c>
      <c r="M30" s="42" t="s">
        <v>1029</v>
      </c>
      <c r="N30" s="42" t="s">
        <v>1030</v>
      </c>
      <c r="O30" s="42" t="s">
        <v>1031</v>
      </c>
      <c r="P30" s="42" t="s">
        <v>1032</v>
      </c>
      <c r="Q30" s="42" t="s">
        <v>1033</v>
      </c>
      <c r="R30" s="42" t="s">
        <v>1034</v>
      </c>
      <c r="S30" s="76"/>
      <c r="T30" s="108" t="s">
        <v>1199</v>
      </c>
      <c r="U30" s="42" t="s">
        <v>1019</v>
      </c>
      <c r="V30" s="42" t="s">
        <v>1020</v>
      </c>
      <c r="W30" s="42" t="s">
        <v>1021</v>
      </c>
      <c r="X30" s="42" t="s">
        <v>1022</v>
      </c>
      <c r="Y30" s="42" t="s">
        <v>1023</v>
      </c>
      <c r="Z30" s="42" t="s">
        <v>1024</v>
      </c>
      <c r="AA30" s="42" t="s">
        <v>1025</v>
      </c>
      <c r="AB30" s="42" t="s">
        <v>1026</v>
      </c>
      <c r="AC30" s="42" t="s">
        <v>1027</v>
      </c>
      <c r="AD30" s="42" t="s">
        <v>1028</v>
      </c>
      <c r="AE30" s="42" t="s">
        <v>1029</v>
      </c>
      <c r="AF30" s="42" t="s">
        <v>1030</v>
      </c>
      <c r="AG30" s="42" t="s">
        <v>1031</v>
      </c>
      <c r="AH30" s="42" t="s">
        <v>1032</v>
      </c>
      <c r="AI30" s="42" t="s">
        <v>1033</v>
      </c>
      <c r="AJ30" s="42" t="s">
        <v>1034</v>
      </c>
    </row>
    <row r="31" spans="2:36" x14ac:dyDescent="0.15">
      <c r="B31" s="109" t="s">
        <v>1037</v>
      </c>
      <c r="C31" s="107">
        <f>SUM(SUMIFS('caseload data'!E:E,'caseload data'!$D:$D,"PO",'caseload data'!$C:$C,'community caseload'!$B$29,'caseload data'!$B:$B,{"licence","community"}))</f>
        <v>0</v>
      </c>
      <c r="D31" s="107">
        <f>SUM(SUMIFS('caseload data'!F:F,'caseload data'!$D:$D,"PO",'caseload data'!$C:$C,'community caseload'!$B$29,'caseload data'!$B:$B,{"licence","community"}))</f>
        <v>0</v>
      </c>
      <c r="E31" s="107">
        <f>SUM(SUMIFS('caseload data'!G:G,'caseload data'!$D:$D,"PO",'caseload data'!$C:$C,'community caseload'!$B$29,'caseload data'!$B:$B,{"licence","community"}))</f>
        <v>0</v>
      </c>
      <c r="F31" s="107">
        <f>SUM(SUMIFS('caseload data'!H:H,'caseload data'!$D:$D,"PO",'caseload data'!$C:$C,'community caseload'!$B$29,'caseload data'!$B:$B,{"licence","community"}))</f>
        <v>0</v>
      </c>
      <c r="G31" s="107">
        <f>SUM(SUMIFS('caseload data'!I:I,'caseload data'!$D:$D,"PO",'caseload data'!$C:$C,'community caseload'!$B$29,'caseload data'!$B:$B,{"licence","community"}))</f>
        <v>0</v>
      </c>
      <c r="H31" s="107">
        <f>SUM(SUMIFS('caseload data'!J:J,'caseload data'!$D:$D,"PO",'caseload data'!$C:$C,'community caseload'!$B$29,'caseload data'!$B:$B,{"licence","community"}))</f>
        <v>0</v>
      </c>
      <c r="I31" s="107">
        <f>SUM(SUMIFS('caseload data'!K:K,'caseload data'!$D:$D,"PO",'caseload data'!$C:$C,'community caseload'!$B$29,'caseload data'!$B:$B,{"licence","community"}))</f>
        <v>0</v>
      </c>
      <c r="J31" s="107">
        <f>SUM(SUMIFS('caseload data'!L:L,'caseload data'!$D:$D,"PO",'caseload data'!$C:$C,'community caseload'!$B$29,'caseload data'!$B:$B,{"licence","community"}))</f>
        <v>0</v>
      </c>
      <c r="K31" s="107">
        <f>SUM(SUMIFS('caseload data'!M:M,'caseload data'!$D:$D,"PO",'caseload data'!$C:$C,'community caseload'!$B$29,'caseload data'!$B:$B,{"licence","community"}))</f>
        <v>0</v>
      </c>
      <c r="L31" s="107">
        <f>SUM(SUMIFS('caseload data'!N:N,'caseload data'!$D:$D,"PO",'caseload data'!$C:$C,'community caseload'!$B$29,'caseload data'!$B:$B,{"licence","community"}))</f>
        <v>0</v>
      </c>
      <c r="M31" s="107">
        <f>SUM(SUMIFS('caseload data'!O:O,'caseload data'!$D:$D,"PO",'caseload data'!$C:$C,'community caseload'!$B$29,'caseload data'!$B:$B,{"licence","community"}))</f>
        <v>0</v>
      </c>
      <c r="N31" s="107">
        <f>SUM(SUMIFS('caseload data'!P:P,'caseload data'!$D:$D,"PO",'caseload data'!$C:$C,'community caseload'!$B$29,'caseload data'!$B:$B,{"licence","community"}))</f>
        <v>0</v>
      </c>
      <c r="O31" s="107">
        <f>SUM(SUMIFS('caseload data'!Q:Q,'caseload data'!$D:$D,"PO",'caseload data'!$C:$C,'community caseload'!$B$29,'caseload data'!$B:$B,{"licence","community"}))</f>
        <v>0</v>
      </c>
      <c r="P31" s="107">
        <f>SUM(SUMIFS('caseload data'!R:R,'caseload data'!$D:$D,"PO",'caseload data'!$C:$C,'community caseload'!$B$29,'caseload data'!$B:$B,{"licence","community"}))</f>
        <v>0</v>
      </c>
      <c r="Q31" s="107">
        <f>SUM(SUMIFS('caseload data'!S:S,'caseload data'!$D:$D,"PO",'caseload data'!$C:$C,'community caseload'!$B$29,'caseload data'!$B:$B,{"licence","community"}))</f>
        <v>0</v>
      </c>
      <c r="R31" s="107">
        <f>SUM(SUMIFS('caseload data'!T:T,'caseload data'!$D:$D,"PO",'caseload data'!$C:$C,'community caseload'!$B$29,'caseload data'!$B:$B,{"licence","community"}))</f>
        <v>0</v>
      </c>
      <c r="S31" s="76"/>
      <c r="T31" s="109" t="s">
        <v>1037</v>
      </c>
      <c r="U31" s="107">
        <f>SUM(SUMIFS('caseload data'!E:E,'caseload data'!$D:$D,"PO",'caseload data'!$C:$C,'community caseload'!$T$29,'caseload data'!$B:$B,{"licence","community"}))</f>
        <v>0</v>
      </c>
      <c r="V31" s="107">
        <f>SUM(SUMIFS('caseload data'!F:F,'caseload data'!$D:$D,"PO",'caseload data'!$C:$C,'community caseload'!$T$29,'caseload data'!$B:$B,{"licence","community"}))</f>
        <v>0</v>
      </c>
      <c r="W31" s="107">
        <f>SUM(SUMIFS('caseload data'!G:G,'caseload data'!$D:$D,"PO",'caseload data'!$C:$C,'community caseload'!$T$29,'caseload data'!$B:$B,{"licence","community"}))</f>
        <v>0</v>
      </c>
      <c r="X31" s="107">
        <f>SUM(SUMIFS('caseload data'!H:H,'caseload data'!$D:$D,"PO",'caseload data'!$C:$C,'community caseload'!$T$29,'caseload data'!$B:$B,{"licence","community"}))</f>
        <v>0</v>
      </c>
      <c r="Y31" s="107">
        <f>SUM(SUMIFS('caseload data'!I:I,'caseload data'!$D:$D,"PO",'caseload data'!$C:$C,'community caseload'!$T$29,'caseload data'!$B:$B,{"licence","community"}))</f>
        <v>0</v>
      </c>
      <c r="Z31" s="107">
        <f>SUM(SUMIFS('caseload data'!J:J,'caseload data'!$D:$D,"PO",'caseload data'!$C:$C,'community caseload'!$T$29,'caseload data'!$B:$B,{"licence","community"}))</f>
        <v>0</v>
      </c>
      <c r="AA31" s="107">
        <f>SUM(SUMIFS('caseload data'!K:K,'caseload data'!$D:$D,"PO",'caseload data'!$C:$C,'community caseload'!$T$29,'caseload data'!$B:$B,{"licence","community"}))</f>
        <v>0</v>
      </c>
      <c r="AB31" s="107">
        <f>SUM(SUMIFS('caseload data'!L:L,'caseload data'!$D:$D,"PO",'caseload data'!$C:$C,'community caseload'!$T$29,'caseload data'!$B:$B,{"licence","community"}))</f>
        <v>0</v>
      </c>
      <c r="AC31" s="107">
        <f>SUM(SUMIFS('caseload data'!M:M,'caseload data'!$D:$D,"PO",'caseload data'!$C:$C,'community caseload'!$T$29,'caseload data'!$B:$B,{"licence","community"}))</f>
        <v>0</v>
      </c>
      <c r="AD31" s="107">
        <f>SUM(SUMIFS('caseload data'!N:N,'caseload data'!$D:$D,"PO",'caseload data'!$C:$C,'community caseload'!$T$29,'caseload data'!$B:$B,{"licence","community"}))</f>
        <v>0</v>
      </c>
      <c r="AE31" s="107">
        <f>SUM(SUMIFS('caseload data'!O:O,'caseload data'!$D:$D,"PO",'caseload data'!$C:$C,'community caseload'!$T$29,'caseload data'!$B:$B,{"licence","community"}))</f>
        <v>0</v>
      </c>
      <c r="AF31" s="107">
        <f>SUM(SUMIFS('caseload data'!P:P,'caseload data'!$D:$D,"PO",'caseload data'!$C:$C,'community caseload'!$T$29,'caseload data'!$B:$B,{"licence","community"}))</f>
        <v>0</v>
      </c>
      <c r="AG31" s="107">
        <f>SUM(SUMIFS('caseload data'!Q:Q,'caseload data'!$D:$D,"PO",'caseload data'!$C:$C,'community caseload'!$T$29,'caseload data'!$B:$B,{"licence","community"}))</f>
        <v>0</v>
      </c>
      <c r="AH31" s="107">
        <f>SUM(SUMIFS('caseload data'!R:R,'caseload data'!$D:$D,"PO",'caseload data'!$C:$C,'community caseload'!$T$29,'caseload data'!$B:$B,{"licence","community"}))</f>
        <v>0</v>
      </c>
      <c r="AI31" s="107">
        <f>SUM(SUMIFS('caseload data'!S:S,'caseload data'!$D:$D,"PO",'caseload data'!$C:$C,'community caseload'!$T$29,'caseload data'!$B:$B,{"licence","community"}))</f>
        <v>0</v>
      </c>
      <c r="AJ31" s="107">
        <f>SUM(SUMIFS('caseload data'!T:T,'caseload data'!$D:$D,"PO",'caseload data'!$C:$C,'community caseload'!$T$29,'caseload data'!$B:$B,{"licence","community"}))</f>
        <v>0</v>
      </c>
    </row>
    <row r="32" spans="2:36" x14ac:dyDescent="0.15">
      <c r="B32" s="110" t="s">
        <v>1038</v>
      </c>
      <c r="C32" s="107">
        <f>SUM(SUMIFS('caseload data'!E:E,'caseload data'!$D:$D,"PSO",'caseload data'!$C:$C,'community caseload'!$B$29,'caseload data'!$B:$B,{"licence","community"}))</f>
        <v>0</v>
      </c>
      <c r="D32" s="107">
        <f>SUM(SUMIFS('caseload data'!F:F,'caseload data'!$D:$D,"PSO",'caseload data'!$C:$C,'community caseload'!$B$29,'caseload data'!$B:$B,{"licence","community"}))</f>
        <v>0</v>
      </c>
      <c r="E32" s="107">
        <f>SUM(SUMIFS('caseload data'!G:G,'caseload data'!$D:$D,"PSO",'caseload data'!$C:$C,'community caseload'!$B$29,'caseload data'!$B:$B,{"licence","community"}))</f>
        <v>0</v>
      </c>
      <c r="F32" s="107">
        <f>SUM(SUMIFS('caseload data'!H:H,'caseload data'!$D:$D,"PSO",'caseload data'!$C:$C,'community caseload'!$B$29,'caseload data'!$B:$B,{"licence","community"}))</f>
        <v>0</v>
      </c>
      <c r="G32" s="107">
        <f>SUM(SUMIFS('caseload data'!I:I,'caseload data'!$D:$D,"PSO",'caseload data'!$C:$C,'community caseload'!$B$29,'caseload data'!$B:$B,{"licence","community"}))</f>
        <v>0</v>
      </c>
      <c r="H32" s="107">
        <f>SUM(SUMIFS('caseload data'!J:J,'caseload data'!$D:$D,"PSO",'caseload data'!$C:$C,'community caseload'!$B$29,'caseload data'!$B:$B,{"licence","community"}))</f>
        <v>0</v>
      </c>
      <c r="I32" s="107">
        <f>SUM(SUMIFS('caseload data'!K:K,'caseload data'!$D:$D,"PSO",'caseload data'!$C:$C,'community caseload'!$B$29,'caseload data'!$B:$B,{"licence","community"}))</f>
        <v>0</v>
      </c>
      <c r="J32" s="107">
        <f>SUM(SUMIFS('caseload data'!L:L,'caseload data'!$D:$D,"PSO",'caseload data'!$C:$C,'community caseload'!$B$29,'caseload data'!$B:$B,{"licence","community"}))</f>
        <v>0</v>
      </c>
      <c r="K32" s="107">
        <f>SUM(SUMIFS('caseload data'!M:M,'caseload data'!$D:$D,"PSO",'caseload data'!$C:$C,'community caseload'!$B$29,'caseload data'!$B:$B,{"licence","community"}))</f>
        <v>0</v>
      </c>
      <c r="L32" s="107">
        <f>SUM(SUMIFS('caseload data'!N:N,'caseload data'!$D:$D,"PSO",'caseload data'!$C:$C,'community caseload'!$B$29,'caseload data'!$B:$B,{"licence","community"}))</f>
        <v>0</v>
      </c>
      <c r="M32" s="107">
        <f>SUM(SUMIFS('caseload data'!O:O,'caseload data'!$D:$D,"PSO",'caseload data'!$C:$C,'community caseload'!$B$29,'caseload data'!$B:$B,{"licence","community"}))</f>
        <v>0</v>
      </c>
      <c r="N32" s="107">
        <f>SUM(SUMIFS('caseload data'!P:P,'caseload data'!$D:$D,"PSO",'caseload data'!$C:$C,'community caseload'!$B$29,'caseload data'!$B:$B,{"licence","community"}))</f>
        <v>0</v>
      </c>
      <c r="O32" s="107">
        <f>SUM(SUMIFS('caseload data'!Q:Q,'caseload data'!$D:$D,"PSO",'caseload data'!$C:$C,'community caseload'!$B$29,'caseload data'!$B:$B,{"licence","community"}))</f>
        <v>0</v>
      </c>
      <c r="P32" s="107">
        <f>SUM(SUMIFS('caseload data'!R:R,'caseload data'!$D:$D,"PSO",'caseload data'!$C:$C,'community caseload'!$B$29,'caseload data'!$B:$B,{"licence","community"}))</f>
        <v>0</v>
      </c>
      <c r="Q32" s="107">
        <f>SUM(SUMIFS('caseload data'!S:S,'caseload data'!$D:$D,"PSO",'caseload data'!$C:$C,'community caseload'!$B$29,'caseload data'!$B:$B,{"licence","community"}))</f>
        <v>0</v>
      </c>
      <c r="R32" s="107">
        <f>SUM(SUMIFS('caseload data'!T:T,'caseload data'!$D:$D,"PSO",'caseload data'!$C:$C,'community caseload'!$B$29,'caseload data'!$B:$B,{"licence","community"}))</f>
        <v>0</v>
      </c>
      <c r="S32" s="76"/>
      <c r="T32" s="110" t="s">
        <v>1038</v>
      </c>
      <c r="U32" s="107">
        <f>SUM(SUMIFS('caseload data'!E:E,'caseload data'!$D:$D,"PSO",'caseload data'!$C:$C,'community caseload'!$T$29,'caseload data'!$B:$B,{"licence","community"}))</f>
        <v>0</v>
      </c>
      <c r="V32" s="107">
        <f>SUM(SUMIFS('caseload data'!F:F,'caseload data'!$D:$D,"PSO",'caseload data'!$C:$C,'community caseload'!$T$29,'caseload data'!$B:$B,{"licence","community"}))</f>
        <v>0</v>
      </c>
      <c r="W32" s="107">
        <f>SUM(SUMIFS('caseload data'!G:G,'caseload data'!$D:$D,"PSO",'caseload data'!$C:$C,'community caseload'!$T$29,'caseload data'!$B:$B,{"licence","community"}))</f>
        <v>0</v>
      </c>
      <c r="X32" s="107">
        <f>SUM(SUMIFS('caseload data'!H:H,'caseload data'!$D:$D,"PSO",'caseload data'!$C:$C,'community caseload'!$T$29,'caseload data'!$B:$B,{"licence","community"}))</f>
        <v>0</v>
      </c>
      <c r="Y32" s="107">
        <f>SUM(SUMIFS('caseload data'!I:I,'caseload data'!$D:$D,"PSO",'caseload data'!$C:$C,'community caseload'!$T$29,'caseload data'!$B:$B,{"licence","community"}))</f>
        <v>0</v>
      </c>
      <c r="Z32" s="107">
        <f>SUM(SUMIFS('caseload data'!J:J,'caseload data'!$D:$D,"PSO",'caseload data'!$C:$C,'community caseload'!$T$29,'caseload data'!$B:$B,{"licence","community"}))</f>
        <v>0</v>
      </c>
      <c r="AA32" s="107">
        <f>SUM(SUMIFS('caseload data'!K:K,'caseload data'!$D:$D,"PSO",'caseload data'!$C:$C,'community caseload'!$T$29,'caseload data'!$B:$B,{"licence","community"}))</f>
        <v>0</v>
      </c>
      <c r="AB32" s="107">
        <f>SUM(SUMIFS('caseload data'!L:L,'caseload data'!$D:$D,"PSO",'caseload data'!$C:$C,'community caseload'!$T$29,'caseload data'!$B:$B,{"licence","community"}))</f>
        <v>0</v>
      </c>
      <c r="AC32" s="107">
        <f>SUM(SUMIFS('caseload data'!M:M,'caseload data'!$D:$D,"PSO",'caseload data'!$C:$C,'community caseload'!$T$29,'caseload data'!$B:$B,{"licence","community"}))</f>
        <v>0</v>
      </c>
      <c r="AD32" s="107">
        <f>SUM(SUMIFS('caseload data'!N:N,'caseload data'!$D:$D,"PSO",'caseload data'!$C:$C,'community caseload'!$T$29,'caseload data'!$B:$B,{"licence","community"}))</f>
        <v>0</v>
      </c>
      <c r="AE32" s="107">
        <f>SUM(SUMIFS('caseload data'!O:O,'caseload data'!$D:$D,"PSO",'caseload data'!$C:$C,'community caseload'!$T$29,'caseload data'!$B:$B,{"licence","community"}))</f>
        <v>0</v>
      </c>
      <c r="AF32" s="107">
        <f>SUM(SUMIFS('caseload data'!P:P,'caseload data'!$D:$D,"PSO",'caseload data'!$C:$C,'community caseload'!$T$29,'caseload data'!$B:$B,{"licence","community"}))</f>
        <v>0</v>
      </c>
      <c r="AG32" s="107">
        <f>SUM(SUMIFS('caseload data'!Q:Q,'caseload data'!$D:$D,"PSO",'caseload data'!$C:$C,'community caseload'!$T$29,'caseload data'!$B:$B,{"licence","community"}))</f>
        <v>0</v>
      </c>
      <c r="AH32" s="107">
        <f>SUM(SUMIFS('caseload data'!R:R,'caseload data'!$D:$D,"PSO",'caseload data'!$C:$C,'community caseload'!$T$29,'caseload data'!$B:$B,{"licence","community"}))</f>
        <v>0</v>
      </c>
      <c r="AI32" s="107">
        <f>SUM(SUMIFS('caseload data'!S:S,'caseload data'!$D:$D,"PSO",'caseload data'!$C:$C,'community caseload'!$T$29,'caseload data'!$B:$B,{"licence","community"}))</f>
        <v>0</v>
      </c>
      <c r="AJ32" s="107">
        <f>SUM(SUMIFS('caseload data'!T:T,'caseload data'!$D:$D,"PSO",'caseload data'!$C:$C,'community caseload'!$T$29,'caseload data'!$B:$B,{"licence","community"}))</f>
        <v>0</v>
      </c>
    </row>
    <row r="33" spans="2:36" x14ac:dyDescent="0.15">
      <c r="B33" s="110" t="s">
        <v>1039</v>
      </c>
      <c r="C33" s="107">
        <f>SUM(SUMIFS('caseload data'!E:E,'caseload data'!$D:$D,"TPO",'caseload data'!$C:$C,'community caseload'!$B$29,'caseload data'!$B:$B,{"licence","community"}))</f>
        <v>0</v>
      </c>
      <c r="D33" s="107">
        <f>SUM(SUMIFS('caseload data'!F:F,'caseload data'!$D:$D,"TPO",'caseload data'!$C:$C,'community caseload'!$B$29,'caseload data'!$B:$B,{"licence","community"}))</f>
        <v>0</v>
      </c>
      <c r="E33" s="107">
        <f>SUM(SUMIFS('caseload data'!G:G,'caseload data'!$D:$D,"TPO",'caseload data'!$C:$C,'community caseload'!$B$29,'caseload data'!$B:$B,{"licence","community"}))</f>
        <v>0</v>
      </c>
      <c r="F33" s="107">
        <f>SUM(SUMIFS('caseload data'!H:H,'caseload data'!$D:$D,"TPO",'caseload data'!$C:$C,'community caseload'!$B$29,'caseload data'!$B:$B,{"licence","community"}))</f>
        <v>0</v>
      </c>
      <c r="G33" s="107">
        <f>SUM(SUMIFS('caseload data'!I:I,'caseload data'!$D:$D,"TPO",'caseload data'!$C:$C,'community caseload'!$B$29,'caseload data'!$B:$B,{"licence","community"}))</f>
        <v>0</v>
      </c>
      <c r="H33" s="107">
        <f>SUM(SUMIFS('caseload data'!J:J,'caseload data'!$D:$D,"TPO",'caseload data'!$C:$C,'community caseload'!$B$29,'caseload data'!$B:$B,{"licence","community"}))</f>
        <v>0</v>
      </c>
      <c r="I33" s="107">
        <f>SUM(SUMIFS('caseload data'!K:K,'caseload data'!$D:$D,"TPO",'caseload data'!$C:$C,'community caseload'!$B$29,'caseload data'!$B:$B,{"licence","community"}))</f>
        <v>0</v>
      </c>
      <c r="J33" s="107">
        <f>SUM(SUMIFS('caseload data'!L:L,'caseload data'!$D:$D,"TPO",'caseload data'!$C:$C,'community caseload'!$B$29,'caseload data'!$B:$B,{"licence","community"}))</f>
        <v>0</v>
      </c>
      <c r="K33" s="107">
        <f>SUM(SUMIFS('caseload data'!M:M,'caseload data'!$D:$D,"TPO",'caseload data'!$C:$C,'community caseload'!$B$29,'caseload data'!$B:$B,{"licence","community"}))</f>
        <v>0</v>
      </c>
      <c r="L33" s="107">
        <f>SUM(SUMIFS('caseload data'!N:N,'caseload data'!$D:$D,"TPO",'caseload data'!$C:$C,'community caseload'!$B$29,'caseload data'!$B:$B,{"licence","community"}))</f>
        <v>0</v>
      </c>
      <c r="M33" s="107">
        <f>SUM(SUMIFS('caseload data'!O:O,'caseload data'!$D:$D,"TPO",'caseload data'!$C:$C,'community caseload'!$B$29,'caseload data'!$B:$B,{"licence","community"}))</f>
        <v>0</v>
      </c>
      <c r="N33" s="107">
        <f>SUM(SUMIFS('caseload data'!P:P,'caseload data'!$D:$D,"TPO",'caseload data'!$C:$C,'community caseload'!$B$29,'caseload data'!$B:$B,{"licence","community"}))</f>
        <v>0</v>
      </c>
      <c r="O33" s="107">
        <f>SUM(SUMIFS('caseload data'!Q:Q,'caseload data'!$D:$D,"TPO",'caseload data'!$C:$C,'community caseload'!$B$29,'caseload data'!$B:$B,{"licence","community"}))</f>
        <v>0</v>
      </c>
      <c r="P33" s="107">
        <f>SUM(SUMIFS('caseload data'!R:R,'caseload data'!$D:$D,"TPO",'caseload data'!$C:$C,'community caseload'!$B$29,'caseload data'!$B:$B,{"licence","community"}))</f>
        <v>0</v>
      </c>
      <c r="Q33" s="107">
        <f>SUM(SUMIFS('caseload data'!S:S,'caseload data'!$D:$D,"TPO",'caseload data'!$C:$C,'community caseload'!$B$29,'caseload data'!$B:$B,{"licence","community"}))</f>
        <v>0</v>
      </c>
      <c r="R33" s="107">
        <f>SUM(SUMIFS('caseload data'!T:T,'caseload data'!$D:$D,"TPO",'caseload data'!$C:$C,'community caseload'!$B$29,'caseload data'!$B:$B,{"licence","community"}))</f>
        <v>0</v>
      </c>
      <c r="S33" s="76"/>
      <c r="T33" s="110" t="s">
        <v>1039</v>
      </c>
      <c r="U33" s="107">
        <f>SUM(SUMIFS('caseload data'!E:E,'caseload data'!$D:$D,"TPO",'caseload data'!$C:$C,'community caseload'!$T$29,'caseload data'!$B:$B,{"licence","community"}))</f>
        <v>0</v>
      </c>
      <c r="V33" s="107">
        <f>SUM(SUMIFS('caseload data'!F:F,'caseload data'!$D:$D,"TPO",'caseload data'!$C:$C,'community caseload'!$T$29,'caseload data'!$B:$B,{"licence","community"}))</f>
        <v>0</v>
      </c>
      <c r="W33" s="107">
        <f>SUM(SUMIFS('caseload data'!G:G,'caseload data'!$D:$D,"TPO",'caseload data'!$C:$C,'community caseload'!$T$29,'caseload data'!$B:$B,{"licence","community"}))</f>
        <v>0</v>
      </c>
      <c r="X33" s="107">
        <f>SUM(SUMIFS('caseload data'!H:H,'caseload data'!$D:$D,"TPO",'caseload data'!$C:$C,'community caseload'!$T$29,'caseload data'!$B:$B,{"licence","community"}))</f>
        <v>0</v>
      </c>
      <c r="Y33" s="107">
        <f>SUM(SUMIFS('caseload data'!I:I,'caseload data'!$D:$D,"TPO",'caseload data'!$C:$C,'community caseload'!$T$29,'caseload data'!$B:$B,{"licence","community"}))</f>
        <v>0</v>
      </c>
      <c r="Z33" s="107">
        <f>SUM(SUMIFS('caseload data'!J:J,'caseload data'!$D:$D,"TPO",'caseload data'!$C:$C,'community caseload'!$T$29,'caseload data'!$B:$B,{"licence","community"}))</f>
        <v>0</v>
      </c>
      <c r="AA33" s="107">
        <f>SUM(SUMIFS('caseload data'!K:K,'caseload data'!$D:$D,"TPO",'caseload data'!$C:$C,'community caseload'!$T$29,'caseload data'!$B:$B,{"licence","community"}))</f>
        <v>0</v>
      </c>
      <c r="AB33" s="107">
        <f>SUM(SUMIFS('caseload data'!L:L,'caseload data'!$D:$D,"TPO",'caseload data'!$C:$C,'community caseload'!$T$29,'caseload data'!$B:$B,{"licence","community"}))</f>
        <v>0</v>
      </c>
      <c r="AC33" s="107">
        <f>SUM(SUMIFS('caseload data'!M:M,'caseload data'!$D:$D,"TPO",'caseload data'!$C:$C,'community caseload'!$T$29,'caseload data'!$B:$B,{"licence","community"}))</f>
        <v>0</v>
      </c>
      <c r="AD33" s="107">
        <f>SUM(SUMIFS('caseload data'!N:N,'caseload data'!$D:$D,"TPO",'caseload data'!$C:$C,'community caseload'!$T$29,'caseload data'!$B:$B,{"licence","community"}))</f>
        <v>0</v>
      </c>
      <c r="AE33" s="107">
        <f>SUM(SUMIFS('caseload data'!O:O,'caseload data'!$D:$D,"TPO",'caseload data'!$C:$C,'community caseload'!$T$29,'caseload data'!$B:$B,{"licence","community"}))</f>
        <v>0</v>
      </c>
      <c r="AF33" s="107">
        <f>SUM(SUMIFS('caseload data'!P:P,'caseload data'!$D:$D,"TPO",'caseload data'!$C:$C,'community caseload'!$T$29,'caseload data'!$B:$B,{"licence","community"}))</f>
        <v>0</v>
      </c>
      <c r="AG33" s="107">
        <f>SUM(SUMIFS('caseload data'!Q:Q,'caseload data'!$D:$D,"TPO",'caseload data'!$C:$C,'community caseload'!$T$29,'caseload data'!$B:$B,{"licence","community"}))</f>
        <v>0</v>
      </c>
      <c r="AH33" s="107">
        <f>SUM(SUMIFS('caseload data'!R:R,'caseload data'!$D:$D,"TPO",'caseload data'!$C:$C,'community caseload'!$T$29,'caseload data'!$B:$B,{"licence","community"}))</f>
        <v>0</v>
      </c>
      <c r="AI33" s="107">
        <f>SUM(SUMIFS('caseload data'!S:S,'caseload data'!$D:$D,"TPO",'caseload data'!$C:$C,'community caseload'!$T$29,'caseload data'!$B:$B,{"licence","community"}))</f>
        <v>0</v>
      </c>
      <c r="AJ33" s="107">
        <f>SUM(SUMIFS('caseload data'!T:T,'caseload data'!$D:$D,"TPO",'caseload data'!$C:$C,'community caseload'!$T$29,'caseload data'!$B:$B,{"licence","community"}))</f>
        <v>0</v>
      </c>
    </row>
    <row r="34" spans="2:36" x14ac:dyDescent="0.15">
      <c r="B34" s="111" t="s">
        <v>1040</v>
      </c>
      <c r="C34" s="107">
        <f>SUM(SUMIFS('caseload data'!E:E,'caseload data'!$D:$D,"SPO",'caseload data'!$C:$C,'community caseload'!$B$29,'caseload data'!$B:$B,{"licence","community"}))</f>
        <v>0</v>
      </c>
      <c r="D34" s="107">
        <f>SUM(SUMIFS('caseload data'!F:F,'caseload data'!$D:$D,"SPO",'caseload data'!$C:$C,'community caseload'!$B$29,'caseload data'!$B:$B,{"licence","community"}))</f>
        <v>0</v>
      </c>
      <c r="E34" s="107">
        <f>SUM(SUMIFS('caseload data'!G:G,'caseload data'!$D:$D,"SPO",'caseload data'!$C:$C,'community caseload'!$B$29,'caseload data'!$B:$B,{"licence","community"}))</f>
        <v>0</v>
      </c>
      <c r="F34" s="107">
        <f>SUM(SUMIFS('caseload data'!H:H,'caseload data'!$D:$D,"SPO",'caseload data'!$C:$C,'community caseload'!$B$29,'caseload data'!$B:$B,{"licence","community"}))</f>
        <v>0</v>
      </c>
      <c r="G34" s="107">
        <f>SUM(SUMIFS('caseload data'!I:I,'caseload data'!$D:$D,"SPO",'caseload data'!$C:$C,'community caseload'!$B$29,'caseload data'!$B:$B,{"licence","community"}))</f>
        <v>0</v>
      </c>
      <c r="H34" s="107">
        <f>SUM(SUMIFS('caseload data'!J:J,'caseload data'!$D:$D,"SPO",'caseload data'!$C:$C,'community caseload'!$B$29,'caseload data'!$B:$B,{"licence","community"}))</f>
        <v>0</v>
      </c>
      <c r="I34" s="107">
        <f>SUM(SUMIFS('caseload data'!K:K,'caseload data'!$D:$D,"SPO",'caseload data'!$C:$C,'community caseload'!$B$29,'caseload data'!$B:$B,{"licence","community"}))</f>
        <v>0</v>
      </c>
      <c r="J34" s="107">
        <f>SUM(SUMIFS('caseload data'!L:L,'caseload data'!$D:$D,"SPO",'caseload data'!$C:$C,'community caseload'!$B$29,'caseload data'!$B:$B,{"licence","community"}))</f>
        <v>0</v>
      </c>
      <c r="K34" s="107">
        <f>SUM(SUMIFS('caseload data'!M:M,'caseload data'!$D:$D,"SPO",'caseload data'!$C:$C,'community caseload'!$B$29,'caseload data'!$B:$B,{"licence","community"}))</f>
        <v>0</v>
      </c>
      <c r="L34" s="107">
        <f>SUM(SUMIFS('caseload data'!N:N,'caseload data'!$D:$D,"SPO",'caseload data'!$C:$C,'community caseload'!$B$29,'caseload data'!$B:$B,{"licence","community"}))</f>
        <v>0</v>
      </c>
      <c r="M34" s="107">
        <f>SUM(SUMIFS('caseload data'!O:O,'caseload data'!$D:$D,"SPO",'caseload data'!$C:$C,'community caseload'!$B$29,'caseload data'!$B:$B,{"licence","community"}))</f>
        <v>0</v>
      </c>
      <c r="N34" s="107">
        <f>SUM(SUMIFS('caseload data'!P:P,'caseload data'!$D:$D,"SPO",'caseload data'!$C:$C,'community caseload'!$B$29,'caseload data'!$B:$B,{"licence","community"}))</f>
        <v>0</v>
      </c>
      <c r="O34" s="107">
        <f>SUM(SUMIFS('caseload data'!Q:Q,'caseload data'!$D:$D,"SPO",'caseload data'!$C:$C,'community caseload'!$B$29,'caseload data'!$B:$B,{"licence","community"}))</f>
        <v>0</v>
      </c>
      <c r="P34" s="107">
        <f>SUM(SUMIFS('caseload data'!R:R,'caseload data'!$D:$D,"SPO",'caseload data'!$C:$C,'community caseload'!$B$29,'caseload data'!$B:$B,{"licence","community"}))</f>
        <v>0</v>
      </c>
      <c r="Q34" s="107">
        <f>SUM(SUMIFS('caseload data'!S:S,'caseload data'!$D:$D,"SPO",'caseload data'!$C:$C,'community caseload'!$B$29,'caseload data'!$B:$B,{"licence","community"}))</f>
        <v>0</v>
      </c>
      <c r="R34" s="107">
        <f>SUM(SUMIFS('caseload data'!T:T,'caseload data'!$D:$D,"SPO",'caseload data'!$C:$C,'community caseload'!$B$29,'caseload data'!$B:$B,{"licence","community"}))</f>
        <v>0</v>
      </c>
      <c r="S34" s="76"/>
      <c r="T34" s="111" t="s">
        <v>1040</v>
      </c>
      <c r="U34" s="107">
        <f>SUM(SUMIFS('caseload data'!E:E,'caseload data'!$D:$D,"SPO",'caseload data'!$C:$C,'community caseload'!$T$29,'caseload data'!$B:$B,{"licence","community"}))</f>
        <v>0</v>
      </c>
      <c r="V34" s="107">
        <f>SUM(SUMIFS('caseload data'!F:F,'caseload data'!$D:$D,"SPO",'caseload data'!$C:$C,'community caseload'!$T$29,'caseload data'!$B:$B,{"licence","community"}))</f>
        <v>0</v>
      </c>
      <c r="W34" s="107">
        <f>SUM(SUMIFS('caseload data'!G:G,'caseload data'!$D:$D,"SPO",'caseload data'!$C:$C,'community caseload'!$T$29,'caseload data'!$B:$B,{"licence","community"}))</f>
        <v>0</v>
      </c>
      <c r="X34" s="107">
        <f>SUM(SUMIFS('caseload data'!H:H,'caseload data'!$D:$D,"SPO",'caseload data'!$C:$C,'community caseload'!$T$29,'caseload data'!$B:$B,{"licence","community"}))</f>
        <v>0</v>
      </c>
      <c r="Y34" s="107">
        <f>SUM(SUMIFS('caseload data'!I:I,'caseload data'!$D:$D,"SPO",'caseload data'!$C:$C,'community caseload'!$T$29,'caseload data'!$B:$B,{"licence","community"}))</f>
        <v>0</v>
      </c>
      <c r="Z34" s="107">
        <f>SUM(SUMIFS('caseload data'!J:J,'caseload data'!$D:$D,"SPO",'caseload data'!$C:$C,'community caseload'!$T$29,'caseload data'!$B:$B,{"licence","community"}))</f>
        <v>0</v>
      </c>
      <c r="AA34" s="107">
        <f>SUM(SUMIFS('caseload data'!K:K,'caseload data'!$D:$D,"SPO",'caseload data'!$C:$C,'community caseload'!$T$29,'caseload data'!$B:$B,{"licence","community"}))</f>
        <v>0</v>
      </c>
      <c r="AB34" s="107">
        <f>SUM(SUMIFS('caseload data'!L:L,'caseload data'!$D:$D,"SPO",'caseload data'!$C:$C,'community caseload'!$T$29,'caseload data'!$B:$B,{"licence","community"}))</f>
        <v>0</v>
      </c>
      <c r="AC34" s="107">
        <f>SUM(SUMIFS('caseload data'!M:M,'caseload data'!$D:$D,"SPO",'caseload data'!$C:$C,'community caseload'!$T$29,'caseload data'!$B:$B,{"licence","community"}))</f>
        <v>0</v>
      </c>
      <c r="AD34" s="107">
        <f>SUM(SUMIFS('caseload data'!N:N,'caseload data'!$D:$D,"SPO",'caseload data'!$C:$C,'community caseload'!$T$29,'caseload data'!$B:$B,{"licence","community"}))</f>
        <v>0</v>
      </c>
      <c r="AE34" s="107">
        <f>SUM(SUMIFS('caseload data'!O:O,'caseload data'!$D:$D,"SPO",'caseload data'!$C:$C,'community caseload'!$T$29,'caseload data'!$B:$B,{"licence","community"}))</f>
        <v>0</v>
      </c>
      <c r="AF34" s="107">
        <f>SUM(SUMIFS('caseload data'!P:P,'caseload data'!$D:$D,"SPO",'caseload data'!$C:$C,'community caseload'!$T$29,'caseload data'!$B:$B,{"licence","community"}))</f>
        <v>0</v>
      </c>
      <c r="AG34" s="107">
        <f>SUM(SUMIFS('caseload data'!Q:Q,'caseload data'!$D:$D,"SPO",'caseload data'!$C:$C,'community caseload'!$T$29,'caseload data'!$B:$B,{"licence","community"}))</f>
        <v>0</v>
      </c>
      <c r="AH34" s="107">
        <f>SUM(SUMIFS('caseload data'!R:R,'caseload data'!$D:$D,"SPO",'caseload data'!$C:$C,'community caseload'!$T$29,'caseload data'!$B:$B,{"licence","community"}))</f>
        <v>0</v>
      </c>
      <c r="AI34" s="107">
        <f>SUM(SUMIFS('caseload data'!S:S,'caseload data'!$D:$D,"SPO",'caseload data'!$C:$C,'community caseload'!$T$29,'caseload data'!$B:$B,{"licence","community"}))</f>
        <v>0</v>
      </c>
      <c r="AJ34" s="107">
        <f>SUM(SUMIFS('caseload data'!T:T,'caseload data'!$D:$D,"SPO",'caseload data'!$C:$C,'community caseload'!$T$29,'caseload data'!$B:$B,{"licence","community"}))</f>
        <v>0</v>
      </c>
    </row>
    <row r="35" spans="2:36" x14ac:dyDescent="0.15">
      <c r="B35" s="10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104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</row>
    <row r="36" spans="2:36" ht="42.75" customHeight="1" x14ac:dyDescent="0.15">
      <c r="B36" s="162" t="str">
        <f>HLOOKUP($B$5,Region_Table,10,0)</f>
        <v>Portsmouth and IoW</v>
      </c>
      <c r="C36" s="333" t="s">
        <v>1267</v>
      </c>
      <c r="D36" s="334"/>
      <c r="E36" s="334"/>
      <c r="F36" s="334"/>
      <c r="G36" s="334"/>
      <c r="H36" s="334"/>
      <c r="I36" s="334"/>
      <c r="J36" s="334"/>
      <c r="K36" s="334"/>
      <c r="L36" s="334"/>
      <c r="M36" s="343"/>
      <c r="N36" s="343"/>
      <c r="O36" s="344"/>
      <c r="P36" s="337" cm="1">
        <f t="array" ref="P36">SUM(SUMIFS('caseload data'!V:V,'caseload data'!B:B,{"licence","community"},'caseload data'!$C:$C,'community caseload'!B36))</f>
        <v>0</v>
      </c>
      <c r="Q36" s="345"/>
      <c r="R36" s="346"/>
      <c r="S36" s="76"/>
      <c r="T36" s="162" t="str">
        <f>HLOOKUP($B$5,Region_Table,11,0)</f>
        <v>Public Protection Community</v>
      </c>
      <c r="U36" s="333" t="s">
        <v>1266</v>
      </c>
      <c r="V36" s="334"/>
      <c r="W36" s="334"/>
      <c r="X36" s="334"/>
      <c r="Y36" s="334"/>
      <c r="Z36" s="334"/>
      <c r="AA36" s="334"/>
      <c r="AB36" s="334"/>
      <c r="AC36" s="334"/>
      <c r="AD36" s="334"/>
      <c r="AE36" s="343"/>
      <c r="AF36" s="343"/>
      <c r="AG36" s="344"/>
      <c r="AH36" s="337" cm="1">
        <f t="array" ref="AH36">SUM(SUMIFS('caseload data'!V:V,'caseload data'!B:B,{"licence","community"},'caseload data'!$C:$C,'community caseload'!T36))</f>
        <v>0</v>
      </c>
      <c r="AI36" s="345"/>
      <c r="AJ36" s="346"/>
    </row>
    <row r="37" spans="2:36" x14ac:dyDescent="0.15">
      <c r="B37" s="108" t="s">
        <v>1199</v>
      </c>
      <c r="C37" s="42" t="s">
        <v>1019</v>
      </c>
      <c r="D37" s="42" t="s">
        <v>1020</v>
      </c>
      <c r="E37" s="42" t="s">
        <v>1021</v>
      </c>
      <c r="F37" s="42" t="s">
        <v>1022</v>
      </c>
      <c r="G37" s="42" t="s">
        <v>1023</v>
      </c>
      <c r="H37" s="42" t="s">
        <v>1024</v>
      </c>
      <c r="I37" s="42" t="s">
        <v>1025</v>
      </c>
      <c r="J37" s="42" t="s">
        <v>1026</v>
      </c>
      <c r="K37" s="42" t="s">
        <v>1027</v>
      </c>
      <c r="L37" s="42" t="s">
        <v>1028</v>
      </c>
      <c r="M37" s="42" t="s">
        <v>1029</v>
      </c>
      <c r="N37" s="42" t="s">
        <v>1030</v>
      </c>
      <c r="O37" s="42" t="s">
        <v>1031</v>
      </c>
      <c r="P37" s="42" t="s">
        <v>1032</v>
      </c>
      <c r="Q37" s="42" t="s">
        <v>1033</v>
      </c>
      <c r="R37" s="42" t="s">
        <v>1034</v>
      </c>
      <c r="S37" s="76"/>
      <c r="T37" s="108" t="s">
        <v>1199</v>
      </c>
      <c r="U37" s="42" t="s">
        <v>1019</v>
      </c>
      <c r="V37" s="42" t="s">
        <v>1020</v>
      </c>
      <c r="W37" s="42" t="s">
        <v>1021</v>
      </c>
      <c r="X37" s="42" t="s">
        <v>1022</v>
      </c>
      <c r="Y37" s="42" t="s">
        <v>1023</v>
      </c>
      <c r="Z37" s="42" t="s">
        <v>1024</v>
      </c>
      <c r="AA37" s="42" t="s">
        <v>1025</v>
      </c>
      <c r="AB37" s="42" t="s">
        <v>1026</v>
      </c>
      <c r="AC37" s="42" t="s">
        <v>1027</v>
      </c>
      <c r="AD37" s="42" t="s">
        <v>1028</v>
      </c>
      <c r="AE37" s="42" t="s">
        <v>1029</v>
      </c>
      <c r="AF37" s="42" t="s">
        <v>1030</v>
      </c>
      <c r="AG37" s="42" t="s">
        <v>1031</v>
      </c>
      <c r="AH37" s="42" t="s">
        <v>1032</v>
      </c>
      <c r="AI37" s="42" t="s">
        <v>1033</v>
      </c>
      <c r="AJ37" s="42" t="s">
        <v>1034</v>
      </c>
    </row>
    <row r="38" spans="2:36" x14ac:dyDescent="0.15">
      <c r="B38" s="109" t="s">
        <v>1037</v>
      </c>
      <c r="C38" s="107">
        <f>SUM(SUMIFS('caseload data'!E:E,'caseload data'!$D:$D,"PO",'caseload data'!$C:$C,'community caseload'!$B$36,'caseload data'!$B:$B,{"licence","community"}))</f>
        <v>0</v>
      </c>
      <c r="D38" s="107">
        <f>SUM(SUMIFS('caseload data'!F:F,'caseload data'!$D:$D,"PO",'caseload data'!$C:$C,'community caseload'!$B$36,'caseload data'!$B:$B,{"licence","community"}))</f>
        <v>0</v>
      </c>
      <c r="E38" s="107">
        <f>SUM(SUMIFS('caseload data'!G:G,'caseload data'!$D:$D,"PO",'caseload data'!$C:$C,'community caseload'!$B$36,'caseload data'!$B:$B,{"licence","community"}))</f>
        <v>0</v>
      </c>
      <c r="F38" s="107">
        <f>SUM(SUMIFS('caseload data'!H:H,'caseload data'!$D:$D,"PO",'caseload data'!$C:$C,'community caseload'!$B$36,'caseload data'!$B:$B,{"licence","community"}))</f>
        <v>0</v>
      </c>
      <c r="G38" s="107">
        <f>SUM(SUMIFS('caseload data'!I:I,'caseload data'!$D:$D,"PO",'caseload data'!$C:$C,'community caseload'!$B$36,'caseload data'!$B:$B,{"licence","community"}))</f>
        <v>0</v>
      </c>
      <c r="H38" s="107">
        <f>SUM(SUMIFS('caseload data'!J:J,'caseload data'!$D:$D,"PO",'caseload data'!$C:$C,'community caseload'!$B$36,'caseload data'!$B:$B,{"licence","community"}))</f>
        <v>0</v>
      </c>
      <c r="I38" s="107">
        <f>SUM(SUMIFS('caseload data'!K:K,'caseload data'!$D:$D,"PO",'caseload data'!$C:$C,'community caseload'!$B$36,'caseload data'!$B:$B,{"licence","community"}))</f>
        <v>0</v>
      </c>
      <c r="J38" s="107">
        <f>SUM(SUMIFS('caseload data'!L:L,'caseload data'!$D:$D,"PO",'caseload data'!$C:$C,'community caseload'!$B$36,'caseload data'!$B:$B,{"licence","community"}))</f>
        <v>0</v>
      </c>
      <c r="K38" s="107">
        <f>SUM(SUMIFS('caseload data'!M:M,'caseload data'!$D:$D,"PO",'caseload data'!$C:$C,'community caseload'!$B$36,'caseload data'!$B:$B,{"licence","community"}))</f>
        <v>0</v>
      </c>
      <c r="L38" s="107">
        <f>SUM(SUMIFS('caseload data'!N:N,'caseload data'!$D:$D,"PO",'caseload data'!$C:$C,'community caseload'!$B$36,'caseload data'!$B:$B,{"licence","community"}))</f>
        <v>0</v>
      </c>
      <c r="M38" s="107">
        <f>SUM(SUMIFS('caseload data'!O:O,'caseload data'!$D:$D,"PO",'caseload data'!$C:$C,'community caseload'!$B$36,'caseload data'!$B:$B,{"licence","community"}))</f>
        <v>0</v>
      </c>
      <c r="N38" s="107">
        <f>SUM(SUMIFS('caseload data'!P:P,'caseload data'!$D:$D,"PO",'caseload data'!$C:$C,'community caseload'!$B$36,'caseload data'!$B:$B,{"licence","community"}))</f>
        <v>0</v>
      </c>
      <c r="O38" s="107">
        <f>SUM(SUMIFS('caseload data'!Q:Q,'caseload data'!$D:$D,"PO",'caseload data'!$C:$C,'community caseload'!$B$36,'caseload data'!$B:$B,{"licence","community"}))</f>
        <v>0</v>
      </c>
      <c r="P38" s="107">
        <f>SUM(SUMIFS('caseload data'!R:R,'caseload data'!$D:$D,"PO",'caseload data'!$C:$C,'community caseload'!$B$36,'caseload data'!$B:$B,{"licence","community"}))</f>
        <v>0</v>
      </c>
      <c r="Q38" s="107">
        <f>SUM(SUMIFS('caseload data'!S:S,'caseload data'!$D:$D,"PO",'caseload data'!$C:$C,'community caseload'!$B$36,'caseload data'!$B:$B,{"licence","community"}))</f>
        <v>0</v>
      </c>
      <c r="R38" s="107">
        <f>SUM(SUMIFS('caseload data'!T:T,'caseload data'!$D:$D,"PO",'caseload data'!$C:$C,'community caseload'!$B$36,'caseload data'!$B:$B,{"licence","community"}))</f>
        <v>0</v>
      </c>
      <c r="S38" s="76"/>
      <c r="T38" s="109" t="s">
        <v>1037</v>
      </c>
      <c r="U38" s="107">
        <f>SUM(SUMIFS('caseload data'!E:E,'caseload data'!$D:$D,"PO",'caseload data'!$C:$C,'community caseload'!$T$36,'caseload data'!$B:$B,{"licence","community"}))</f>
        <v>0</v>
      </c>
      <c r="V38" s="107">
        <f>SUM(SUMIFS('caseload data'!F:F,'caseload data'!$D:$D,"PO",'caseload data'!$C:$C,'community caseload'!$T$36,'caseload data'!$B:$B,{"licence","community"}))</f>
        <v>0</v>
      </c>
      <c r="W38" s="107">
        <f>SUM(SUMIFS('caseload data'!G:G,'caseload data'!$D:$D,"PO",'caseload data'!$C:$C,'community caseload'!$T$36,'caseload data'!$B:$B,{"licence","community"}))</f>
        <v>0</v>
      </c>
      <c r="X38" s="107">
        <f>SUM(SUMIFS('caseload data'!H:H,'caseload data'!$D:$D,"PO",'caseload data'!$C:$C,'community caseload'!$T$36,'caseload data'!$B:$B,{"licence","community"}))</f>
        <v>0</v>
      </c>
      <c r="Y38" s="107">
        <f>SUM(SUMIFS('caseload data'!I:I,'caseload data'!$D:$D,"PO",'caseload data'!$C:$C,'community caseload'!$T$36,'caseload data'!$B:$B,{"licence","community"}))</f>
        <v>0</v>
      </c>
      <c r="Z38" s="107">
        <f>SUM(SUMIFS('caseload data'!J:J,'caseload data'!$D:$D,"PO",'caseload data'!$C:$C,'community caseload'!$T$36,'caseload data'!$B:$B,{"licence","community"}))</f>
        <v>0</v>
      </c>
      <c r="AA38" s="107">
        <f>SUM(SUMIFS('caseload data'!K:K,'caseload data'!$D:$D,"PO",'caseload data'!$C:$C,'community caseload'!$T$36,'caseload data'!$B:$B,{"licence","community"}))</f>
        <v>0</v>
      </c>
      <c r="AB38" s="107">
        <f>SUM(SUMIFS('caseload data'!L:L,'caseload data'!$D:$D,"PO",'caseload data'!$C:$C,'community caseload'!$T$36,'caseload data'!$B:$B,{"licence","community"}))</f>
        <v>0</v>
      </c>
      <c r="AC38" s="107">
        <f>SUM(SUMIFS('caseload data'!M:M,'caseload data'!$D:$D,"PO",'caseload data'!$C:$C,'community caseload'!$T$36,'caseload data'!$B:$B,{"licence","community"}))</f>
        <v>0</v>
      </c>
      <c r="AD38" s="107">
        <f>SUM(SUMIFS('caseload data'!N:N,'caseload data'!$D:$D,"PO",'caseload data'!$C:$C,'community caseload'!$T$36,'caseload data'!$B:$B,{"licence","community"}))</f>
        <v>0</v>
      </c>
      <c r="AE38" s="107">
        <f>SUM(SUMIFS('caseload data'!O:O,'caseload data'!$D:$D,"PO",'caseload data'!$C:$C,'community caseload'!$T$36,'caseload data'!$B:$B,{"licence","community"}))</f>
        <v>0</v>
      </c>
      <c r="AF38" s="107">
        <f>SUM(SUMIFS('caseload data'!P:P,'caseload data'!$D:$D,"PO",'caseload data'!$C:$C,'community caseload'!$T$36,'caseload data'!$B:$B,{"licence","community"}))</f>
        <v>0</v>
      </c>
      <c r="AG38" s="107">
        <f>SUM(SUMIFS('caseload data'!Q:Q,'caseload data'!$D:$D,"PO",'caseload data'!$C:$C,'community caseload'!$T$36,'caseload data'!$B:$B,{"licence","community"}))</f>
        <v>0</v>
      </c>
      <c r="AH38" s="107">
        <f>SUM(SUMIFS('caseload data'!R:R,'caseload data'!$D:$D,"PO",'caseload data'!$C:$C,'community caseload'!$T$36,'caseload data'!$B:$B,{"licence","community"}))</f>
        <v>0</v>
      </c>
      <c r="AI38" s="107">
        <f>SUM(SUMIFS('caseload data'!S:S,'caseload data'!$D:$D,"PO",'caseload data'!$C:$C,'community caseload'!$T$36,'caseload data'!$B:$B,{"licence","community"}))</f>
        <v>0</v>
      </c>
      <c r="AJ38" s="107">
        <f>SUM(SUMIFS('caseload data'!T:T,'caseload data'!$D:$D,"PO",'caseload data'!$C:$C,'community caseload'!$T$36,'caseload data'!$B:$B,{"licence","community"}))</f>
        <v>0</v>
      </c>
    </row>
    <row r="39" spans="2:36" x14ac:dyDescent="0.15">
      <c r="B39" s="110" t="s">
        <v>1038</v>
      </c>
      <c r="C39" s="107">
        <f>SUM(SUMIFS('caseload data'!E:E,'caseload data'!$D:$D,"PSO",'caseload data'!$C:$C,'community caseload'!$B$36,'caseload data'!$B:$B,{"licence","community"}))</f>
        <v>0</v>
      </c>
      <c r="D39" s="107">
        <f>SUM(SUMIFS('caseload data'!F:F,'caseload data'!$D:$D,"PSO",'caseload data'!$C:$C,'community caseload'!$B$36,'caseload data'!$B:$B,{"licence","community"}))</f>
        <v>0</v>
      </c>
      <c r="E39" s="107">
        <f>SUM(SUMIFS('caseload data'!G:G,'caseload data'!$D:$D,"PSO",'caseload data'!$C:$C,'community caseload'!$B$36,'caseload data'!$B:$B,{"licence","community"}))</f>
        <v>0</v>
      </c>
      <c r="F39" s="107">
        <f>SUM(SUMIFS('caseload data'!H:H,'caseload data'!$D:$D,"PSO",'caseload data'!$C:$C,'community caseload'!$B$36,'caseload data'!$B:$B,{"licence","community"}))</f>
        <v>0</v>
      </c>
      <c r="G39" s="107">
        <f>SUM(SUMIFS('caseload data'!I:I,'caseload data'!$D:$D,"PSO",'caseload data'!$C:$C,'community caseload'!$B$36,'caseload data'!$B:$B,{"licence","community"}))</f>
        <v>0</v>
      </c>
      <c r="H39" s="107">
        <f>SUM(SUMIFS('caseload data'!J:J,'caseload data'!$D:$D,"PSO",'caseload data'!$C:$C,'community caseload'!$B$36,'caseload data'!$B:$B,{"licence","community"}))</f>
        <v>0</v>
      </c>
      <c r="I39" s="107">
        <f>SUM(SUMIFS('caseload data'!K:K,'caseload data'!$D:$D,"PSO",'caseload data'!$C:$C,'community caseload'!$B$36,'caseload data'!$B:$B,{"licence","community"}))</f>
        <v>0</v>
      </c>
      <c r="J39" s="107">
        <f>SUM(SUMIFS('caseload data'!L:L,'caseload data'!$D:$D,"PSO",'caseload data'!$C:$C,'community caseload'!$B$36,'caseload data'!$B:$B,{"licence","community"}))</f>
        <v>0</v>
      </c>
      <c r="K39" s="107">
        <f>SUM(SUMIFS('caseload data'!M:M,'caseload data'!$D:$D,"PSO",'caseload data'!$C:$C,'community caseload'!$B$36,'caseload data'!$B:$B,{"licence","community"}))</f>
        <v>0</v>
      </c>
      <c r="L39" s="107">
        <f>SUM(SUMIFS('caseload data'!N:N,'caseload data'!$D:$D,"PSO",'caseload data'!$C:$C,'community caseload'!$B$36,'caseload data'!$B:$B,{"licence","community"}))</f>
        <v>0</v>
      </c>
      <c r="M39" s="107">
        <f>SUM(SUMIFS('caseload data'!O:O,'caseload data'!$D:$D,"PSO",'caseload data'!$C:$C,'community caseload'!$B$36,'caseload data'!$B:$B,{"licence","community"}))</f>
        <v>0</v>
      </c>
      <c r="N39" s="107">
        <f>SUM(SUMIFS('caseload data'!P:P,'caseload data'!$D:$D,"PSO",'caseload data'!$C:$C,'community caseload'!$B$36,'caseload data'!$B:$B,{"licence","community"}))</f>
        <v>0</v>
      </c>
      <c r="O39" s="107">
        <f>SUM(SUMIFS('caseload data'!Q:Q,'caseload data'!$D:$D,"PSO",'caseload data'!$C:$C,'community caseload'!$B$36,'caseload data'!$B:$B,{"licence","community"}))</f>
        <v>0</v>
      </c>
      <c r="P39" s="107">
        <f>SUM(SUMIFS('caseload data'!R:R,'caseload data'!$D:$D,"PSO",'caseload data'!$C:$C,'community caseload'!$B$36,'caseload data'!$B:$B,{"licence","community"}))</f>
        <v>0</v>
      </c>
      <c r="Q39" s="107">
        <f>SUM(SUMIFS('caseload data'!S:S,'caseload data'!$D:$D,"PSO",'caseload data'!$C:$C,'community caseload'!$B$36,'caseload data'!$B:$B,{"licence","community"}))</f>
        <v>0</v>
      </c>
      <c r="R39" s="107">
        <f>SUM(SUMIFS('caseload data'!T:T,'caseload data'!$D:$D,"PSO",'caseload data'!$C:$C,'community caseload'!$B$36,'caseload data'!$B:$B,{"licence","community"}))</f>
        <v>0</v>
      </c>
      <c r="S39" s="76"/>
      <c r="T39" s="110" t="s">
        <v>1038</v>
      </c>
      <c r="U39" s="107">
        <f>SUM(SUMIFS('caseload data'!E:E,'caseload data'!$D:$D,"PSO",'caseload data'!$C:$C,'community caseload'!$T$36,'caseload data'!$B:$B,{"licence","community"}))</f>
        <v>0</v>
      </c>
      <c r="V39" s="107">
        <f>SUM(SUMIFS('caseload data'!F:F,'caseload data'!$D:$D,"PSO",'caseload data'!$C:$C,'community caseload'!$T$36,'caseload data'!$B:$B,{"licence","community"}))</f>
        <v>0</v>
      </c>
      <c r="W39" s="107">
        <f>SUM(SUMIFS('caseload data'!G:G,'caseload data'!$D:$D,"PSO",'caseload data'!$C:$C,'community caseload'!$T$36,'caseload data'!$B:$B,{"licence","community"}))</f>
        <v>0</v>
      </c>
      <c r="X39" s="107">
        <f>SUM(SUMIFS('caseload data'!H:H,'caseload data'!$D:$D,"PSO",'caseload data'!$C:$C,'community caseload'!$T$36,'caseload data'!$B:$B,{"licence","community"}))</f>
        <v>0</v>
      </c>
      <c r="Y39" s="107">
        <f>SUM(SUMIFS('caseload data'!I:I,'caseload data'!$D:$D,"PSO",'caseload data'!$C:$C,'community caseload'!$T$36,'caseload data'!$B:$B,{"licence","community"}))</f>
        <v>0</v>
      </c>
      <c r="Z39" s="107">
        <f>SUM(SUMIFS('caseload data'!J:J,'caseload data'!$D:$D,"PSO",'caseload data'!$C:$C,'community caseload'!$T$36,'caseload data'!$B:$B,{"licence","community"}))</f>
        <v>0</v>
      </c>
      <c r="AA39" s="107">
        <f>SUM(SUMIFS('caseload data'!K:K,'caseload data'!$D:$D,"PSO",'caseload data'!$C:$C,'community caseload'!$T$36,'caseload data'!$B:$B,{"licence","community"}))</f>
        <v>0</v>
      </c>
      <c r="AB39" s="107">
        <f>SUM(SUMIFS('caseload data'!L:L,'caseload data'!$D:$D,"PSO",'caseload data'!$C:$C,'community caseload'!$T$36,'caseload data'!$B:$B,{"licence","community"}))</f>
        <v>0</v>
      </c>
      <c r="AC39" s="107">
        <f>SUM(SUMIFS('caseload data'!M:M,'caseload data'!$D:$D,"PSO",'caseload data'!$C:$C,'community caseload'!$T$36,'caseload data'!$B:$B,{"licence","community"}))</f>
        <v>0</v>
      </c>
      <c r="AD39" s="107">
        <f>SUM(SUMIFS('caseload data'!N:N,'caseload data'!$D:$D,"PSO",'caseload data'!$C:$C,'community caseload'!$T$36,'caseload data'!$B:$B,{"licence","community"}))</f>
        <v>0</v>
      </c>
      <c r="AE39" s="107">
        <f>SUM(SUMIFS('caseload data'!O:O,'caseload data'!$D:$D,"PSO",'caseload data'!$C:$C,'community caseload'!$T$36,'caseload data'!$B:$B,{"licence","community"}))</f>
        <v>0</v>
      </c>
      <c r="AF39" s="107">
        <f>SUM(SUMIFS('caseload data'!P:P,'caseload data'!$D:$D,"PSO",'caseload data'!$C:$C,'community caseload'!$T$36,'caseload data'!$B:$B,{"licence","community"}))</f>
        <v>0</v>
      </c>
      <c r="AG39" s="107">
        <f>SUM(SUMIFS('caseload data'!Q:Q,'caseload data'!$D:$D,"PSO",'caseload data'!$C:$C,'community caseload'!$T$36,'caseload data'!$B:$B,{"licence","community"}))</f>
        <v>0</v>
      </c>
      <c r="AH39" s="107">
        <f>SUM(SUMIFS('caseload data'!R:R,'caseload data'!$D:$D,"PSO",'caseload data'!$C:$C,'community caseload'!$T$36,'caseload data'!$B:$B,{"licence","community"}))</f>
        <v>0</v>
      </c>
      <c r="AI39" s="107">
        <f>SUM(SUMIFS('caseload data'!S:S,'caseload data'!$D:$D,"PSO",'caseload data'!$C:$C,'community caseload'!$T$36,'caseload data'!$B:$B,{"licence","community"}))</f>
        <v>0</v>
      </c>
      <c r="AJ39" s="107">
        <f>SUM(SUMIFS('caseload data'!T:T,'caseload data'!$D:$D,"PSO",'caseload data'!$C:$C,'community caseload'!$T$36,'caseload data'!$B:$B,{"licence","community"}))</f>
        <v>0</v>
      </c>
    </row>
    <row r="40" spans="2:36" x14ac:dyDescent="0.15">
      <c r="B40" s="110" t="s">
        <v>1039</v>
      </c>
      <c r="C40" s="107">
        <f>SUM(SUMIFS('caseload data'!E:E,'caseload data'!$D:$D,"TPO",'caseload data'!$C:$C,'community caseload'!$B$36,'caseload data'!$B:$B,{"licence","community"}))</f>
        <v>0</v>
      </c>
      <c r="D40" s="107">
        <f>SUM(SUMIFS('caseload data'!F:F,'caseload data'!$D:$D,"TPO",'caseload data'!$C:$C,'community caseload'!$B$36,'caseload data'!$B:$B,{"licence","community"}))</f>
        <v>0</v>
      </c>
      <c r="E40" s="107">
        <f>SUM(SUMIFS('caseload data'!G:G,'caseload data'!$D:$D,"TPO",'caseload data'!$C:$C,'community caseload'!$B$36,'caseload data'!$B:$B,{"licence","community"}))</f>
        <v>0</v>
      </c>
      <c r="F40" s="107">
        <f>SUM(SUMIFS('caseload data'!H:H,'caseload data'!$D:$D,"TPO",'caseload data'!$C:$C,'community caseload'!$B$36,'caseload data'!$B:$B,{"licence","community"}))</f>
        <v>0</v>
      </c>
      <c r="G40" s="107">
        <f>SUM(SUMIFS('caseload data'!I:I,'caseload data'!$D:$D,"TPO",'caseload data'!$C:$C,'community caseload'!$B$36,'caseload data'!$B:$B,{"licence","community"}))</f>
        <v>0</v>
      </c>
      <c r="H40" s="107">
        <f>SUM(SUMIFS('caseload data'!J:J,'caseload data'!$D:$D,"TPO",'caseload data'!$C:$C,'community caseload'!$B$36,'caseload data'!$B:$B,{"licence","community"}))</f>
        <v>0</v>
      </c>
      <c r="I40" s="107">
        <f>SUM(SUMIFS('caseload data'!K:K,'caseload data'!$D:$D,"TPO",'caseload data'!$C:$C,'community caseload'!$B$36,'caseload data'!$B:$B,{"licence","community"}))</f>
        <v>0</v>
      </c>
      <c r="J40" s="107">
        <f>SUM(SUMIFS('caseload data'!L:L,'caseload data'!$D:$D,"TPO",'caseload data'!$C:$C,'community caseload'!$B$36,'caseload data'!$B:$B,{"licence","community"}))</f>
        <v>0</v>
      </c>
      <c r="K40" s="107">
        <f>SUM(SUMIFS('caseload data'!M:M,'caseload data'!$D:$D,"TPO",'caseload data'!$C:$C,'community caseload'!$B$36,'caseload data'!$B:$B,{"licence","community"}))</f>
        <v>0</v>
      </c>
      <c r="L40" s="107">
        <f>SUM(SUMIFS('caseload data'!N:N,'caseload data'!$D:$D,"TPO",'caseload data'!$C:$C,'community caseload'!$B$36,'caseload data'!$B:$B,{"licence","community"}))</f>
        <v>0</v>
      </c>
      <c r="M40" s="107">
        <f>SUM(SUMIFS('caseload data'!O:O,'caseload data'!$D:$D,"TPO",'caseload data'!$C:$C,'community caseload'!$B$36,'caseload data'!$B:$B,{"licence","community"}))</f>
        <v>0</v>
      </c>
      <c r="N40" s="107">
        <f>SUM(SUMIFS('caseload data'!P:P,'caseload data'!$D:$D,"TPO",'caseload data'!$C:$C,'community caseload'!$B$36,'caseload data'!$B:$B,{"licence","community"}))</f>
        <v>0</v>
      </c>
      <c r="O40" s="107">
        <f>SUM(SUMIFS('caseload data'!Q:Q,'caseload data'!$D:$D,"TPO",'caseload data'!$C:$C,'community caseload'!$B$36,'caseload data'!$B:$B,{"licence","community"}))</f>
        <v>0</v>
      </c>
      <c r="P40" s="107">
        <f>SUM(SUMIFS('caseload data'!R:R,'caseload data'!$D:$D,"TPO",'caseload data'!$C:$C,'community caseload'!$B$36,'caseload data'!$B:$B,{"licence","community"}))</f>
        <v>0</v>
      </c>
      <c r="Q40" s="107">
        <f>SUM(SUMIFS('caseload data'!S:S,'caseload data'!$D:$D,"TPO",'caseload data'!$C:$C,'community caseload'!$B$36,'caseload data'!$B:$B,{"licence","community"}))</f>
        <v>0</v>
      </c>
      <c r="R40" s="107">
        <f>SUM(SUMIFS('caseload data'!T:T,'caseload data'!$D:$D,"TPO",'caseload data'!$C:$C,'community caseload'!$B$36,'caseload data'!$B:$B,{"licence","community"}))</f>
        <v>0</v>
      </c>
      <c r="S40" s="76"/>
      <c r="T40" s="110" t="s">
        <v>1039</v>
      </c>
      <c r="U40" s="107">
        <f>SUM(SUMIFS('caseload data'!E:E,'caseload data'!$D:$D,"TPO",'caseload data'!$C:$C,'community caseload'!$T$36,'caseload data'!$B:$B,{"licence","community"}))</f>
        <v>0</v>
      </c>
      <c r="V40" s="107">
        <f>SUM(SUMIFS('caseload data'!F:F,'caseload data'!$D:$D,"TPO",'caseload data'!$C:$C,'community caseload'!$T$36,'caseload data'!$B:$B,{"licence","community"}))</f>
        <v>0</v>
      </c>
      <c r="W40" s="107">
        <f>SUM(SUMIFS('caseload data'!G:G,'caseload data'!$D:$D,"TPO",'caseload data'!$C:$C,'community caseload'!$T$36,'caseload data'!$B:$B,{"licence","community"}))</f>
        <v>0</v>
      </c>
      <c r="X40" s="107">
        <f>SUM(SUMIFS('caseload data'!H:H,'caseload data'!$D:$D,"TPO",'caseload data'!$C:$C,'community caseload'!$T$36,'caseload data'!$B:$B,{"licence","community"}))</f>
        <v>0</v>
      </c>
      <c r="Y40" s="107">
        <f>SUM(SUMIFS('caseload data'!I:I,'caseload data'!$D:$D,"TPO",'caseload data'!$C:$C,'community caseload'!$T$36,'caseload data'!$B:$B,{"licence","community"}))</f>
        <v>0</v>
      </c>
      <c r="Z40" s="107">
        <f>SUM(SUMIFS('caseload data'!J:J,'caseload data'!$D:$D,"TPO",'caseload data'!$C:$C,'community caseload'!$T$36,'caseload data'!$B:$B,{"licence","community"}))</f>
        <v>0</v>
      </c>
      <c r="AA40" s="107">
        <f>SUM(SUMIFS('caseload data'!K:K,'caseload data'!$D:$D,"TPO",'caseload data'!$C:$C,'community caseload'!$T$36,'caseload data'!$B:$B,{"licence","community"}))</f>
        <v>0</v>
      </c>
      <c r="AB40" s="107">
        <f>SUM(SUMIFS('caseload data'!L:L,'caseload data'!$D:$D,"TPO",'caseload data'!$C:$C,'community caseload'!$T$36,'caseload data'!$B:$B,{"licence","community"}))</f>
        <v>0</v>
      </c>
      <c r="AC40" s="107">
        <f>SUM(SUMIFS('caseload data'!M:M,'caseload data'!$D:$D,"TPO",'caseload data'!$C:$C,'community caseload'!$T$36,'caseload data'!$B:$B,{"licence","community"}))</f>
        <v>0</v>
      </c>
      <c r="AD40" s="107">
        <f>SUM(SUMIFS('caseload data'!N:N,'caseload data'!$D:$D,"TPO",'caseload data'!$C:$C,'community caseload'!$T$36,'caseload data'!$B:$B,{"licence","community"}))</f>
        <v>0</v>
      </c>
      <c r="AE40" s="107">
        <f>SUM(SUMIFS('caseload data'!O:O,'caseload data'!$D:$D,"TPO",'caseload data'!$C:$C,'community caseload'!$T$36,'caseload data'!$B:$B,{"licence","community"}))</f>
        <v>0</v>
      </c>
      <c r="AF40" s="107">
        <f>SUM(SUMIFS('caseload data'!P:P,'caseload data'!$D:$D,"TPO",'caseload data'!$C:$C,'community caseload'!$T$36,'caseload data'!$B:$B,{"licence","community"}))</f>
        <v>0</v>
      </c>
      <c r="AG40" s="107">
        <f>SUM(SUMIFS('caseload data'!Q:Q,'caseload data'!$D:$D,"TPO",'caseload data'!$C:$C,'community caseload'!$T$36,'caseload data'!$B:$B,{"licence","community"}))</f>
        <v>0</v>
      </c>
      <c r="AH40" s="107">
        <f>SUM(SUMIFS('caseload data'!R:R,'caseload data'!$D:$D,"TPO",'caseload data'!$C:$C,'community caseload'!$T$36,'caseload data'!$B:$B,{"licence","community"}))</f>
        <v>0</v>
      </c>
      <c r="AI40" s="107">
        <f>SUM(SUMIFS('caseload data'!S:S,'caseload data'!$D:$D,"TPO",'caseload data'!$C:$C,'community caseload'!$T$36,'caseload data'!$B:$B,{"licence","community"}))</f>
        <v>0</v>
      </c>
      <c r="AJ40" s="107">
        <f>SUM(SUMIFS('caseload data'!T:T,'caseload data'!$D:$D,"TPO",'caseload data'!$C:$C,'community caseload'!$T$36,'caseload data'!$B:$B,{"licence","community"}))</f>
        <v>0</v>
      </c>
    </row>
    <row r="41" spans="2:36" x14ac:dyDescent="0.15">
      <c r="B41" s="111" t="s">
        <v>1040</v>
      </c>
      <c r="C41" s="107">
        <f>SUM(SUMIFS('caseload data'!E:E,'caseload data'!$D:$D,"SPO",'caseload data'!$C:$C,'community caseload'!$B$36,'caseload data'!$B:$B,{"licence","community"}))</f>
        <v>0</v>
      </c>
      <c r="D41" s="107">
        <f>SUM(SUMIFS('caseload data'!F:F,'caseload data'!$D:$D,"SPO",'caseload data'!$C:$C,'community caseload'!$B$36,'caseload data'!$B:$B,{"licence","community"}))</f>
        <v>0</v>
      </c>
      <c r="E41" s="107">
        <f>SUM(SUMIFS('caseload data'!G:G,'caseload data'!$D:$D,"SPO",'caseload data'!$C:$C,'community caseload'!$B$36,'caseload data'!$B:$B,{"licence","community"}))</f>
        <v>0</v>
      </c>
      <c r="F41" s="107">
        <f>SUM(SUMIFS('caseload data'!H:H,'caseload data'!$D:$D,"SPO",'caseload data'!$C:$C,'community caseload'!$B$36,'caseload data'!$B:$B,{"licence","community"}))</f>
        <v>0</v>
      </c>
      <c r="G41" s="107">
        <f>SUM(SUMIFS('caseload data'!I:I,'caseload data'!$D:$D,"SPO",'caseload data'!$C:$C,'community caseload'!$B$36,'caseload data'!$B:$B,{"licence","community"}))</f>
        <v>0</v>
      </c>
      <c r="H41" s="107">
        <f>SUM(SUMIFS('caseload data'!J:J,'caseload data'!$D:$D,"SPO",'caseload data'!$C:$C,'community caseload'!$B$36,'caseload data'!$B:$B,{"licence","community"}))</f>
        <v>0</v>
      </c>
      <c r="I41" s="107">
        <f>SUM(SUMIFS('caseload data'!K:K,'caseload data'!$D:$D,"SPO",'caseload data'!$C:$C,'community caseload'!$B$36,'caseload data'!$B:$B,{"licence","community"}))</f>
        <v>0</v>
      </c>
      <c r="J41" s="107">
        <f>SUM(SUMIFS('caseload data'!L:L,'caseload data'!$D:$D,"SPO",'caseload data'!$C:$C,'community caseload'!$B$36,'caseload data'!$B:$B,{"licence","community"}))</f>
        <v>0</v>
      </c>
      <c r="K41" s="107">
        <f>SUM(SUMIFS('caseload data'!M:M,'caseload data'!$D:$D,"SPO",'caseload data'!$C:$C,'community caseload'!$B$36,'caseload data'!$B:$B,{"licence","community"}))</f>
        <v>0</v>
      </c>
      <c r="L41" s="107">
        <f>SUM(SUMIFS('caseload data'!N:N,'caseload data'!$D:$D,"SPO",'caseload data'!$C:$C,'community caseload'!$B$36,'caseload data'!$B:$B,{"licence","community"}))</f>
        <v>0</v>
      </c>
      <c r="M41" s="107">
        <f>SUM(SUMIFS('caseload data'!O:O,'caseload data'!$D:$D,"SPO",'caseload data'!$C:$C,'community caseload'!$B$36,'caseload data'!$B:$B,{"licence","community"}))</f>
        <v>0</v>
      </c>
      <c r="N41" s="107">
        <f>SUM(SUMIFS('caseload data'!P:P,'caseload data'!$D:$D,"SPO",'caseload data'!$C:$C,'community caseload'!$B$36,'caseload data'!$B:$B,{"licence","community"}))</f>
        <v>0</v>
      </c>
      <c r="O41" s="107">
        <f>SUM(SUMIFS('caseload data'!Q:Q,'caseload data'!$D:$D,"SPO",'caseload data'!$C:$C,'community caseload'!$B$36,'caseload data'!$B:$B,{"licence","community"}))</f>
        <v>0</v>
      </c>
      <c r="P41" s="107">
        <f>SUM(SUMIFS('caseload data'!R:R,'caseload data'!$D:$D,"SPO",'caseload data'!$C:$C,'community caseload'!$B$36,'caseload data'!$B:$B,{"licence","community"}))</f>
        <v>0</v>
      </c>
      <c r="Q41" s="107">
        <f>SUM(SUMIFS('caseload data'!S:S,'caseload data'!$D:$D,"SPO",'caseload data'!$C:$C,'community caseload'!$B$36,'caseload data'!$B:$B,{"licence","community"}))</f>
        <v>0</v>
      </c>
      <c r="R41" s="107">
        <f>SUM(SUMIFS('caseload data'!T:T,'caseload data'!$D:$D,"SPO",'caseload data'!$C:$C,'community caseload'!$B$36,'caseload data'!$B:$B,{"licence","community"}))</f>
        <v>0</v>
      </c>
      <c r="S41" s="76"/>
      <c r="T41" s="111" t="s">
        <v>1040</v>
      </c>
      <c r="U41" s="107">
        <f>SUM(SUMIFS('caseload data'!E:E,'caseload data'!$D:$D,"SPO",'caseload data'!$C:$C,'community caseload'!$T$36,'caseload data'!$B:$B,{"licence","community"}))</f>
        <v>0</v>
      </c>
      <c r="V41" s="107">
        <f>SUM(SUMIFS('caseload data'!F:F,'caseload data'!$D:$D,"SPO",'caseload data'!$C:$C,'community caseload'!$T$36,'caseload data'!$B:$B,{"licence","community"}))</f>
        <v>0</v>
      </c>
      <c r="W41" s="107">
        <f>SUM(SUMIFS('caseload data'!G:G,'caseload data'!$D:$D,"SPO",'caseload data'!$C:$C,'community caseload'!$T$36,'caseload data'!$B:$B,{"licence","community"}))</f>
        <v>0</v>
      </c>
      <c r="X41" s="107">
        <f>SUM(SUMIFS('caseload data'!H:H,'caseload data'!$D:$D,"SPO",'caseload data'!$C:$C,'community caseload'!$T$36,'caseload data'!$B:$B,{"licence","community"}))</f>
        <v>0</v>
      </c>
      <c r="Y41" s="107">
        <f>SUM(SUMIFS('caseload data'!I:I,'caseload data'!$D:$D,"SPO",'caseload data'!$C:$C,'community caseload'!$T$36,'caseload data'!$B:$B,{"licence","community"}))</f>
        <v>0</v>
      </c>
      <c r="Z41" s="107">
        <f>SUM(SUMIFS('caseload data'!J:J,'caseload data'!$D:$D,"SPO",'caseload data'!$C:$C,'community caseload'!$T$36,'caseload data'!$B:$B,{"licence","community"}))</f>
        <v>0</v>
      </c>
      <c r="AA41" s="107">
        <f>SUM(SUMIFS('caseload data'!K:K,'caseload data'!$D:$D,"SPO",'caseload data'!$C:$C,'community caseload'!$T$36,'caseload data'!$B:$B,{"licence","community"}))</f>
        <v>0</v>
      </c>
      <c r="AB41" s="107">
        <f>SUM(SUMIFS('caseload data'!L:L,'caseload data'!$D:$D,"SPO",'caseload data'!$C:$C,'community caseload'!$T$36,'caseload data'!$B:$B,{"licence","community"}))</f>
        <v>0</v>
      </c>
      <c r="AC41" s="107">
        <f>SUM(SUMIFS('caseload data'!M:M,'caseload data'!$D:$D,"SPO",'caseload data'!$C:$C,'community caseload'!$T$36,'caseload data'!$B:$B,{"licence","community"}))</f>
        <v>0</v>
      </c>
      <c r="AD41" s="107">
        <f>SUM(SUMIFS('caseload data'!N:N,'caseload data'!$D:$D,"SPO",'caseload data'!$C:$C,'community caseload'!$T$36,'caseload data'!$B:$B,{"licence","community"}))</f>
        <v>0</v>
      </c>
      <c r="AE41" s="107">
        <f>SUM(SUMIFS('caseload data'!O:O,'caseload data'!$D:$D,"SPO",'caseload data'!$C:$C,'community caseload'!$T$36,'caseload data'!$B:$B,{"licence","community"}))</f>
        <v>0</v>
      </c>
      <c r="AF41" s="107">
        <f>SUM(SUMIFS('caseload data'!P:P,'caseload data'!$D:$D,"SPO",'caseload data'!$C:$C,'community caseload'!$T$36,'caseload data'!$B:$B,{"licence","community"}))</f>
        <v>0</v>
      </c>
      <c r="AG41" s="107">
        <f>SUM(SUMIFS('caseload data'!Q:Q,'caseload data'!$D:$D,"SPO",'caseload data'!$C:$C,'community caseload'!$T$36,'caseload data'!$B:$B,{"licence","community"}))</f>
        <v>0</v>
      </c>
      <c r="AH41" s="107">
        <f>SUM(SUMIFS('caseload data'!R:R,'caseload data'!$D:$D,"SPO",'caseload data'!$C:$C,'community caseload'!$T$36,'caseload data'!$B:$B,{"licence","community"}))</f>
        <v>0</v>
      </c>
      <c r="AI41" s="107">
        <f>SUM(SUMIFS('caseload data'!S:S,'caseload data'!$D:$D,"SPO",'caseload data'!$C:$C,'community caseload'!$T$36,'caseload data'!$B:$B,{"licence","community"}))</f>
        <v>0</v>
      </c>
      <c r="AJ41" s="107">
        <f>SUM(SUMIFS('caseload data'!T:T,'caseload data'!$D:$D,"SPO",'caseload data'!$C:$C,'community caseload'!$T$36,'caseload data'!$B:$B,{"licence","community"}))</f>
        <v>0</v>
      </c>
    </row>
    <row r="42" spans="2:36" x14ac:dyDescent="0.15">
      <c r="B42" s="104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104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</row>
    <row r="43" spans="2:36" ht="46.5" customHeight="1" x14ac:dyDescent="0.15">
      <c r="B43" s="162" t="str">
        <f>HLOOKUP($B$5,Region_Table,12,0)</f>
        <v>Southampton, Eastleigh and New Forest</v>
      </c>
      <c r="C43" s="333" t="s">
        <v>1266</v>
      </c>
      <c r="D43" s="334"/>
      <c r="E43" s="334"/>
      <c r="F43" s="334"/>
      <c r="G43" s="334"/>
      <c r="H43" s="334"/>
      <c r="I43" s="334"/>
      <c r="J43" s="334"/>
      <c r="K43" s="334"/>
      <c r="L43" s="334"/>
      <c r="M43" s="343"/>
      <c r="N43" s="343"/>
      <c r="O43" s="344"/>
      <c r="P43" s="337" cm="1">
        <f t="array" ref="P43">SUM(SUMIFS('caseload data'!V:V,'caseload data'!B:B,{"licence","community"},'caseload data'!$C:$C,'community caseload'!B43))</f>
        <v>0</v>
      </c>
      <c r="Q43" s="345"/>
      <c r="R43" s="346"/>
      <c r="S43" s="76"/>
      <c r="T43" s="162" t="str">
        <f>HLOOKUP($B$5,Region_Table,13,0)</f>
        <v>Unpaid Work and Attendance Centres - N59</v>
      </c>
      <c r="U43" s="333" t="s">
        <v>1266</v>
      </c>
      <c r="V43" s="334"/>
      <c r="W43" s="334"/>
      <c r="X43" s="334"/>
      <c r="Y43" s="334"/>
      <c r="Z43" s="334"/>
      <c r="AA43" s="334"/>
      <c r="AB43" s="334"/>
      <c r="AC43" s="334"/>
      <c r="AD43" s="334"/>
      <c r="AE43" s="343"/>
      <c r="AF43" s="343"/>
      <c r="AG43" s="344"/>
      <c r="AH43" s="337" cm="1">
        <f t="array" ref="AH43">SUM(SUMIFS('caseload data'!V:V,'caseload data'!B:B,{"licence","community"},'caseload data'!$C:$C,'community caseload'!T43))</f>
        <v>0</v>
      </c>
      <c r="AI43" s="345"/>
      <c r="AJ43" s="346"/>
    </row>
    <row r="44" spans="2:36" x14ac:dyDescent="0.15">
      <c r="B44" s="108" t="s">
        <v>1199</v>
      </c>
      <c r="C44" s="42" t="s">
        <v>1019</v>
      </c>
      <c r="D44" s="42" t="s">
        <v>1020</v>
      </c>
      <c r="E44" s="42" t="s">
        <v>1021</v>
      </c>
      <c r="F44" s="42" t="s">
        <v>1022</v>
      </c>
      <c r="G44" s="42" t="s">
        <v>1023</v>
      </c>
      <c r="H44" s="42" t="s">
        <v>1024</v>
      </c>
      <c r="I44" s="42" t="s">
        <v>1025</v>
      </c>
      <c r="J44" s="42" t="s">
        <v>1026</v>
      </c>
      <c r="K44" s="42" t="s">
        <v>1027</v>
      </c>
      <c r="L44" s="42" t="s">
        <v>1028</v>
      </c>
      <c r="M44" s="42" t="s">
        <v>1029</v>
      </c>
      <c r="N44" s="42" t="s">
        <v>1030</v>
      </c>
      <c r="O44" s="42" t="s">
        <v>1031</v>
      </c>
      <c r="P44" s="42" t="s">
        <v>1032</v>
      </c>
      <c r="Q44" s="42" t="s">
        <v>1033</v>
      </c>
      <c r="R44" s="42" t="s">
        <v>1034</v>
      </c>
      <c r="S44" s="76"/>
      <c r="T44" s="108" t="s">
        <v>1199</v>
      </c>
      <c r="U44" s="42" t="s">
        <v>1019</v>
      </c>
      <c r="V44" s="42" t="s">
        <v>1020</v>
      </c>
      <c r="W44" s="42" t="s">
        <v>1021</v>
      </c>
      <c r="X44" s="42" t="s">
        <v>1022</v>
      </c>
      <c r="Y44" s="42" t="s">
        <v>1023</v>
      </c>
      <c r="Z44" s="42" t="s">
        <v>1024</v>
      </c>
      <c r="AA44" s="42" t="s">
        <v>1025</v>
      </c>
      <c r="AB44" s="42" t="s">
        <v>1026</v>
      </c>
      <c r="AC44" s="42" t="s">
        <v>1027</v>
      </c>
      <c r="AD44" s="42" t="s">
        <v>1028</v>
      </c>
      <c r="AE44" s="42" t="s">
        <v>1029</v>
      </c>
      <c r="AF44" s="42" t="s">
        <v>1030</v>
      </c>
      <c r="AG44" s="42" t="s">
        <v>1031</v>
      </c>
      <c r="AH44" s="42" t="s">
        <v>1032</v>
      </c>
      <c r="AI44" s="42" t="s">
        <v>1033</v>
      </c>
      <c r="AJ44" s="42" t="s">
        <v>1034</v>
      </c>
    </row>
    <row r="45" spans="2:36" x14ac:dyDescent="0.15">
      <c r="B45" s="109" t="s">
        <v>1037</v>
      </c>
      <c r="C45" s="107">
        <f>SUM(SUMIFS('caseload data'!E:E,'caseload data'!$D:$D,"PO",'caseload data'!$C:$C,'community caseload'!$B$43,'caseload data'!$B:$B,{"licence","community"}))</f>
        <v>0</v>
      </c>
      <c r="D45" s="107">
        <f>SUM(SUMIFS('caseload data'!F:F,'caseload data'!$D:$D,"PO",'caseload data'!$C:$C,'community caseload'!$B$43,'caseload data'!$B:$B,{"licence","community"}))</f>
        <v>0</v>
      </c>
      <c r="E45" s="107">
        <f>SUM(SUMIFS('caseload data'!G:G,'caseload data'!$D:$D,"PO",'caseload data'!$C:$C,'community caseload'!$B$43,'caseload data'!$B:$B,{"licence","community"}))</f>
        <v>0</v>
      </c>
      <c r="F45" s="107">
        <f>SUM(SUMIFS('caseload data'!H:H,'caseload data'!$D:$D,"PO",'caseload data'!$C:$C,'community caseload'!$B$43,'caseload data'!$B:$B,{"licence","community"}))</f>
        <v>0</v>
      </c>
      <c r="G45" s="107">
        <f>SUM(SUMIFS('caseload data'!I:I,'caseload data'!$D:$D,"PO",'caseload data'!$C:$C,'community caseload'!$B$43,'caseload data'!$B:$B,{"licence","community"}))</f>
        <v>0</v>
      </c>
      <c r="H45" s="107">
        <f>SUM(SUMIFS('caseload data'!J:J,'caseload data'!$D:$D,"PO",'caseload data'!$C:$C,'community caseload'!$B$43,'caseload data'!$B:$B,{"licence","community"}))</f>
        <v>0</v>
      </c>
      <c r="I45" s="107">
        <f>SUM(SUMIFS('caseload data'!K:K,'caseload data'!$D:$D,"PO",'caseload data'!$C:$C,'community caseload'!$B$43,'caseload data'!$B:$B,{"licence","community"}))</f>
        <v>0</v>
      </c>
      <c r="J45" s="107">
        <f>SUM(SUMIFS('caseload data'!L:L,'caseload data'!$D:$D,"PO",'caseload data'!$C:$C,'community caseload'!$B$43,'caseload data'!$B:$B,{"licence","community"}))</f>
        <v>0</v>
      </c>
      <c r="K45" s="107">
        <f>SUM(SUMIFS('caseload data'!M:M,'caseload data'!$D:$D,"PO",'caseload data'!$C:$C,'community caseload'!$B$43,'caseload data'!$B:$B,{"licence","community"}))</f>
        <v>0</v>
      </c>
      <c r="L45" s="107">
        <f>SUM(SUMIFS('caseload data'!N:N,'caseload data'!$D:$D,"PO",'caseload data'!$C:$C,'community caseload'!$B$43,'caseload data'!$B:$B,{"licence","community"}))</f>
        <v>0</v>
      </c>
      <c r="M45" s="107">
        <f>SUM(SUMIFS('caseload data'!O:O,'caseload data'!$D:$D,"PO",'caseload data'!$C:$C,'community caseload'!$B$43,'caseload data'!$B:$B,{"licence","community"}))</f>
        <v>0</v>
      </c>
      <c r="N45" s="107">
        <f>SUM(SUMIFS('caseload data'!P:P,'caseload data'!$D:$D,"PO",'caseload data'!$C:$C,'community caseload'!$B$43,'caseload data'!$B:$B,{"licence","community"}))</f>
        <v>0</v>
      </c>
      <c r="O45" s="107">
        <f>SUM(SUMIFS('caseload data'!Q:Q,'caseload data'!$D:$D,"PO",'caseload data'!$C:$C,'community caseload'!$B$43,'caseload data'!$B:$B,{"licence","community"}))</f>
        <v>0</v>
      </c>
      <c r="P45" s="107">
        <f>SUM(SUMIFS('caseload data'!R:R,'caseload data'!$D:$D,"PO",'caseload data'!$C:$C,'community caseload'!$B$43,'caseload data'!$B:$B,{"licence","community"}))</f>
        <v>0</v>
      </c>
      <c r="Q45" s="107">
        <f>SUM(SUMIFS('caseload data'!S:S,'caseload data'!$D:$D,"PO",'caseload data'!$C:$C,'community caseload'!$B$43,'caseload data'!$B:$B,{"licence","community"}))</f>
        <v>0</v>
      </c>
      <c r="R45" s="107">
        <f>SUM(SUMIFS('caseload data'!T:T,'caseload data'!$D:$D,"PO",'caseload data'!$C:$C,'community caseload'!$B$43,'caseload data'!$B:$B,{"licence","community"}))</f>
        <v>0</v>
      </c>
      <c r="S45" s="76"/>
      <c r="T45" s="109" t="s">
        <v>1037</v>
      </c>
      <c r="U45" s="107">
        <f>SUM(SUMIFS('caseload data'!E:E,'caseload data'!$D:$D,"PO",'caseload data'!$C:$C,'community caseload'!$T$43,'caseload data'!$B:$B,{"licence","community"}))</f>
        <v>0</v>
      </c>
      <c r="V45" s="107">
        <f>SUM(SUMIFS('caseload data'!F:F,'caseload data'!$D:$D,"PO",'caseload data'!$C:$C,'community caseload'!$T$43,'caseload data'!$B:$B,{"licence","community"}))</f>
        <v>0</v>
      </c>
      <c r="W45" s="107">
        <f>SUM(SUMIFS('caseload data'!G:G,'caseload data'!$D:$D,"PO",'caseload data'!$C:$C,'community caseload'!$T$43,'caseload data'!$B:$B,{"licence","community"}))</f>
        <v>0</v>
      </c>
      <c r="X45" s="107">
        <f>SUM(SUMIFS('caseload data'!H:H,'caseload data'!$D:$D,"PO",'caseload data'!$C:$C,'community caseload'!$T$43,'caseload data'!$B:$B,{"licence","community"}))</f>
        <v>0</v>
      </c>
      <c r="Y45" s="107">
        <f>SUM(SUMIFS('caseload data'!I:I,'caseload data'!$D:$D,"PO",'caseload data'!$C:$C,'community caseload'!$T$43,'caseload data'!$B:$B,{"licence","community"}))</f>
        <v>0</v>
      </c>
      <c r="Z45" s="107">
        <f>SUM(SUMIFS('caseload data'!J:J,'caseload data'!$D:$D,"PO",'caseload data'!$C:$C,'community caseload'!$T$43,'caseload data'!$B:$B,{"licence","community"}))</f>
        <v>0</v>
      </c>
      <c r="AA45" s="107">
        <f>SUM(SUMIFS('caseload data'!K:K,'caseload data'!$D:$D,"PO",'caseload data'!$C:$C,'community caseload'!$T$43,'caseload data'!$B:$B,{"licence","community"}))</f>
        <v>0</v>
      </c>
      <c r="AB45" s="107">
        <f>SUM(SUMIFS('caseload data'!L:L,'caseload data'!$D:$D,"PO",'caseload data'!$C:$C,'community caseload'!$T$43,'caseload data'!$B:$B,{"licence","community"}))</f>
        <v>0</v>
      </c>
      <c r="AC45" s="107">
        <f>SUM(SUMIFS('caseload data'!M:M,'caseload data'!$D:$D,"PO",'caseload data'!$C:$C,'community caseload'!$T$43,'caseload data'!$B:$B,{"licence","community"}))</f>
        <v>0</v>
      </c>
      <c r="AD45" s="107">
        <f>SUM(SUMIFS('caseload data'!N:N,'caseload data'!$D:$D,"PO",'caseload data'!$C:$C,'community caseload'!$T$43,'caseload data'!$B:$B,{"licence","community"}))</f>
        <v>0</v>
      </c>
      <c r="AE45" s="107">
        <f>SUM(SUMIFS('caseload data'!O:O,'caseload data'!$D:$D,"PO",'caseload data'!$C:$C,'community caseload'!$T$43,'caseload data'!$B:$B,{"licence","community"}))</f>
        <v>0</v>
      </c>
      <c r="AF45" s="107">
        <f>SUM(SUMIFS('caseload data'!P:P,'caseload data'!$D:$D,"PO",'caseload data'!$C:$C,'community caseload'!$T$43,'caseload data'!$B:$B,{"licence","community"}))</f>
        <v>0</v>
      </c>
      <c r="AG45" s="107">
        <f>SUM(SUMIFS('caseload data'!Q:Q,'caseload data'!$D:$D,"PO",'caseload data'!$C:$C,'community caseload'!$T$43,'caseload data'!$B:$B,{"licence","community"}))</f>
        <v>0</v>
      </c>
      <c r="AH45" s="107">
        <f>SUM(SUMIFS('caseload data'!R:R,'caseload data'!$D:$D,"PO",'caseload data'!$C:$C,'community caseload'!$T$43,'caseload data'!$B:$B,{"licence","community"}))</f>
        <v>0</v>
      </c>
      <c r="AI45" s="107">
        <f>SUM(SUMIFS('caseload data'!S:S,'caseload data'!$D:$D,"PO",'caseload data'!$C:$C,'community caseload'!$T$43,'caseload data'!$B:$B,{"licence","community"}))</f>
        <v>0</v>
      </c>
      <c r="AJ45" s="107">
        <f>SUM(SUMIFS('caseload data'!T:T,'caseload data'!$D:$D,"PO",'caseload data'!$C:$C,'community caseload'!$T$43,'caseload data'!$B:$B,{"licence","community"}))</f>
        <v>0</v>
      </c>
    </row>
    <row r="46" spans="2:36" x14ac:dyDescent="0.15">
      <c r="B46" s="110" t="s">
        <v>1038</v>
      </c>
      <c r="C46" s="107">
        <f>SUM(SUMIFS('caseload data'!E:E,'caseload data'!$D:$D,"PSO",'caseload data'!$C:$C,'community caseload'!$B$43,'caseload data'!$B:$B,{"licence","community"}))</f>
        <v>0</v>
      </c>
      <c r="D46" s="107">
        <f>SUM(SUMIFS('caseload data'!F:F,'caseload data'!$D:$D,"PSO",'caseload data'!$C:$C,'community caseload'!$B$43,'caseload data'!$B:$B,{"licence","community"}))</f>
        <v>0</v>
      </c>
      <c r="E46" s="107">
        <f>SUM(SUMIFS('caseload data'!G:G,'caseload data'!$D:$D,"PSO",'caseload data'!$C:$C,'community caseload'!$B$43,'caseload data'!$B:$B,{"licence","community"}))</f>
        <v>0</v>
      </c>
      <c r="F46" s="107">
        <f>SUM(SUMIFS('caseload data'!H:H,'caseload data'!$D:$D,"PSO",'caseload data'!$C:$C,'community caseload'!$B$43,'caseload data'!$B:$B,{"licence","community"}))</f>
        <v>0</v>
      </c>
      <c r="G46" s="107">
        <f>SUM(SUMIFS('caseload data'!I:I,'caseload data'!$D:$D,"PSO",'caseload data'!$C:$C,'community caseload'!$B$43,'caseload data'!$B:$B,{"licence","community"}))</f>
        <v>0</v>
      </c>
      <c r="H46" s="107">
        <f>SUM(SUMIFS('caseload data'!J:J,'caseload data'!$D:$D,"PSO",'caseload data'!$C:$C,'community caseload'!$B$43,'caseload data'!$B:$B,{"licence","community"}))</f>
        <v>0</v>
      </c>
      <c r="I46" s="107">
        <f>SUM(SUMIFS('caseload data'!K:K,'caseload data'!$D:$D,"PSO",'caseload data'!$C:$C,'community caseload'!$B$43,'caseload data'!$B:$B,{"licence","community"}))</f>
        <v>0</v>
      </c>
      <c r="J46" s="107">
        <f>SUM(SUMIFS('caseload data'!L:L,'caseload data'!$D:$D,"PSO",'caseload data'!$C:$C,'community caseload'!$B$43,'caseload data'!$B:$B,{"licence","community"}))</f>
        <v>0</v>
      </c>
      <c r="K46" s="107">
        <f>SUM(SUMIFS('caseload data'!M:M,'caseload data'!$D:$D,"PSO",'caseload data'!$C:$C,'community caseload'!$B$43,'caseload data'!$B:$B,{"licence","community"}))</f>
        <v>0</v>
      </c>
      <c r="L46" s="107">
        <f>SUM(SUMIFS('caseload data'!N:N,'caseload data'!$D:$D,"PSO",'caseload data'!$C:$C,'community caseload'!$B$43,'caseload data'!$B:$B,{"licence","community"}))</f>
        <v>0</v>
      </c>
      <c r="M46" s="107">
        <f>SUM(SUMIFS('caseload data'!O:O,'caseload data'!$D:$D,"PSO",'caseload data'!$C:$C,'community caseload'!$B$43,'caseload data'!$B:$B,{"licence","community"}))</f>
        <v>0</v>
      </c>
      <c r="N46" s="107">
        <f>SUM(SUMIFS('caseload data'!P:P,'caseload data'!$D:$D,"PSO",'caseload data'!$C:$C,'community caseload'!$B$43,'caseload data'!$B:$B,{"licence","community"}))</f>
        <v>0</v>
      </c>
      <c r="O46" s="107">
        <f>SUM(SUMIFS('caseload data'!Q:Q,'caseload data'!$D:$D,"PSO",'caseload data'!$C:$C,'community caseload'!$B$43,'caseload data'!$B:$B,{"licence","community"}))</f>
        <v>0</v>
      </c>
      <c r="P46" s="107">
        <f>SUM(SUMIFS('caseload data'!R:R,'caseload data'!$D:$D,"PSO",'caseload data'!$C:$C,'community caseload'!$B$43,'caseload data'!$B:$B,{"licence","community"}))</f>
        <v>0</v>
      </c>
      <c r="Q46" s="107">
        <f>SUM(SUMIFS('caseload data'!S:S,'caseload data'!$D:$D,"PSO",'caseload data'!$C:$C,'community caseload'!$B$43,'caseload data'!$B:$B,{"licence","community"}))</f>
        <v>0</v>
      </c>
      <c r="R46" s="107">
        <f>SUM(SUMIFS('caseload data'!T:T,'caseload data'!$D:$D,"PSO",'caseload data'!$C:$C,'community caseload'!$B$43,'caseload data'!$B:$B,{"licence","community"}))</f>
        <v>0</v>
      </c>
      <c r="S46" s="76"/>
      <c r="T46" s="110" t="s">
        <v>1038</v>
      </c>
      <c r="U46" s="107">
        <f>SUM(SUMIFS('caseload data'!E:E,'caseload data'!$D:$D,"PSO",'caseload data'!$C:$C,'community caseload'!$T$43,'caseload data'!$B:$B,{"licence","community"}))</f>
        <v>0</v>
      </c>
      <c r="V46" s="107">
        <f>SUM(SUMIFS('caseload data'!F:F,'caseload data'!$D:$D,"PSO",'caseload data'!$C:$C,'community caseload'!$T$43,'caseload data'!$B:$B,{"licence","community"}))</f>
        <v>0</v>
      </c>
      <c r="W46" s="107">
        <f>SUM(SUMIFS('caseload data'!G:G,'caseload data'!$D:$D,"PSO",'caseload data'!$C:$C,'community caseload'!$T$43,'caseload data'!$B:$B,{"licence","community"}))</f>
        <v>0</v>
      </c>
      <c r="X46" s="107">
        <f>SUM(SUMIFS('caseload data'!H:H,'caseload data'!$D:$D,"PSO",'caseload data'!$C:$C,'community caseload'!$T$43,'caseload data'!$B:$B,{"licence","community"}))</f>
        <v>0</v>
      </c>
      <c r="Y46" s="107">
        <f>SUM(SUMIFS('caseload data'!I:I,'caseload data'!$D:$D,"PSO",'caseload data'!$C:$C,'community caseload'!$T$43,'caseload data'!$B:$B,{"licence","community"}))</f>
        <v>0</v>
      </c>
      <c r="Z46" s="107">
        <f>SUM(SUMIFS('caseload data'!J:J,'caseload data'!$D:$D,"PSO",'caseload data'!$C:$C,'community caseload'!$T$43,'caseload data'!$B:$B,{"licence","community"}))</f>
        <v>0</v>
      </c>
      <c r="AA46" s="107">
        <f>SUM(SUMIFS('caseload data'!K:K,'caseload data'!$D:$D,"PSO",'caseload data'!$C:$C,'community caseload'!$T$43,'caseload data'!$B:$B,{"licence","community"}))</f>
        <v>0</v>
      </c>
      <c r="AB46" s="107">
        <f>SUM(SUMIFS('caseload data'!L:L,'caseload data'!$D:$D,"PSO",'caseload data'!$C:$C,'community caseload'!$T$43,'caseload data'!$B:$B,{"licence","community"}))</f>
        <v>0</v>
      </c>
      <c r="AC46" s="107">
        <f>SUM(SUMIFS('caseload data'!M:M,'caseload data'!$D:$D,"PSO",'caseload data'!$C:$C,'community caseload'!$T$43,'caseload data'!$B:$B,{"licence","community"}))</f>
        <v>0</v>
      </c>
      <c r="AD46" s="107">
        <f>SUM(SUMIFS('caseload data'!N:N,'caseload data'!$D:$D,"PSO",'caseload data'!$C:$C,'community caseload'!$T$43,'caseload data'!$B:$B,{"licence","community"}))</f>
        <v>0</v>
      </c>
      <c r="AE46" s="107">
        <f>SUM(SUMIFS('caseload data'!O:O,'caseload data'!$D:$D,"PSO",'caseload data'!$C:$C,'community caseload'!$T$43,'caseload data'!$B:$B,{"licence","community"}))</f>
        <v>0</v>
      </c>
      <c r="AF46" s="107">
        <f>SUM(SUMIFS('caseload data'!P:P,'caseload data'!$D:$D,"PSO",'caseload data'!$C:$C,'community caseload'!$T$43,'caseload data'!$B:$B,{"licence","community"}))</f>
        <v>0</v>
      </c>
      <c r="AG46" s="107">
        <f>SUM(SUMIFS('caseload data'!Q:Q,'caseload data'!$D:$D,"PSO",'caseload data'!$C:$C,'community caseload'!$T$43,'caseload data'!$B:$B,{"licence","community"}))</f>
        <v>0</v>
      </c>
      <c r="AH46" s="107">
        <f>SUM(SUMIFS('caseload data'!R:R,'caseload data'!$D:$D,"PSO",'caseload data'!$C:$C,'community caseload'!$T$43,'caseload data'!$B:$B,{"licence","community"}))</f>
        <v>0</v>
      </c>
      <c r="AI46" s="107">
        <f>SUM(SUMIFS('caseload data'!S:S,'caseload data'!$D:$D,"PSO",'caseload data'!$C:$C,'community caseload'!$T$43,'caseload data'!$B:$B,{"licence","community"}))</f>
        <v>0</v>
      </c>
      <c r="AJ46" s="107">
        <f>SUM(SUMIFS('caseload data'!T:T,'caseload data'!$D:$D,"PSO",'caseload data'!$C:$C,'community caseload'!$T$43,'caseload data'!$B:$B,{"licence","community"}))</f>
        <v>0</v>
      </c>
    </row>
    <row r="47" spans="2:36" x14ac:dyDescent="0.15">
      <c r="B47" s="110" t="s">
        <v>1039</v>
      </c>
      <c r="C47" s="107">
        <f>SUM(SUMIFS('caseload data'!E:E,'caseload data'!$D:$D,"TPO",'caseload data'!$C:$C,'community caseload'!$B$43,'caseload data'!$B:$B,{"licence","community"}))</f>
        <v>0</v>
      </c>
      <c r="D47" s="107">
        <f>SUM(SUMIFS('caseload data'!F:F,'caseload data'!$D:$D,"TPO",'caseload data'!$C:$C,'community caseload'!$B$43,'caseload data'!$B:$B,{"licence","community"}))</f>
        <v>0</v>
      </c>
      <c r="E47" s="107">
        <f>SUM(SUMIFS('caseload data'!G:G,'caseload data'!$D:$D,"TPO",'caseload data'!$C:$C,'community caseload'!$B$43,'caseload data'!$B:$B,{"licence","community"}))</f>
        <v>0</v>
      </c>
      <c r="F47" s="107">
        <f>SUM(SUMIFS('caseload data'!H:H,'caseload data'!$D:$D,"TPO",'caseload data'!$C:$C,'community caseload'!$B$43,'caseload data'!$B:$B,{"licence","community"}))</f>
        <v>0</v>
      </c>
      <c r="G47" s="107">
        <f>SUM(SUMIFS('caseload data'!I:I,'caseload data'!$D:$D,"TPO",'caseload data'!$C:$C,'community caseload'!$B$43,'caseload data'!$B:$B,{"licence","community"}))</f>
        <v>0</v>
      </c>
      <c r="H47" s="107">
        <f>SUM(SUMIFS('caseload data'!J:J,'caseload data'!$D:$D,"TPO",'caseload data'!$C:$C,'community caseload'!$B$43,'caseload data'!$B:$B,{"licence","community"}))</f>
        <v>0</v>
      </c>
      <c r="I47" s="107">
        <f>SUM(SUMIFS('caseload data'!K:K,'caseload data'!$D:$D,"TPO",'caseload data'!$C:$C,'community caseload'!$B$43,'caseload data'!$B:$B,{"licence","community"}))</f>
        <v>0</v>
      </c>
      <c r="J47" s="107">
        <f>SUM(SUMIFS('caseload data'!L:L,'caseload data'!$D:$D,"TPO",'caseload data'!$C:$C,'community caseload'!$B$43,'caseload data'!$B:$B,{"licence","community"}))</f>
        <v>0</v>
      </c>
      <c r="K47" s="107">
        <f>SUM(SUMIFS('caseload data'!M:M,'caseload data'!$D:$D,"TPO",'caseload data'!$C:$C,'community caseload'!$B$43,'caseload data'!$B:$B,{"licence","community"}))</f>
        <v>0</v>
      </c>
      <c r="L47" s="107">
        <f>SUM(SUMIFS('caseload data'!N:N,'caseload data'!$D:$D,"TPO",'caseload data'!$C:$C,'community caseload'!$B$43,'caseload data'!$B:$B,{"licence","community"}))</f>
        <v>0</v>
      </c>
      <c r="M47" s="107">
        <f>SUM(SUMIFS('caseload data'!O:O,'caseload data'!$D:$D,"TPO",'caseload data'!$C:$C,'community caseload'!$B$43,'caseload data'!$B:$B,{"licence","community"}))</f>
        <v>0</v>
      </c>
      <c r="N47" s="107">
        <f>SUM(SUMIFS('caseload data'!P:P,'caseload data'!$D:$D,"TPO",'caseload data'!$C:$C,'community caseload'!$B$43,'caseload data'!$B:$B,{"licence","community"}))</f>
        <v>0</v>
      </c>
      <c r="O47" s="107">
        <f>SUM(SUMIFS('caseload data'!Q:Q,'caseload data'!$D:$D,"TPO",'caseload data'!$C:$C,'community caseload'!$B$43,'caseload data'!$B:$B,{"licence","community"}))</f>
        <v>0</v>
      </c>
      <c r="P47" s="107">
        <f>SUM(SUMIFS('caseload data'!R:R,'caseload data'!$D:$D,"TPO",'caseload data'!$C:$C,'community caseload'!$B$43,'caseload data'!$B:$B,{"licence","community"}))</f>
        <v>0</v>
      </c>
      <c r="Q47" s="107">
        <f>SUM(SUMIFS('caseload data'!S:S,'caseload data'!$D:$D,"TPO",'caseload data'!$C:$C,'community caseload'!$B$43,'caseload data'!$B:$B,{"licence","community"}))</f>
        <v>0</v>
      </c>
      <c r="R47" s="107">
        <f>SUM(SUMIFS('caseload data'!T:T,'caseload data'!$D:$D,"TPO",'caseload data'!$C:$C,'community caseload'!$B$43,'caseload data'!$B:$B,{"licence","community"}))</f>
        <v>0</v>
      </c>
      <c r="S47" s="76"/>
      <c r="T47" s="110" t="s">
        <v>1039</v>
      </c>
      <c r="U47" s="107">
        <f>SUM(SUMIFS('caseload data'!E:E,'caseload data'!$D:$D,"TPO",'caseload data'!$C:$C,'community caseload'!$T$43,'caseload data'!$B:$B,{"licence","community"}))</f>
        <v>0</v>
      </c>
      <c r="V47" s="107">
        <f>SUM(SUMIFS('caseload data'!F:F,'caseload data'!$D:$D,"TPO",'caseload data'!$C:$C,'community caseload'!$T$43,'caseload data'!$B:$B,{"licence","community"}))</f>
        <v>0</v>
      </c>
      <c r="W47" s="107">
        <f>SUM(SUMIFS('caseload data'!G:G,'caseload data'!$D:$D,"TPO",'caseload data'!$C:$C,'community caseload'!$T$43,'caseload data'!$B:$B,{"licence","community"}))</f>
        <v>0</v>
      </c>
      <c r="X47" s="107">
        <f>SUM(SUMIFS('caseload data'!H:H,'caseload data'!$D:$D,"TPO",'caseload data'!$C:$C,'community caseload'!$T$43,'caseload data'!$B:$B,{"licence","community"}))</f>
        <v>0</v>
      </c>
      <c r="Y47" s="107">
        <f>SUM(SUMIFS('caseload data'!I:I,'caseload data'!$D:$D,"TPO",'caseload data'!$C:$C,'community caseload'!$T$43,'caseload data'!$B:$B,{"licence","community"}))</f>
        <v>0</v>
      </c>
      <c r="Z47" s="107">
        <f>SUM(SUMIFS('caseload data'!J:J,'caseload data'!$D:$D,"TPO",'caseload data'!$C:$C,'community caseload'!$T$43,'caseload data'!$B:$B,{"licence","community"}))</f>
        <v>0</v>
      </c>
      <c r="AA47" s="107">
        <f>SUM(SUMIFS('caseload data'!K:K,'caseload data'!$D:$D,"TPO",'caseload data'!$C:$C,'community caseload'!$T$43,'caseload data'!$B:$B,{"licence","community"}))</f>
        <v>0</v>
      </c>
      <c r="AB47" s="107">
        <f>SUM(SUMIFS('caseload data'!L:L,'caseload data'!$D:$D,"TPO",'caseload data'!$C:$C,'community caseload'!$T$43,'caseload data'!$B:$B,{"licence","community"}))</f>
        <v>0</v>
      </c>
      <c r="AC47" s="107">
        <f>SUM(SUMIFS('caseload data'!M:M,'caseload data'!$D:$D,"TPO",'caseload data'!$C:$C,'community caseload'!$T$43,'caseload data'!$B:$B,{"licence","community"}))</f>
        <v>0</v>
      </c>
      <c r="AD47" s="107">
        <f>SUM(SUMIFS('caseload data'!N:N,'caseload data'!$D:$D,"TPO",'caseload data'!$C:$C,'community caseload'!$T$43,'caseload data'!$B:$B,{"licence","community"}))</f>
        <v>0</v>
      </c>
      <c r="AE47" s="107">
        <f>SUM(SUMIFS('caseload data'!O:O,'caseload data'!$D:$D,"TPO",'caseload data'!$C:$C,'community caseload'!$T$43,'caseload data'!$B:$B,{"licence","community"}))</f>
        <v>0</v>
      </c>
      <c r="AF47" s="107">
        <f>SUM(SUMIFS('caseload data'!P:P,'caseload data'!$D:$D,"TPO",'caseload data'!$C:$C,'community caseload'!$T$43,'caseload data'!$B:$B,{"licence","community"}))</f>
        <v>0</v>
      </c>
      <c r="AG47" s="107">
        <f>SUM(SUMIFS('caseload data'!Q:Q,'caseload data'!$D:$D,"TPO",'caseload data'!$C:$C,'community caseload'!$T$43,'caseload data'!$B:$B,{"licence","community"}))</f>
        <v>0</v>
      </c>
      <c r="AH47" s="107">
        <f>SUM(SUMIFS('caseload data'!R:R,'caseload data'!$D:$D,"TPO",'caseload data'!$C:$C,'community caseload'!$T$43,'caseload data'!$B:$B,{"licence","community"}))</f>
        <v>0</v>
      </c>
      <c r="AI47" s="107">
        <f>SUM(SUMIFS('caseload data'!S:S,'caseload data'!$D:$D,"TPO",'caseload data'!$C:$C,'community caseload'!$T$43,'caseload data'!$B:$B,{"licence","community"}))</f>
        <v>0</v>
      </c>
      <c r="AJ47" s="107">
        <f>SUM(SUMIFS('caseload data'!T:T,'caseload data'!$D:$D,"TPO",'caseload data'!$C:$C,'community caseload'!$T$43,'caseload data'!$B:$B,{"licence","community"}))</f>
        <v>0</v>
      </c>
    </row>
    <row r="48" spans="2:36" x14ac:dyDescent="0.15">
      <c r="B48" s="111" t="s">
        <v>1040</v>
      </c>
      <c r="C48" s="107">
        <f>SUM(SUMIFS('caseload data'!E:E,'caseload data'!$D:$D,"SPO",'caseload data'!$C:$C,'community caseload'!$B$43,'caseload data'!$B:$B,{"licence","community"}))</f>
        <v>0</v>
      </c>
      <c r="D48" s="107">
        <f>SUM(SUMIFS('caseload data'!F:F,'caseload data'!$D:$D,"SPO",'caseload data'!$C:$C,'community caseload'!$B$43,'caseload data'!$B:$B,{"licence","community"}))</f>
        <v>0</v>
      </c>
      <c r="E48" s="107">
        <f>SUM(SUMIFS('caseload data'!G:G,'caseload data'!$D:$D,"SPO",'caseload data'!$C:$C,'community caseload'!$B$43,'caseload data'!$B:$B,{"licence","community"}))</f>
        <v>0</v>
      </c>
      <c r="F48" s="107">
        <f>SUM(SUMIFS('caseload data'!H:H,'caseload data'!$D:$D,"SPO",'caseload data'!$C:$C,'community caseload'!$B$43,'caseload data'!$B:$B,{"licence","community"}))</f>
        <v>0</v>
      </c>
      <c r="G48" s="107">
        <f>SUM(SUMIFS('caseload data'!I:I,'caseload data'!$D:$D,"SPO",'caseload data'!$C:$C,'community caseload'!$B$43,'caseload data'!$B:$B,{"licence","community"}))</f>
        <v>0</v>
      </c>
      <c r="H48" s="107">
        <f>SUM(SUMIFS('caseload data'!J:J,'caseload data'!$D:$D,"SPO",'caseload data'!$C:$C,'community caseload'!$B$43,'caseload data'!$B:$B,{"licence","community"}))</f>
        <v>0</v>
      </c>
      <c r="I48" s="107">
        <f>SUM(SUMIFS('caseload data'!K:K,'caseload data'!$D:$D,"SPO",'caseload data'!$C:$C,'community caseload'!$B$43,'caseload data'!$B:$B,{"licence","community"}))</f>
        <v>0</v>
      </c>
      <c r="J48" s="107">
        <f>SUM(SUMIFS('caseload data'!L:L,'caseload data'!$D:$D,"SPO",'caseload data'!$C:$C,'community caseload'!$B$43,'caseload data'!$B:$B,{"licence","community"}))</f>
        <v>0</v>
      </c>
      <c r="K48" s="107">
        <f>SUM(SUMIFS('caseload data'!M:M,'caseload data'!$D:$D,"SPO",'caseload data'!$C:$C,'community caseload'!$B$43,'caseload data'!$B:$B,{"licence","community"}))</f>
        <v>0</v>
      </c>
      <c r="L48" s="107">
        <f>SUM(SUMIFS('caseload data'!N:N,'caseload data'!$D:$D,"SPO",'caseload data'!$C:$C,'community caseload'!$B$43,'caseload data'!$B:$B,{"licence","community"}))</f>
        <v>0</v>
      </c>
      <c r="M48" s="107">
        <f>SUM(SUMIFS('caseload data'!O:O,'caseload data'!$D:$D,"SPO",'caseload data'!$C:$C,'community caseload'!$B$43,'caseload data'!$B:$B,{"licence","community"}))</f>
        <v>0</v>
      </c>
      <c r="N48" s="107">
        <f>SUM(SUMIFS('caseload data'!P:P,'caseload data'!$D:$D,"SPO",'caseload data'!$C:$C,'community caseload'!$B$43,'caseload data'!$B:$B,{"licence","community"}))</f>
        <v>0</v>
      </c>
      <c r="O48" s="107">
        <f>SUM(SUMIFS('caseload data'!Q:Q,'caseload data'!$D:$D,"SPO",'caseload data'!$C:$C,'community caseload'!$B$43,'caseload data'!$B:$B,{"licence","community"}))</f>
        <v>0</v>
      </c>
      <c r="P48" s="107">
        <f>SUM(SUMIFS('caseload data'!R:R,'caseload data'!$D:$D,"SPO",'caseload data'!$C:$C,'community caseload'!$B$43,'caseload data'!$B:$B,{"licence","community"}))</f>
        <v>0</v>
      </c>
      <c r="Q48" s="107">
        <f>SUM(SUMIFS('caseload data'!S:S,'caseload data'!$D:$D,"SPO",'caseload data'!$C:$C,'community caseload'!$B$43,'caseload data'!$B:$B,{"licence","community"}))</f>
        <v>0</v>
      </c>
      <c r="R48" s="107">
        <f>SUM(SUMIFS('caseload data'!T:T,'caseload data'!$D:$D,"SPO",'caseload data'!$C:$C,'community caseload'!$B$43,'caseload data'!$B:$B,{"licence","community"}))</f>
        <v>0</v>
      </c>
      <c r="S48" s="76"/>
      <c r="T48" s="111" t="s">
        <v>1040</v>
      </c>
      <c r="U48" s="107">
        <f>SUM(SUMIFS('caseload data'!E:E,'caseload data'!$D:$D,"SPO",'caseload data'!$C:$C,'community caseload'!$T$43,'caseload data'!$B:$B,{"licence","community"}))</f>
        <v>0</v>
      </c>
      <c r="V48" s="107">
        <f>SUM(SUMIFS('caseload data'!F:F,'caseload data'!$D:$D,"SPO",'caseload data'!$C:$C,'community caseload'!$T$43,'caseload data'!$B:$B,{"licence","community"}))</f>
        <v>0</v>
      </c>
      <c r="W48" s="107">
        <f>SUM(SUMIFS('caseload data'!G:G,'caseload data'!$D:$D,"SPO",'caseload data'!$C:$C,'community caseload'!$T$43,'caseload data'!$B:$B,{"licence","community"}))</f>
        <v>0</v>
      </c>
      <c r="X48" s="107">
        <f>SUM(SUMIFS('caseload data'!H:H,'caseload data'!$D:$D,"SPO",'caseload data'!$C:$C,'community caseload'!$T$43,'caseload data'!$B:$B,{"licence","community"}))</f>
        <v>0</v>
      </c>
      <c r="Y48" s="107">
        <f>SUM(SUMIFS('caseload data'!I:I,'caseload data'!$D:$D,"SPO",'caseload data'!$C:$C,'community caseload'!$T$43,'caseload data'!$B:$B,{"licence","community"}))</f>
        <v>0</v>
      </c>
      <c r="Z48" s="107">
        <f>SUM(SUMIFS('caseload data'!J:J,'caseload data'!$D:$D,"SPO",'caseload data'!$C:$C,'community caseload'!$T$43,'caseload data'!$B:$B,{"licence","community"}))</f>
        <v>0</v>
      </c>
      <c r="AA48" s="107">
        <f>SUM(SUMIFS('caseload data'!K:K,'caseload data'!$D:$D,"SPO",'caseload data'!$C:$C,'community caseload'!$T$43,'caseload data'!$B:$B,{"licence","community"}))</f>
        <v>0</v>
      </c>
      <c r="AB48" s="107">
        <f>SUM(SUMIFS('caseload data'!L:L,'caseload data'!$D:$D,"SPO",'caseload data'!$C:$C,'community caseload'!$T$43,'caseload data'!$B:$B,{"licence","community"}))</f>
        <v>0</v>
      </c>
      <c r="AC48" s="107">
        <f>SUM(SUMIFS('caseload data'!M:M,'caseload data'!$D:$D,"SPO",'caseload data'!$C:$C,'community caseload'!$T$43,'caseload data'!$B:$B,{"licence","community"}))</f>
        <v>0</v>
      </c>
      <c r="AD48" s="107">
        <f>SUM(SUMIFS('caseload data'!N:N,'caseload data'!$D:$D,"SPO",'caseload data'!$C:$C,'community caseload'!$T$43,'caseload data'!$B:$B,{"licence","community"}))</f>
        <v>0</v>
      </c>
      <c r="AE48" s="107">
        <f>SUM(SUMIFS('caseload data'!O:O,'caseload data'!$D:$D,"SPO",'caseload data'!$C:$C,'community caseload'!$T$43,'caseload data'!$B:$B,{"licence","community"}))</f>
        <v>0</v>
      </c>
      <c r="AF48" s="107">
        <f>SUM(SUMIFS('caseload data'!P:P,'caseload data'!$D:$D,"SPO",'caseload data'!$C:$C,'community caseload'!$T$43,'caseload data'!$B:$B,{"licence","community"}))</f>
        <v>0</v>
      </c>
      <c r="AG48" s="107">
        <f>SUM(SUMIFS('caseload data'!Q:Q,'caseload data'!$D:$D,"SPO",'caseload data'!$C:$C,'community caseload'!$T$43,'caseload data'!$B:$B,{"licence","community"}))</f>
        <v>0</v>
      </c>
      <c r="AH48" s="107">
        <f>SUM(SUMIFS('caseload data'!R:R,'caseload data'!$D:$D,"SPO",'caseload data'!$C:$C,'community caseload'!$T$43,'caseload data'!$B:$B,{"licence","community"}))</f>
        <v>0</v>
      </c>
      <c r="AI48" s="107">
        <f>SUM(SUMIFS('caseload data'!S:S,'caseload data'!$D:$D,"SPO",'caseload data'!$C:$C,'community caseload'!$T$43,'caseload data'!$B:$B,{"licence","community"}))</f>
        <v>0</v>
      </c>
      <c r="AJ48" s="107">
        <f>SUM(SUMIFS('caseload data'!T:T,'caseload data'!$D:$D,"SPO",'caseload data'!$C:$C,'community caseload'!$T$43,'caseload data'!$B:$B,{"licence","community"}))</f>
        <v>0</v>
      </c>
    </row>
    <row r="49" spans="2:36" x14ac:dyDescent="0.15">
      <c r="B49" s="104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0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</row>
    <row r="50" spans="2:36" ht="45.75" customHeight="1" x14ac:dyDescent="0.15">
      <c r="B50" s="162" t="str">
        <f>HLOOKUP($B$5,Region_Table,14,0)</f>
        <v>West Berkshire</v>
      </c>
      <c r="C50" s="333" t="s">
        <v>1266</v>
      </c>
      <c r="D50" s="334"/>
      <c r="E50" s="334"/>
      <c r="F50" s="334"/>
      <c r="G50" s="334"/>
      <c r="H50" s="334"/>
      <c r="I50" s="334"/>
      <c r="J50" s="334"/>
      <c r="K50" s="334"/>
      <c r="L50" s="334"/>
      <c r="M50" s="343"/>
      <c r="N50" s="343"/>
      <c r="O50" s="344"/>
      <c r="P50" s="337" cm="1">
        <f t="array" ref="P50">SUM(SUMIFS('caseload data'!V:V,'caseload data'!B:B,{"licence","community"},'caseload data'!$C:$C,'community caseload'!B50))</f>
        <v>0</v>
      </c>
      <c r="Q50" s="345"/>
      <c r="R50" s="346"/>
      <c r="S50" s="76"/>
      <c r="T50" s="162">
        <f>HLOOKUP($B$5,Region_Table,15,0)</f>
        <v>0</v>
      </c>
      <c r="U50" s="333" t="s">
        <v>1266</v>
      </c>
      <c r="V50" s="334"/>
      <c r="W50" s="334"/>
      <c r="X50" s="334"/>
      <c r="Y50" s="334"/>
      <c r="Z50" s="334"/>
      <c r="AA50" s="334"/>
      <c r="AB50" s="334"/>
      <c r="AC50" s="334"/>
      <c r="AD50" s="334"/>
      <c r="AE50" s="343"/>
      <c r="AF50" s="343"/>
      <c r="AG50" s="344"/>
      <c r="AH50" s="337" cm="1">
        <f t="array" ref="AH50">SUM(SUMIFS('caseload data'!V:V,'caseload data'!B:B,{"licence","community"},'caseload data'!$C:$C,'community caseload'!T50))</f>
        <v>0</v>
      </c>
      <c r="AI50" s="345"/>
      <c r="AJ50" s="346"/>
    </row>
    <row r="51" spans="2:36" x14ac:dyDescent="0.15">
      <c r="B51" s="108" t="s">
        <v>1199</v>
      </c>
      <c r="C51" s="42" t="s">
        <v>1019</v>
      </c>
      <c r="D51" s="42" t="s">
        <v>1020</v>
      </c>
      <c r="E51" s="42" t="s">
        <v>1021</v>
      </c>
      <c r="F51" s="42" t="s">
        <v>1022</v>
      </c>
      <c r="G51" s="42" t="s">
        <v>1023</v>
      </c>
      <c r="H51" s="42" t="s">
        <v>1024</v>
      </c>
      <c r="I51" s="42" t="s">
        <v>1025</v>
      </c>
      <c r="J51" s="42" t="s">
        <v>1026</v>
      </c>
      <c r="K51" s="42" t="s">
        <v>1027</v>
      </c>
      <c r="L51" s="42" t="s">
        <v>1028</v>
      </c>
      <c r="M51" s="42" t="s">
        <v>1029</v>
      </c>
      <c r="N51" s="42" t="s">
        <v>1030</v>
      </c>
      <c r="O51" s="42" t="s">
        <v>1031</v>
      </c>
      <c r="P51" s="42" t="s">
        <v>1032</v>
      </c>
      <c r="Q51" s="42" t="s">
        <v>1033</v>
      </c>
      <c r="R51" s="42" t="s">
        <v>1034</v>
      </c>
      <c r="S51" s="76"/>
      <c r="T51" s="108" t="s">
        <v>1199</v>
      </c>
      <c r="U51" s="42" t="s">
        <v>1019</v>
      </c>
      <c r="V51" s="42" t="s">
        <v>1020</v>
      </c>
      <c r="W51" s="42" t="s">
        <v>1021</v>
      </c>
      <c r="X51" s="42" t="s">
        <v>1022</v>
      </c>
      <c r="Y51" s="42" t="s">
        <v>1023</v>
      </c>
      <c r="Z51" s="42" t="s">
        <v>1024</v>
      </c>
      <c r="AA51" s="42" t="s">
        <v>1025</v>
      </c>
      <c r="AB51" s="42" t="s">
        <v>1026</v>
      </c>
      <c r="AC51" s="42" t="s">
        <v>1027</v>
      </c>
      <c r="AD51" s="42" t="s">
        <v>1028</v>
      </c>
      <c r="AE51" s="42" t="s">
        <v>1029</v>
      </c>
      <c r="AF51" s="42" t="s">
        <v>1030</v>
      </c>
      <c r="AG51" s="42" t="s">
        <v>1031</v>
      </c>
      <c r="AH51" s="42" t="s">
        <v>1032</v>
      </c>
      <c r="AI51" s="42" t="s">
        <v>1033</v>
      </c>
      <c r="AJ51" s="42" t="s">
        <v>1034</v>
      </c>
    </row>
    <row r="52" spans="2:36" x14ac:dyDescent="0.15">
      <c r="B52" s="109" t="s">
        <v>1037</v>
      </c>
      <c r="C52" s="107">
        <f>SUM(SUMIFS('caseload data'!E:E,'caseload data'!$D:$D,"PO",'caseload data'!$C:$C,'community caseload'!$B$50,'caseload data'!$B:$B,{"licence","community"}))</f>
        <v>0</v>
      </c>
      <c r="D52" s="107">
        <f>SUM(SUMIFS('caseload data'!F:F,'caseload data'!$D:$D,"PO",'caseload data'!$C:$C,'community caseload'!$B$50,'caseload data'!$B:$B,{"licence","community"}))</f>
        <v>0</v>
      </c>
      <c r="E52" s="107">
        <f>SUM(SUMIFS('caseload data'!G:G,'caseload data'!$D:$D,"PO",'caseload data'!$C:$C,'community caseload'!$B$50,'caseload data'!$B:$B,{"licence","community"}))</f>
        <v>0</v>
      </c>
      <c r="F52" s="107">
        <f>SUM(SUMIFS('caseload data'!H:H,'caseload data'!$D:$D,"PO",'caseload data'!$C:$C,'community caseload'!$B$50,'caseload data'!$B:$B,{"licence","community"}))</f>
        <v>0</v>
      </c>
      <c r="G52" s="107">
        <f>SUM(SUMIFS('caseload data'!I:I,'caseload data'!$D:$D,"PO",'caseload data'!$C:$C,'community caseload'!$B$50,'caseload data'!$B:$B,{"licence","community"}))</f>
        <v>0</v>
      </c>
      <c r="H52" s="107">
        <f>SUM(SUMIFS('caseload data'!J:J,'caseload data'!$D:$D,"PO",'caseload data'!$C:$C,'community caseload'!$B$50,'caseload data'!$B:$B,{"licence","community"}))</f>
        <v>0</v>
      </c>
      <c r="I52" s="107">
        <f>SUM(SUMIFS('caseload data'!K:K,'caseload data'!$D:$D,"PO",'caseload data'!$C:$C,'community caseload'!$B$50,'caseload data'!$B:$B,{"licence","community"}))</f>
        <v>0</v>
      </c>
      <c r="J52" s="107">
        <f>SUM(SUMIFS('caseload data'!L:L,'caseload data'!$D:$D,"PO",'caseload data'!$C:$C,'community caseload'!$B$50,'caseload data'!$B:$B,{"licence","community"}))</f>
        <v>0</v>
      </c>
      <c r="K52" s="107">
        <f>SUM(SUMIFS('caseload data'!M:M,'caseload data'!$D:$D,"PO",'caseload data'!$C:$C,'community caseload'!$B$50,'caseload data'!$B:$B,{"licence","community"}))</f>
        <v>0</v>
      </c>
      <c r="L52" s="107">
        <f>SUM(SUMIFS('caseload data'!N:N,'caseload data'!$D:$D,"PO",'caseload data'!$C:$C,'community caseload'!$B$50,'caseload data'!$B:$B,{"licence","community"}))</f>
        <v>0</v>
      </c>
      <c r="M52" s="107">
        <f>SUM(SUMIFS('caseload data'!O:O,'caseload data'!$D:$D,"PO",'caseload data'!$C:$C,'community caseload'!$B$50,'caseload data'!$B:$B,{"licence","community"}))</f>
        <v>0</v>
      </c>
      <c r="N52" s="107">
        <f>SUM(SUMIFS('caseload data'!P:P,'caseload data'!$D:$D,"PO",'caseload data'!$C:$C,'community caseload'!$B$50,'caseload data'!$B:$B,{"licence","community"}))</f>
        <v>0</v>
      </c>
      <c r="O52" s="107">
        <f>SUM(SUMIFS('caseload data'!Q:Q,'caseload data'!$D:$D,"PO",'caseload data'!$C:$C,'community caseload'!$B$50,'caseload data'!$B:$B,{"licence","community"}))</f>
        <v>0</v>
      </c>
      <c r="P52" s="107">
        <f>SUM(SUMIFS('caseload data'!R:R,'caseload data'!$D:$D,"PO",'caseload data'!$C:$C,'community caseload'!$B$50,'caseload data'!$B:$B,{"licence","community"}))</f>
        <v>0</v>
      </c>
      <c r="Q52" s="107">
        <f>SUM(SUMIFS('caseload data'!S:S,'caseload data'!$D:$D,"PO",'caseload data'!$C:$C,'community caseload'!$B$50,'caseload data'!$B:$B,{"licence","community"}))</f>
        <v>0</v>
      </c>
      <c r="R52" s="107">
        <f>SUM(SUMIFS('caseload data'!T:T,'caseload data'!$D:$D,"PO",'caseload data'!$C:$C,'community caseload'!$B$50,'caseload data'!$B:$B,{"licence","community"}))</f>
        <v>0</v>
      </c>
      <c r="S52" s="76"/>
      <c r="T52" s="109" t="s">
        <v>1037</v>
      </c>
      <c r="U52" s="107">
        <f>SUM(SUMIFS('caseload data'!E:E,'caseload data'!$D:$D,"PO",'caseload data'!$C:$C,'community caseload'!$T$50,'caseload data'!$B:$B,{"licence","community"}))</f>
        <v>0</v>
      </c>
      <c r="V52" s="107">
        <f>SUM(SUMIFS('caseload data'!F:F,'caseload data'!$D:$D,"PO",'caseload data'!$C:$C,'community caseload'!$T$50,'caseload data'!$B:$B,{"licence","community"}))</f>
        <v>0</v>
      </c>
      <c r="W52" s="107">
        <f>SUM(SUMIFS('caseload data'!G:G,'caseload data'!$D:$D,"PO",'caseload data'!$C:$C,'community caseload'!$T$50,'caseload data'!$B:$B,{"licence","community"}))</f>
        <v>0</v>
      </c>
      <c r="X52" s="107">
        <f>SUM(SUMIFS('caseload data'!H:H,'caseload data'!$D:$D,"PO",'caseload data'!$C:$C,'community caseload'!$T$50,'caseload data'!$B:$B,{"licence","community"}))</f>
        <v>0</v>
      </c>
      <c r="Y52" s="107">
        <f>SUM(SUMIFS('caseload data'!I:I,'caseload data'!$D:$D,"PO",'caseload data'!$C:$C,'community caseload'!$T$50,'caseload data'!$B:$B,{"licence","community"}))</f>
        <v>0</v>
      </c>
      <c r="Z52" s="107">
        <f>SUM(SUMIFS('caseload data'!J:J,'caseload data'!$D:$D,"PO",'caseload data'!$C:$C,'community caseload'!$T$50,'caseload data'!$B:$B,{"licence","community"}))</f>
        <v>0</v>
      </c>
      <c r="AA52" s="107">
        <f>SUM(SUMIFS('caseload data'!K:K,'caseload data'!$D:$D,"PO",'caseload data'!$C:$C,'community caseload'!$T$50,'caseload data'!$B:$B,{"licence","community"}))</f>
        <v>0</v>
      </c>
      <c r="AB52" s="107">
        <f>SUM(SUMIFS('caseload data'!L:L,'caseload data'!$D:$D,"PO",'caseload data'!$C:$C,'community caseload'!$T$50,'caseload data'!$B:$B,{"licence","community"}))</f>
        <v>0</v>
      </c>
      <c r="AC52" s="107">
        <f>SUM(SUMIFS('caseload data'!M:M,'caseload data'!$D:$D,"PO",'caseload data'!$C:$C,'community caseload'!$T$50,'caseload data'!$B:$B,{"licence","community"}))</f>
        <v>0</v>
      </c>
      <c r="AD52" s="107">
        <f>SUM(SUMIFS('caseload data'!N:N,'caseload data'!$D:$D,"PO",'caseload data'!$C:$C,'community caseload'!$T$50,'caseload data'!$B:$B,{"licence","community"}))</f>
        <v>0</v>
      </c>
      <c r="AE52" s="107">
        <f>SUM(SUMIFS('caseload data'!O:O,'caseload data'!$D:$D,"PO",'caseload data'!$C:$C,'community caseload'!$T$50,'caseload data'!$B:$B,{"licence","community"}))</f>
        <v>0</v>
      </c>
      <c r="AF52" s="107">
        <f>SUM(SUMIFS('caseload data'!P:P,'caseload data'!$D:$D,"PO",'caseload data'!$C:$C,'community caseload'!$T$50,'caseload data'!$B:$B,{"licence","community"}))</f>
        <v>0</v>
      </c>
      <c r="AG52" s="107">
        <f>SUM(SUMIFS('caseload data'!Q:Q,'caseload data'!$D:$D,"PO",'caseload data'!$C:$C,'community caseload'!$T$50,'caseload data'!$B:$B,{"licence","community"}))</f>
        <v>0</v>
      </c>
      <c r="AH52" s="107">
        <f>SUM(SUMIFS('caseload data'!R:R,'caseload data'!$D:$D,"PO",'caseload data'!$C:$C,'community caseload'!$T$50,'caseload data'!$B:$B,{"licence","community"}))</f>
        <v>0</v>
      </c>
      <c r="AI52" s="107">
        <f>SUM(SUMIFS('caseload data'!S:S,'caseload data'!$D:$D,"PO",'caseload data'!$C:$C,'community caseload'!$T$50,'caseload data'!$B:$B,{"licence","community"}))</f>
        <v>0</v>
      </c>
      <c r="AJ52" s="107">
        <f>SUM(SUMIFS('caseload data'!T:T,'caseload data'!$D:$D,"PO",'caseload data'!$C:$C,'community caseload'!$T$50,'caseload data'!$B:$B,{"licence","community"}))</f>
        <v>0</v>
      </c>
    </row>
    <row r="53" spans="2:36" x14ac:dyDescent="0.15">
      <c r="B53" s="110" t="s">
        <v>1038</v>
      </c>
      <c r="C53" s="107">
        <f>SUM(SUMIFS('caseload data'!E:E,'caseload data'!$D:$D,"PSO",'caseload data'!$C:$C,'community caseload'!$B$50,'caseload data'!$B:$B,{"licence","community"}))</f>
        <v>0</v>
      </c>
      <c r="D53" s="107">
        <f>SUM(SUMIFS('caseload data'!F:F,'caseload data'!$D:$D,"PSO",'caseload data'!$C:$C,'community caseload'!$B$50,'caseload data'!$B:$B,{"licence","community"}))</f>
        <v>0</v>
      </c>
      <c r="E53" s="107">
        <f>SUM(SUMIFS('caseload data'!G:G,'caseload data'!$D:$D,"PSO",'caseload data'!$C:$C,'community caseload'!$B$50,'caseload data'!$B:$B,{"licence","community"}))</f>
        <v>0</v>
      </c>
      <c r="F53" s="107">
        <f>SUM(SUMIFS('caseload data'!H:H,'caseload data'!$D:$D,"PSO",'caseload data'!$C:$C,'community caseload'!$B$50,'caseload data'!$B:$B,{"licence","community"}))</f>
        <v>0</v>
      </c>
      <c r="G53" s="107">
        <f>SUM(SUMIFS('caseload data'!I:I,'caseload data'!$D:$D,"PSO",'caseload data'!$C:$C,'community caseload'!$B$50,'caseload data'!$B:$B,{"licence","community"}))</f>
        <v>0</v>
      </c>
      <c r="H53" s="107">
        <f>SUM(SUMIFS('caseload data'!J:J,'caseload data'!$D:$D,"PSO",'caseload data'!$C:$C,'community caseload'!$B$50,'caseload data'!$B:$B,{"licence","community"}))</f>
        <v>0</v>
      </c>
      <c r="I53" s="107">
        <f>SUM(SUMIFS('caseload data'!K:K,'caseload data'!$D:$D,"PSO",'caseload data'!$C:$C,'community caseload'!$B$50,'caseload data'!$B:$B,{"licence","community"}))</f>
        <v>0</v>
      </c>
      <c r="J53" s="107">
        <f>SUM(SUMIFS('caseload data'!L:L,'caseload data'!$D:$D,"PSO",'caseload data'!$C:$C,'community caseload'!$B$50,'caseload data'!$B:$B,{"licence","community"}))</f>
        <v>0</v>
      </c>
      <c r="K53" s="107">
        <f>SUM(SUMIFS('caseload data'!M:M,'caseload data'!$D:$D,"PSO",'caseload data'!$C:$C,'community caseload'!$B$50,'caseload data'!$B:$B,{"licence","community"}))</f>
        <v>0</v>
      </c>
      <c r="L53" s="107">
        <f>SUM(SUMIFS('caseload data'!N:N,'caseload data'!$D:$D,"PSO",'caseload data'!$C:$C,'community caseload'!$B$50,'caseload data'!$B:$B,{"licence","community"}))</f>
        <v>0</v>
      </c>
      <c r="M53" s="107">
        <f>SUM(SUMIFS('caseload data'!O:O,'caseload data'!$D:$D,"PSO",'caseload data'!$C:$C,'community caseload'!$B$50,'caseload data'!$B:$B,{"licence","community"}))</f>
        <v>0</v>
      </c>
      <c r="N53" s="107">
        <f>SUM(SUMIFS('caseload data'!P:P,'caseload data'!$D:$D,"PSO",'caseload data'!$C:$C,'community caseload'!$B$50,'caseload data'!$B:$B,{"licence","community"}))</f>
        <v>0</v>
      </c>
      <c r="O53" s="107">
        <f>SUM(SUMIFS('caseload data'!Q:Q,'caseload data'!$D:$D,"PSO",'caseload data'!$C:$C,'community caseload'!$B$50,'caseload data'!$B:$B,{"licence","community"}))</f>
        <v>0</v>
      </c>
      <c r="P53" s="107">
        <f>SUM(SUMIFS('caseload data'!R:R,'caseload data'!$D:$D,"PSO",'caseload data'!$C:$C,'community caseload'!$B$50,'caseload data'!$B:$B,{"licence","community"}))</f>
        <v>0</v>
      </c>
      <c r="Q53" s="107">
        <f>SUM(SUMIFS('caseload data'!S:S,'caseload data'!$D:$D,"PSO",'caseload data'!$C:$C,'community caseload'!$B$50,'caseload data'!$B:$B,{"licence","community"}))</f>
        <v>0</v>
      </c>
      <c r="R53" s="107">
        <f>SUM(SUMIFS('caseload data'!T:T,'caseload data'!$D:$D,"PSO",'caseload data'!$C:$C,'community caseload'!$B$50,'caseload data'!$B:$B,{"licence","community"}))</f>
        <v>0</v>
      </c>
      <c r="S53" s="76"/>
      <c r="T53" s="110" t="s">
        <v>1038</v>
      </c>
      <c r="U53" s="107">
        <f>SUM(SUMIFS('caseload data'!E:E,'caseload data'!$D:$D,"PSO",'caseload data'!$C:$C,'community caseload'!$T$50,'caseload data'!$B:$B,{"licence","community"}))</f>
        <v>0</v>
      </c>
      <c r="V53" s="107">
        <f>SUM(SUMIFS('caseload data'!F:F,'caseload data'!$D:$D,"PSO",'caseload data'!$C:$C,'community caseload'!$T$50,'caseload data'!$B:$B,{"licence","community"}))</f>
        <v>0</v>
      </c>
      <c r="W53" s="107">
        <f>SUM(SUMIFS('caseload data'!G:G,'caseload data'!$D:$D,"PSO",'caseload data'!$C:$C,'community caseload'!$T$50,'caseload data'!$B:$B,{"licence","community"}))</f>
        <v>0</v>
      </c>
      <c r="X53" s="107">
        <f>SUM(SUMIFS('caseload data'!H:H,'caseload data'!$D:$D,"PSO",'caseload data'!$C:$C,'community caseload'!$T$50,'caseload data'!$B:$B,{"licence","community"}))</f>
        <v>0</v>
      </c>
      <c r="Y53" s="107">
        <f>SUM(SUMIFS('caseload data'!I:I,'caseload data'!$D:$D,"PSO",'caseload data'!$C:$C,'community caseload'!$T$50,'caseload data'!$B:$B,{"licence","community"}))</f>
        <v>0</v>
      </c>
      <c r="Z53" s="107">
        <f>SUM(SUMIFS('caseload data'!J:J,'caseload data'!$D:$D,"PSO",'caseload data'!$C:$C,'community caseload'!$T$50,'caseload data'!$B:$B,{"licence","community"}))</f>
        <v>0</v>
      </c>
      <c r="AA53" s="107">
        <f>SUM(SUMIFS('caseload data'!K:K,'caseload data'!$D:$D,"PSO",'caseload data'!$C:$C,'community caseload'!$T$50,'caseload data'!$B:$B,{"licence","community"}))</f>
        <v>0</v>
      </c>
      <c r="AB53" s="107">
        <f>SUM(SUMIFS('caseload data'!L:L,'caseload data'!$D:$D,"PSO",'caseload data'!$C:$C,'community caseload'!$T$50,'caseload data'!$B:$B,{"licence","community"}))</f>
        <v>0</v>
      </c>
      <c r="AC53" s="107">
        <f>SUM(SUMIFS('caseload data'!M:M,'caseload data'!$D:$D,"PSO",'caseload data'!$C:$C,'community caseload'!$T$50,'caseload data'!$B:$B,{"licence","community"}))</f>
        <v>0</v>
      </c>
      <c r="AD53" s="107">
        <f>SUM(SUMIFS('caseload data'!N:N,'caseload data'!$D:$D,"PSO",'caseload data'!$C:$C,'community caseload'!$T$50,'caseload data'!$B:$B,{"licence","community"}))</f>
        <v>0</v>
      </c>
      <c r="AE53" s="107">
        <f>SUM(SUMIFS('caseload data'!O:O,'caseload data'!$D:$D,"PSO",'caseload data'!$C:$C,'community caseload'!$T$50,'caseload data'!$B:$B,{"licence","community"}))</f>
        <v>0</v>
      </c>
      <c r="AF53" s="107">
        <f>SUM(SUMIFS('caseload data'!P:P,'caseload data'!$D:$D,"PSO",'caseload data'!$C:$C,'community caseload'!$T$50,'caseload data'!$B:$B,{"licence","community"}))</f>
        <v>0</v>
      </c>
      <c r="AG53" s="107">
        <f>SUM(SUMIFS('caseload data'!Q:Q,'caseload data'!$D:$D,"PSO",'caseload data'!$C:$C,'community caseload'!$T$50,'caseload data'!$B:$B,{"licence","community"}))</f>
        <v>0</v>
      </c>
      <c r="AH53" s="107">
        <f>SUM(SUMIFS('caseload data'!R:R,'caseload data'!$D:$D,"PSO",'caseload data'!$C:$C,'community caseload'!$T$50,'caseload data'!$B:$B,{"licence","community"}))</f>
        <v>0</v>
      </c>
      <c r="AI53" s="107">
        <f>SUM(SUMIFS('caseload data'!S:S,'caseload data'!$D:$D,"PSO",'caseload data'!$C:$C,'community caseload'!$T$50,'caseload data'!$B:$B,{"licence","community"}))</f>
        <v>0</v>
      </c>
      <c r="AJ53" s="107">
        <f>SUM(SUMIFS('caseload data'!T:T,'caseload data'!$D:$D,"PSO",'caseload data'!$C:$C,'community caseload'!$T$50,'caseload data'!$B:$B,{"licence","community"}))</f>
        <v>0</v>
      </c>
    </row>
    <row r="54" spans="2:36" x14ac:dyDescent="0.15">
      <c r="B54" s="110" t="s">
        <v>1039</v>
      </c>
      <c r="C54" s="107">
        <f>SUM(SUMIFS('caseload data'!E:E,'caseload data'!$D:$D,"TPO",'caseload data'!$C:$C,'community caseload'!$B$50,'caseload data'!$B:$B,{"licence","community"}))</f>
        <v>0</v>
      </c>
      <c r="D54" s="107">
        <f>SUM(SUMIFS('caseload data'!F:F,'caseload data'!$D:$D,"TPO",'caseload data'!$C:$C,'community caseload'!$B$50,'caseload data'!$B:$B,{"licence","community"}))</f>
        <v>0</v>
      </c>
      <c r="E54" s="107">
        <f>SUM(SUMIFS('caseload data'!G:G,'caseload data'!$D:$D,"TPO",'caseload data'!$C:$C,'community caseload'!$B$50,'caseload data'!$B:$B,{"licence","community"}))</f>
        <v>0</v>
      </c>
      <c r="F54" s="107">
        <f>SUM(SUMIFS('caseload data'!H:H,'caseload data'!$D:$D,"TPO",'caseload data'!$C:$C,'community caseload'!$B$50,'caseload data'!$B:$B,{"licence","community"}))</f>
        <v>0</v>
      </c>
      <c r="G54" s="107">
        <f>SUM(SUMIFS('caseload data'!I:I,'caseload data'!$D:$D,"TPO",'caseload data'!$C:$C,'community caseload'!$B$50,'caseload data'!$B:$B,{"licence","community"}))</f>
        <v>0</v>
      </c>
      <c r="H54" s="107">
        <f>SUM(SUMIFS('caseload data'!J:J,'caseload data'!$D:$D,"TPO",'caseload data'!$C:$C,'community caseload'!$B$50,'caseload data'!$B:$B,{"licence","community"}))</f>
        <v>0</v>
      </c>
      <c r="I54" s="107">
        <f>SUM(SUMIFS('caseload data'!K:K,'caseload data'!$D:$D,"TPO",'caseload data'!$C:$C,'community caseload'!$B$50,'caseload data'!$B:$B,{"licence","community"}))</f>
        <v>0</v>
      </c>
      <c r="J54" s="107">
        <f>SUM(SUMIFS('caseload data'!L:L,'caseload data'!$D:$D,"TPO",'caseload data'!$C:$C,'community caseload'!$B$50,'caseload data'!$B:$B,{"licence","community"}))</f>
        <v>0</v>
      </c>
      <c r="K54" s="107">
        <f>SUM(SUMIFS('caseload data'!M:M,'caseload data'!$D:$D,"TPO",'caseload data'!$C:$C,'community caseload'!$B$50,'caseload data'!$B:$B,{"licence","community"}))</f>
        <v>0</v>
      </c>
      <c r="L54" s="107">
        <f>SUM(SUMIFS('caseload data'!N:N,'caseload data'!$D:$D,"TPO",'caseload data'!$C:$C,'community caseload'!$B$50,'caseload data'!$B:$B,{"licence","community"}))</f>
        <v>0</v>
      </c>
      <c r="M54" s="107">
        <f>SUM(SUMIFS('caseload data'!O:O,'caseload data'!$D:$D,"TPO",'caseload data'!$C:$C,'community caseload'!$B$50,'caseload data'!$B:$B,{"licence","community"}))</f>
        <v>0</v>
      </c>
      <c r="N54" s="107">
        <f>SUM(SUMIFS('caseload data'!P:P,'caseload data'!$D:$D,"TPO",'caseload data'!$C:$C,'community caseload'!$B$50,'caseload data'!$B:$B,{"licence","community"}))</f>
        <v>0</v>
      </c>
      <c r="O54" s="107">
        <f>SUM(SUMIFS('caseload data'!Q:Q,'caseload data'!$D:$D,"TPO",'caseload data'!$C:$C,'community caseload'!$B$50,'caseload data'!$B:$B,{"licence","community"}))</f>
        <v>0</v>
      </c>
      <c r="P54" s="107">
        <f>SUM(SUMIFS('caseload data'!R:R,'caseload data'!$D:$D,"TPO",'caseload data'!$C:$C,'community caseload'!$B$50,'caseload data'!$B:$B,{"licence","community"}))</f>
        <v>0</v>
      </c>
      <c r="Q54" s="107">
        <f>SUM(SUMIFS('caseload data'!S:S,'caseload data'!$D:$D,"TPO",'caseload data'!$C:$C,'community caseload'!$B$50,'caseload data'!$B:$B,{"licence","community"}))</f>
        <v>0</v>
      </c>
      <c r="R54" s="107">
        <f>SUM(SUMIFS('caseload data'!T:T,'caseload data'!$D:$D,"TPO",'caseload data'!$C:$C,'community caseload'!$B$50,'caseload data'!$B:$B,{"licence","community"}))</f>
        <v>0</v>
      </c>
      <c r="S54" s="76"/>
      <c r="T54" s="110" t="s">
        <v>1039</v>
      </c>
      <c r="U54" s="107">
        <f>SUM(SUMIFS('caseload data'!E:E,'caseload data'!$D:$D,"TPO",'caseload data'!$C:$C,'community caseload'!$T$50,'caseload data'!$B:$B,{"licence","community"}))</f>
        <v>0</v>
      </c>
      <c r="V54" s="107">
        <f>SUM(SUMIFS('caseload data'!F:F,'caseload data'!$D:$D,"TPO",'caseload data'!$C:$C,'community caseload'!$T$50,'caseload data'!$B:$B,{"licence","community"}))</f>
        <v>0</v>
      </c>
      <c r="W54" s="107">
        <f>SUM(SUMIFS('caseload data'!G:G,'caseload data'!$D:$D,"TPO",'caseload data'!$C:$C,'community caseload'!$T$50,'caseload data'!$B:$B,{"licence","community"}))</f>
        <v>0</v>
      </c>
      <c r="X54" s="107">
        <f>SUM(SUMIFS('caseload data'!H:H,'caseload data'!$D:$D,"TPO",'caseload data'!$C:$C,'community caseload'!$T$50,'caseload data'!$B:$B,{"licence","community"}))</f>
        <v>0</v>
      </c>
      <c r="Y54" s="107">
        <f>SUM(SUMIFS('caseload data'!I:I,'caseload data'!$D:$D,"TPO",'caseload data'!$C:$C,'community caseload'!$T$50,'caseload data'!$B:$B,{"licence","community"}))</f>
        <v>0</v>
      </c>
      <c r="Z54" s="107">
        <f>SUM(SUMIFS('caseload data'!J:J,'caseload data'!$D:$D,"TPO",'caseload data'!$C:$C,'community caseload'!$T$50,'caseload data'!$B:$B,{"licence","community"}))</f>
        <v>0</v>
      </c>
      <c r="AA54" s="107">
        <f>SUM(SUMIFS('caseload data'!K:K,'caseload data'!$D:$D,"TPO",'caseload data'!$C:$C,'community caseload'!$T$50,'caseload data'!$B:$B,{"licence","community"}))</f>
        <v>0</v>
      </c>
      <c r="AB54" s="107">
        <f>SUM(SUMIFS('caseload data'!L:L,'caseload data'!$D:$D,"TPO",'caseload data'!$C:$C,'community caseload'!$T$50,'caseload data'!$B:$B,{"licence","community"}))</f>
        <v>0</v>
      </c>
      <c r="AC54" s="107">
        <f>SUM(SUMIFS('caseload data'!M:M,'caseload data'!$D:$D,"TPO",'caseload data'!$C:$C,'community caseload'!$T$50,'caseload data'!$B:$B,{"licence","community"}))</f>
        <v>0</v>
      </c>
      <c r="AD54" s="107">
        <f>SUM(SUMIFS('caseload data'!N:N,'caseload data'!$D:$D,"TPO",'caseload data'!$C:$C,'community caseload'!$T$50,'caseload data'!$B:$B,{"licence","community"}))</f>
        <v>0</v>
      </c>
      <c r="AE54" s="107">
        <f>SUM(SUMIFS('caseload data'!O:O,'caseload data'!$D:$D,"TPO",'caseload data'!$C:$C,'community caseload'!$T$50,'caseload data'!$B:$B,{"licence","community"}))</f>
        <v>0</v>
      </c>
      <c r="AF54" s="107">
        <f>SUM(SUMIFS('caseload data'!P:P,'caseload data'!$D:$D,"TPO",'caseload data'!$C:$C,'community caseload'!$T$50,'caseload data'!$B:$B,{"licence","community"}))</f>
        <v>0</v>
      </c>
      <c r="AG54" s="107">
        <f>SUM(SUMIFS('caseload data'!Q:Q,'caseload data'!$D:$D,"TPO",'caseload data'!$C:$C,'community caseload'!$T$50,'caseload data'!$B:$B,{"licence","community"}))</f>
        <v>0</v>
      </c>
      <c r="AH54" s="107">
        <f>SUM(SUMIFS('caseload data'!R:R,'caseload data'!$D:$D,"TPO",'caseload data'!$C:$C,'community caseload'!$T$50,'caseload data'!$B:$B,{"licence","community"}))</f>
        <v>0</v>
      </c>
      <c r="AI54" s="107">
        <f>SUM(SUMIFS('caseload data'!S:S,'caseload data'!$D:$D,"TPO",'caseload data'!$C:$C,'community caseload'!$T$50,'caseload data'!$B:$B,{"licence","community"}))</f>
        <v>0</v>
      </c>
      <c r="AJ54" s="107">
        <f>SUM(SUMIFS('caseload data'!T:T,'caseload data'!$D:$D,"TPO",'caseload data'!$C:$C,'community caseload'!$T$50,'caseload data'!$B:$B,{"licence","community"}))</f>
        <v>0</v>
      </c>
    </row>
    <row r="55" spans="2:36" x14ac:dyDescent="0.15">
      <c r="B55" s="111" t="s">
        <v>1040</v>
      </c>
      <c r="C55" s="107">
        <f>SUM(SUMIFS('caseload data'!E:E,'caseload data'!$D:$D,"SPO",'caseload data'!$C:$C,'community caseload'!$B$50,'caseload data'!$B:$B,{"licence","community"}))</f>
        <v>0</v>
      </c>
      <c r="D55" s="107">
        <f>SUM(SUMIFS('caseload data'!F:F,'caseload data'!$D:$D,"SPO",'caseload data'!$C:$C,'community caseload'!$B$50,'caseload data'!$B:$B,{"licence","community"}))</f>
        <v>0</v>
      </c>
      <c r="E55" s="107">
        <f>SUM(SUMIFS('caseload data'!G:G,'caseload data'!$D:$D,"SPO",'caseload data'!$C:$C,'community caseload'!$B$50,'caseload data'!$B:$B,{"licence","community"}))</f>
        <v>0</v>
      </c>
      <c r="F55" s="107">
        <f>SUM(SUMIFS('caseload data'!H:H,'caseload data'!$D:$D,"SPO",'caseload data'!$C:$C,'community caseload'!$B$50,'caseload data'!$B:$B,{"licence","community"}))</f>
        <v>0</v>
      </c>
      <c r="G55" s="107">
        <f>SUM(SUMIFS('caseload data'!I:I,'caseload data'!$D:$D,"SPO",'caseload data'!$C:$C,'community caseload'!$B$50,'caseload data'!$B:$B,{"licence","community"}))</f>
        <v>0</v>
      </c>
      <c r="H55" s="107">
        <f>SUM(SUMIFS('caseload data'!J:J,'caseload data'!$D:$D,"SPO",'caseload data'!$C:$C,'community caseload'!$B$50,'caseload data'!$B:$B,{"licence","community"}))</f>
        <v>0</v>
      </c>
      <c r="I55" s="107">
        <f>SUM(SUMIFS('caseload data'!K:K,'caseload data'!$D:$D,"SPO",'caseload data'!$C:$C,'community caseload'!$B$50,'caseload data'!$B:$B,{"licence","community"}))</f>
        <v>0</v>
      </c>
      <c r="J55" s="107">
        <f>SUM(SUMIFS('caseload data'!L:L,'caseload data'!$D:$D,"SPO",'caseload data'!$C:$C,'community caseload'!$B$50,'caseload data'!$B:$B,{"licence","community"}))</f>
        <v>0</v>
      </c>
      <c r="K55" s="107">
        <f>SUM(SUMIFS('caseload data'!M:M,'caseload data'!$D:$D,"SPO",'caseload data'!$C:$C,'community caseload'!$B$50,'caseload data'!$B:$B,{"licence","community"}))</f>
        <v>0</v>
      </c>
      <c r="L55" s="107">
        <f>SUM(SUMIFS('caseload data'!N:N,'caseload data'!$D:$D,"SPO",'caseload data'!$C:$C,'community caseload'!$B$50,'caseload data'!$B:$B,{"licence","community"}))</f>
        <v>0</v>
      </c>
      <c r="M55" s="107">
        <f>SUM(SUMIFS('caseload data'!O:O,'caseload data'!$D:$D,"SPO",'caseload data'!$C:$C,'community caseload'!$B$50,'caseload data'!$B:$B,{"licence","community"}))</f>
        <v>0</v>
      </c>
      <c r="N55" s="107">
        <f>SUM(SUMIFS('caseload data'!P:P,'caseload data'!$D:$D,"SPO",'caseload data'!$C:$C,'community caseload'!$B$50,'caseload data'!$B:$B,{"licence","community"}))</f>
        <v>0</v>
      </c>
      <c r="O55" s="107">
        <f>SUM(SUMIFS('caseload data'!Q:Q,'caseload data'!$D:$D,"SPO",'caseload data'!$C:$C,'community caseload'!$B$50,'caseload data'!$B:$B,{"licence","community"}))</f>
        <v>0</v>
      </c>
      <c r="P55" s="107">
        <f>SUM(SUMIFS('caseload data'!R:R,'caseload data'!$D:$D,"SPO",'caseload data'!$C:$C,'community caseload'!$B$50,'caseload data'!$B:$B,{"licence","community"}))</f>
        <v>0</v>
      </c>
      <c r="Q55" s="107">
        <f>SUM(SUMIFS('caseload data'!S:S,'caseload data'!$D:$D,"SPO",'caseload data'!$C:$C,'community caseload'!$B$50,'caseload data'!$B:$B,{"licence","community"}))</f>
        <v>0</v>
      </c>
      <c r="R55" s="107">
        <f>SUM(SUMIFS('caseload data'!T:T,'caseload data'!$D:$D,"SPO",'caseload data'!$C:$C,'community caseload'!$B$50,'caseload data'!$B:$B,{"licence","community"}))</f>
        <v>0</v>
      </c>
      <c r="S55" s="76"/>
      <c r="T55" s="111" t="s">
        <v>1040</v>
      </c>
      <c r="U55" s="107">
        <f>SUM(SUMIFS('caseload data'!E:E,'caseload data'!$D:$D,"SPO",'caseload data'!$C:$C,'community caseload'!$T$50,'caseload data'!$B:$B,{"licence","community"}))</f>
        <v>0</v>
      </c>
      <c r="V55" s="107">
        <f>SUM(SUMIFS('caseload data'!F:F,'caseload data'!$D:$D,"SPO",'caseload data'!$C:$C,'community caseload'!$T$50,'caseload data'!$B:$B,{"licence","community"}))</f>
        <v>0</v>
      </c>
      <c r="W55" s="107">
        <f>SUM(SUMIFS('caseload data'!G:G,'caseload data'!$D:$D,"SPO",'caseload data'!$C:$C,'community caseload'!$T$50,'caseload data'!$B:$B,{"licence","community"}))</f>
        <v>0</v>
      </c>
      <c r="X55" s="107">
        <f>SUM(SUMIFS('caseload data'!H:H,'caseload data'!$D:$D,"SPO",'caseload data'!$C:$C,'community caseload'!$T$50,'caseload data'!$B:$B,{"licence","community"}))</f>
        <v>0</v>
      </c>
      <c r="Y55" s="107">
        <f>SUM(SUMIFS('caseload data'!I:I,'caseload data'!$D:$D,"SPO",'caseload data'!$C:$C,'community caseload'!$T$50,'caseload data'!$B:$B,{"licence","community"}))</f>
        <v>0</v>
      </c>
      <c r="Z55" s="107">
        <f>SUM(SUMIFS('caseload data'!J:J,'caseload data'!$D:$D,"SPO",'caseload data'!$C:$C,'community caseload'!$T$50,'caseload data'!$B:$B,{"licence","community"}))</f>
        <v>0</v>
      </c>
      <c r="AA55" s="107">
        <f>SUM(SUMIFS('caseload data'!K:K,'caseload data'!$D:$D,"SPO",'caseload data'!$C:$C,'community caseload'!$T$50,'caseload data'!$B:$B,{"licence","community"}))</f>
        <v>0</v>
      </c>
      <c r="AB55" s="107">
        <f>SUM(SUMIFS('caseload data'!L:L,'caseload data'!$D:$D,"SPO",'caseload data'!$C:$C,'community caseload'!$T$50,'caseload data'!$B:$B,{"licence","community"}))</f>
        <v>0</v>
      </c>
      <c r="AC55" s="107">
        <f>SUM(SUMIFS('caseload data'!M:M,'caseload data'!$D:$D,"SPO",'caseload data'!$C:$C,'community caseload'!$T$50,'caseload data'!$B:$B,{"licence","community"}))</f>
        <v>0</v>
      </c>
      <c r="AD55" s="107">
        <f>SUM(SUMIFS('caseload data'!N:N,'caseload data'!$D:$D,"SPO",'caseload data'!$C:$C,'community caseload'!$T$50,'caseload data'!$B:$B,{"licence","community"}))</f>
        <v>0</v>
      </c>
      <c r="AE55" s="107">
        <f>SUM(SUMIFS('caseload data'!O:O,'caseload data'!$D:$D,"SPO",'caseload data'!$C:$C,'community caseload'!$T$50,'caseload data'!$B:$B,{"licence","community"}))</f>
        <v>0</v>
      </c>
      <c r="AF55" s="107">
        <f>SUM(SUMIFS('caseload data'!P:P,'caseload data'!$D:$D,"SPO",'caseload data'!$C:$C,'community caseload'!$T$50,'caseload data'!$B:$B,{"licence","community"}))</f>
        <v>0</v>
      </c>
      <c r="AG55" s="107">
        <f>SUM(SUMIFS('caseload data'!Q:Q,'caseload data'!$D:$D,"SPO",'caseload data'!$C:$C,'community caseload'!$T$50,'caseload data'!$B:$B,{"licence","community"}))</f>
        <v>0</v>
      </c>
      <c r="AH55" s="107">
        <f>SUM(SUMIFS('caseload data'!R:R,'caseload data'!$D:$D,"SPO",'caseload data'!$C:$C,'community caseload'!$T$50,'caseload data'!$B:$B,{"licence","community"}))</f>
        <v>0</v>
      </c>
      <c r="AI55" s="107">
        <f>SUM(SUMIFS('caseload data'!S:S,'caseload data'!$D:$D,"SPO",'caseload data'!$C:$C,'community caseload'!$T$50,'caseload data'!$B:$B,{"licence","community"}))</f>
        <v>0</v>
      </c>
      <c r="AJ55" s="107">
        <f>SUM(SUMIFS('caseload data'!T:T,'caseload data'!$D:$D,"SPO",'caseload data'!$C:$C,'community caseload'!$T$50,'caseload data'!$B:$B,{"licence","community"}))</f>
        <v>0</v>
      </c>
    </row>
    <row r="56" spans="2:36" x14ac:dyDescent="0.15">
      <c r="B56" s="104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04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</row>
    <row r="57" spans="2:36" ht="41.25" customHeight="1" x14ac:dyDescent="0.15">
      <c r="B57" s="162">
        <f>HLOOKUP($B$5,Region_Table,16,0)</f>
        <v>0</v>
      </c>
      <c r="C57" s="333" t="s">
        <v>1266</v>
      </c>
      <c r="D57" s="334"/>
      <c r="E57" s="334"/>
      <c r="F57" s="334"/>
      <c r="G57" s="334"/>
      <c r="H57" s="334"/>
      <c r="I57" s="334"/>
      <c r="J57" s="334"/>
      <c r="K57" s="334"/>
      <c r="L57" s="334"/>
      <c r="M57" s="343"/>
      <c r="N57" s="343"/>
      <c r="O57" s="344"/>
      <c r="P57" s="337" cm="1">
        <f t="array" ref="P57">SUM(SUMIFS('caseload data'!V:V,'caseload data'!B:B,{"licence","community"},'caseload data'!$C:$C,'community caseload'!B57))</f>
        <v>0</v>
      </c>
      <c r="Q57" s="345"/>
      <c r="R57" s="346"/>
      <c r="S57" s="76"/>
      <c r="T57" s="162">
        <f>HLOOKUP($B$5,Region_Table,17,0)</f>
        <v>0</v>
      </c>
      <c r="U57" s="333" t="s">
        <v>1266</v>
      </c>
      <c r="V57" s="334"/>
      <c r="W57" s="334"/>
      <c r="X57" s="334"/>
      <c r="Y57" s="334"/>
      <c r="Z57" s="334"/>
      <c r="AA57" s="334"/>
      <c r="AB57" s="334"/>
      <c r="AC57" s="334"/>
      <c r="AD57" s="334"/>
      <c r="AE57" s="343"/>
      <c r="AF57" s="343"/>
      <c r="AG57" s="344"/>
      <c r="AH57" s="337" cm="1">
        <f t="array" ref="AH57">SUM(SUMIFS('caseload data'!V:V,'caseload data'!B:B,{"licence","community"},'caseload data'!$C:$C,'community caseload'!T57))</f>
        <v>0</v>
      </c>
      <c r="AI57" s="345"/>
      <c r="AJ57" s="346"/>
    </row>
    <row r="58" spans="2:36" x14ac:dyDescent="0.15">
      <c r="B58" s="108" t="s">
        <v>1199</v>
      </c>
      <c r="C58" s="42" t="s">
        <v>1019</v>
      </c>
      <c r="D58" s="42" t="s">
        <v>1020</v>
      </c>
      <c r="E58" s="42" t="s">
        <v>1021</v>
      </c>
      <c r="F58" s="42" t="s">
        <v>1022</v>
      </c>
      <c r="G58" s="42" t="s">
        <v>1023</v>
      </c>
      <c r="H58" s="42" t="s">
        <v>1024</v>
      </c>
      <c r="I58" s="42" t="s">
        <v>1025</v>
      </c>
      <c r="J58" s="42" t="s">
        <v>1026</v>
      </c>
      <c r="K58" s="42" t="s">
        <v>1027</v>
      </c>
      <c r="L58" s="42" t="s">
        <v>1028</v>
      </c>
      <c r="M58" s="42" t="s">
        <v>1029</v>
      </c>
      <c r="N58" s="42" t="s">
        <v>1030</v>
      </c>
      <c r="O58" s="42" t="s">
        <v>1031</v>
      </c>
      <c r="P58" s="42" t="s">
        <v>1032</v>
      </c>
      <c r="Q58" s="42" t="s">
        <v>1033</v>
      </c>
      <c r="R58" s="42" t="s">
        <v>1034</v>
      </c>
      <c r="S58" s="76"/>
      <c r="T58" s="108" t="s">
        <v>1199</v>
      </c>
      <c r="U58" s="42" t="s">
        <v>1019</v>
      </c>
      <c r="V58" s="42" t="s">
        <v>1020</v>
      </c>
      <c r="W58" s="42" t="s">
        <v>1021</v>
      </c>
      <c r="X58" s="42" t="s">
        <v>1022</v>
      </c>
      <c r="Y58" s="42" t="s">
        <v>1023</v>
      </c>
      <c r="Z58" s="42" t="s">
        <v>1024</v>
      </c>
      <c r="AA58" s="42" t="s">
        <v>1025</v>
      </c>
      <c r="AB58" s="42" t="s">
        <v>1026</v>
      </c>
      <c r="AC58" s="42" t="s">
        <v>1027</v>
      </c>
      <c r="AD58" s="42" t="s">
        <v>1028</v>
      </c>
      <c r="AE58" s="42" t="s">
        <v>1029</v>
      </c>
      <c r="AF58" s="42" t="s">
        <v>1030</v>
      </c>
      <c r="AG58" s="42" t="s">
        <v>1031</v>
      </c>
      <c r="AH58" s="42" t="s">
        <v>1032</v>
      </c>
      <c r="AI58" s="42" t="s">
        <v>1033</v>
      </c>
      <c r="AJ58" s="42" t="s">
        <v>1034</v>
      </c>
    </row>
    <row r="59" spans="2:36" x14ac:dyDescent="0.15">
      <c r="B59" s="109" t="s">
        <v>1037</v>
      </c>
      <c r="C59" s="107">
        <f>SUM(SUMIFS('caseload data'!E:E,'caseload data'!$D:$D,"PO",'caseload data'!$C:$C,'community caseload'!$B$57,'caseload data'!$B:$B,{"licence","community"}))</f>
        <v>0</v>
      </c>
      <c r="D59" s="107">
        <f>SUM(SUMIFS('caseload data'!F:F,'caseload data'!$D:$D,"PO",'caseload data'!$C:$C,'community caseload'!$B$57,'caseload data'!$B:$B,{"licence","community"}))</f>
        <v>0</v>
      </c>
      <c r="E59" s="107">
        <f>SUM(SUMIFS('caseload data'!G:G,'caseload data'!$D:$D,"PO",'caseload data'!$C:$C,'community caseload'!$B$57,'caseload data'!$B:$B,{"licence","community"}))</f>
        <v>0</v>
      </c>
      <c r="F59" s="107">
        <f>SUM(SUMIFS('caseload data'!H:H,'caseload data'!$D:$D,"PO",'caseload data'!$C:$C,'community caseload'!$B$57,'caseload data'!$B:$B,{"licence","community"}))</f>
        <v>0</v>
      </c>
      <c r="G59" s="107">
        <f>SUM(SUMIFS('caseload data'!I:I,'caseload data'!$D:$D,"PO",'caseload data'!$C:$C,'community caseload'!$B$57,'caseload data'!$B:$B,{"licence","community"}))</f>
        <v>0</v>
      </c>
      <c r="H59" s="107">
        <f>SUM(SUMIFS('caseload data'!J:J,'caseload data'!$D:$D,"PO",'caseload data'!$C:$C,'community caseload'!$B$57,'caseload data'!$B:$B,{"licence","community"}))</f>
        <v>0</v>
      </c>
      <c r="I59" s="107">
        <f>SUM(SUMIFS('caseload data'!K:K,'caseload data'!$D:$D,"PO",'caseload data'!$C:$C,'community caseload'!$B$57,'caseload data'!$B:$B,{"licence","community"}))</f>
        <v>0</v>
      </c>
      <c r="J59" s="107">
        <f>SUM(SUMIFS('caseload data'!L:L,'caseload data'!$D:$D,"PO",'caseload data'!$C:$C,'community caseload'!$B$57,'caseload data'!$B:$B,{"licence","community"}))</f>
        <v>0</v>
      </c>
      <c r="K59" s="107">
        <f>SUM(SUMIFS('caseload data'!M:M,'caseload data'!$D:$D,"PO",'caseload data'!$C:$C,'community caseload'!$B$57,'caseload data'!$B:$B,{"licence","community"}))</f>
        <v>0</v>
      </c>
      <c r="L59" s="107">
        <f>SUM(SUMIFS('caseload data'!N:N,'caseload data'!$D:$D,"PO",'caseload data'!$C:$C,'community caseload'!$B$57,'caseload data'!$B:$B,{"licence","community"}))</f>
        <v>0</v>
      </c>
      <c r="M59" s="107">
        <f>SUM(SUMIFS('caseload data'!O:O,'caseload data'!$D:$D,"PO",'caseload data'!$C:$C,'community caseload'!$B$57,'caseload data'!$B:$B,{"licence","community"}))</f>
        <v>0</v>
      </c>
      <c r="N59" s="107">
        <f>SUM(SUMIFS('caseload data'!P:P,'caseload data'!$D:$D,"PO",'caseload data'!$C:$C,'community caseload'!$B$57,'caseload data'!$B:$B,{"licence","community"}))</f>
        <v>0</v>
      </c>
      <c r="O59" s="107">
        <f>SUM(SUMIFS('caseload data'!Q:Q,'caseload data'!$D:$D,"PO",'caseload data'!$C:$C,'community caseload'!$B$57,'caseload data'!$B:$B,{"licence","community"}))</f>
        <v>0</v>
      </c>
      <c r="P59" s="107">
        <f>SUM(SUMIFS('caseload data'!R:R,'caseload data'!$D:$D,"PO",'caseload data'!$C:$C,'community caseload'!$B$57,'caseload data'!$B:$B,{"licence","community"}))</f>
        <v>0</v>
      </c>
      <c r="Q59" s="107">
        <f>SUM(SUMIFS('caseload data'!S:S,'caseload data'!$D:$D,"PO",'caseload data'!$C:$C,'community caseload'!$B$57,'caseload data'!$B:$B,{"licence","community"}))</f>
        <v>0</v>
      </c>
      <c r="R59" s="107">
        <f>SUM(SUMIFS('caseload data'!T:T,'caseload data'!$D:$D,"PO",'caseload data'!$C:$C,'community caseload'!$B$57,'caseload data'!$B:$B,{"licence","community"}))</f>
        <v>0</v>
      </c>
      <c r="S59" s="76"/>
      <c r="T59" s="109" t="s">
        <v>1037</v>
      </c>
      <c r="U59" s="107">
        <f>SUM(SUMIFS('caseload data'!E:E,'caseload data'!$D:$D,"PO",'caseload data'!$C:$C,'community caseload'!$T$57,'caseload data'!$B:$B,{"licence","community"}))</f>
        <v>0</v>
      </c>
      <c r="V59" s="107">
        <f>SUM(SUMIFS('caseload data'!F:F,'caseload data'!$D:$D,"PO",'caseload data'!$C:$C,'community caseload'!$T$57,'caseload data'!$B:$B,{"licence","community"}))</f>
        <v>0</v>
      </c>
      <c r="W59" s="107">
        <f>SUM(SUMIFS('caseload data'!G:G,'caseload data'!$D:$D,"PO",'caseload data'!$C:$C,'community caseload'!$T$57,'caseload data'!$B:$B,{"licence","community"}))</f>
        <v>0</v>
      </c>
      <c r="X59" s="107">
        <f>SUM(SUMIFS('caseload data'!H:H,'caseload data'!$D:$D,"PO",'caseload data'!$C:$C,'community caseload'!$T$57,'caseload data'!$B:$B,{"licence","community"}))</f>
        <v>0</v>
      </c>
      <c r="Y59" s="107">
        <f>SUM(SUMIFS('caseload data'!I:I,'caseload data'!$D:$D,"PO",'caseload data'!$C:$C,'community caseload'!$T$57,'caseload data'!$B:$B,{"licence","community"}))</f>
        <v>0</v>
      </c>
      <c r="Z59" s="107">
        <f>SUM(SUMIFS('caseload data'!J:J,'caseload data'!$D:$D,"PO",'caseload data'!$C:$C,'community caseload'!$T$57,'caseload data'!$B:$B,{"licence","community"}))</f>
        <v>0</v>
      </c>
      <c r="AA59" s="107">
        <f>SUM(SUMIFS('caseload data'!K:K,'caseload data'!$D:$D,"PO",'caseload data'!$C:$C,'community caseload'!$T$57,'caseload data'!$B:$B,{"licence","community"}))</f>
        <v>0</v>
      </c>
      <c r="AB59" s="107">
        <f>SUM(SUMIFS('caseload data'!L:L,'caseload data'!$D:$D,"PO",'caseload data'!$C:$C,'community caseload'!$T$57,'caseload data'!$B:$B,{"licence","community"}))</f>
        <v>0</v>
      </c>
      <c r="AC59" s="107">
        <f>SUM(SUMIFS('caseload data'!M:M,'caseload data'!$D:$D,"PO",'caseload data'!$C:$C,'community caseload'!$T$57,'caseload data'!$B:$B,{"licence","community"}))</f>
        <v>0</v>
      </c>
      <c r="AD59" s="107">
        <f>SUM(SUMIFS('caseload data'!N:N,'caseload data'!$D:$D,"PO",'caseload data'!$C:$C,'community caseload'!$T$57,'caseload data'!$B:$B,{"licence","community"}))</f>
        <v>0</v>
      </c>
      <c r="AE59" s="107">
        <f>SUM(SUMIFS('caseload data'!O:O,'caseload data'!$D:$D,"PO",'caseload data'!$C:$C,'community caseload'!$T$57,'caseload data'!$B:$B,{"licence","community"}))</f>
        <v>0</v>
      </c>
      <c r="AF59" s="107">
        <f>SUM(SUMIFS('caseload data'!P:P,'caseload data'!$D:$D,"PO",'caseload data'!$C:$C,'community caseload'!$T$57,'caseload data'!$B:$B,{"licence","community"}))</f>
        <v>0</v>
      </c>
      <c r="AG59" s="107">
        <f>SUM(SUMIFS('caseload data'!Q:Q,'caseload data'!$D:$D,"PO",'caseload data'!$C:$C,'community caseload'!$T$57,'caseload data'!$B:$B,{"licence","community"}))</f>
        <v>0</v>
      </c>
      <c r="AH59" s="107">
        <f>SUM(SUMIFS('caseload data'!R:R,'caseload data'!$D:$D,"PO",'caseload data'!$C:$C,'community caseload'!$T$57,'caseload data'!$B:$B,{"licence","community"}))</f>
        <v>0</v>
      </c>
      <c r="AI59" s="107">
        <f>SUM(SUMIFS('caseload data'!S:S,'caseload data'!$D:$D,"PO",'caseload data'!$C:$C,'community caseload'!$T$57,'caseload data'!$B:$B,{"licence","community"}))</f>
        <v>0</v>
      </c>
      <c r="AJ59" s="107">
        <f>SUM(SUMIFS('caseload data'!T:T,'caseload data'!$D:$D,"PO",'caseload data'!$C:$C,'community caseload'!$T$57,'caseload data'!$B:$B,{"licence","community"}))</f>
        <v>0</v>
      </c>
    </row>
    <row r="60" spans="2:36" x14ac:dyDescent="0.15">
      <c r="B60" s="110" t="s">
        <v>1038</v>
      </c>
      <c r="C60" s="107">
        <f>SUM(SUMIFS('caseload data'!E:E,'caseload data'!$D:$D,"PSO",'caseload data'!$C:$C,'community caseload'!$B$57,'caseload data'!$B:$B,{"licence","community"}))</f>
        <v>0</v>
      </c>
      <c r="D60" s="107">
        <f>SUM(SUMIFS('caseload data'!F:F,'caseload data'!$D:$D,"PSO",'caseload data'!$C:$C,'community caseload'!$B$57,'caseload data'!$B:$B,{"licence","community"}))</f>
        <v>0</v>
      </c>
      <c r="E60" s="107">
        <f>SUM(SUMIFS('caseload data'!G:G,'caseload data'!$D:$D,"PSO",'caseload data'!$C:$C,'community caseload'!$B$57,'caseload data'!$B:$B,{"licence","community"}))</f>
        <v>0</v>
      </c>
      <c r="F60" s="107">
        <f>SUM(SUMIFS('caseload data'!H:H,'caseload data'!$D:$D,"PSO",'caseload data'!$C:$C,'community caseload'!$B$57,'caseload data'!$B:$B,{"licence","community"}))</f>
        <v>0</v>
      </c>
      <c r="G60" s="107">
        <f>SUM(SUMIFS('caseload data'!I:I,'caseload data'!$D:$D,"PSO",'caseload data'!$C:$C,'community caseload'!$B$57,'caseload data'!$B:$B,{"licence","community"}))</f>
        <v>0</v>
      </c>
      <c r="H60" s="107">
        <f>SUM(SUMIFS('caseload data'!J:J,'caseload data'!$D:$D,"PSO",'caseload data'!$C:$C,'community caseload'!$B$57,'caseload data'!$B:$B,{"licence","community"}))</f>
        <v>0</v>
      </c>
      <c r="I60" s="107">
        <f>SUM(SUMIFS('caseload data'!K:K,'caseload data'!$D:$D,"PSO",'caseload data'!$C:$C,'community caseload'!$B$57,'caseload data'!$B:$B,{"licence","community"}))</f>
        <v>0</v>
      </c>
      <c r="J60" s="107">
        <f>SUM(SUMIFS('caseload data'!L:L,'caseload data'!$D:$D,"PSO",'caseload data'!$C:$C,'community caseload'!$B$57,'caseload data'!$B:$B,{"licence","community"}))</f>
        <v>0</v>
      </c>
      <c r="K60" s="107">
        <f>SUM(SUMIFS('caseload data'!M:M,'caseload data'!$D:$D,"PSO",'caseload data'!$C:$C,'community caseload'!$B$57,'caseload data'!$B:$B,{"licence","community"}))</f>
        <v>0</v>
      </c>
      <c r="L60" s="107">
        <f>SUM(SUMIFS('caseload data'!N:N,'caseload data'!$D:$D,"PSO",'caseload data'!$C:$C,'community caseload'!$B$57,'caseload data'!$B:$B,{"licence","community"}))</f>
        <v>0</v>
      </c>
      <c r="M60" s="107">
        <f>SUM(SUMIFS('caseload data'!O:O,'caseload data'!$D:$D,"PSO",'caseload data'!$C:$C,'community caseload'!$B$57,'caseload data'!$B:$B,{"licence","community"}))</f>
        <v>0</v>
      </c>
      <c r="N60" s="107">
        <f>SUM(SUMIFS('caseload data'!P:P,'caseload data'!$D:$D,"PSO",'caseload data'!$C:$C,'community caseload'!$B$57,'caseload data'!$B:$B,{"licence","community"}))</f>
        <v>0</v>
      </c>
      <c r="O60" s="107">
        <f>SUM(SUMIFS('caseload data'!Q:Q,'caseload data'!$D:$D,"PSO",'caseload data'!$C:$C,'community caseload'!$B$57,'caseload data'!$B:$B,{"licence","community"}))</f>
        <v>0</v>
      </c>
      <c r="P60" s="107">
        <f>SUM(SUMIFS('caseload data'!R:R,'caseload data'!$D:$D,"PSO",'caseload data'!$C:$C,'community caseload'!$B$57,'caseload data'!$B:$B,{"licence","community"}))</f>
        <v>0</v>
      </c>
      <c r="Q60" s="107">
        <f>SUM(SUMIFS('caseload data'!S:S,'caseload data'!$D:$D,"PSO",'caseload data'!$C:$C,'community caseload'!$B$57,'caseload data'!$B:$B,{"licence","community"}))</f>
        <v>0</v>
      </c>
      <c r="R60" s="107">
        <f>SUM(SUMIFS('caseload data'!T:T,'caseload data'!$D:$D,"PSO",'caseload data'!$C:$C,'community caseload'!$B$57,'caseload data'!$B:$B,{"licence","community"}))</f>
        <v>0</v>
      </c>
      <c r="S60" s="76"/>
      <c r="T60" s="110" t="s">
        <v>1038</v>
      </c>
      <c r="U60" s="107">
        <f>SUM(SUMIFS('caseload data'!E:E,'caseload data'!$D:$D,"PSO",'caseload data'!$C:$C,'community caseload'!$T$57,'caseload data'!$B:$B,{"licence","community"}))</f>
        <v>0</v>
      </c>
      <c r="V60" s="107">
        <f>SUM(SUMIFS('caseload data'!F:F,'caseload data'!$D:$D,"PSO",'caseload data'!$C:$C,'community caseload'!$T$57,'caseload data'!$B:$B,{"licence","community"}))</f>
        <v>0</v>
      </c>
      <c r="W60" s="107">
        <f>SUM(SUMIFS('caseload data'!G:G,'caseload data'!$D:$D,"PSO",'caseload data'!$C:$C,'community caseload'!$T$57,'caseload data'!$B:$B,{"licence","community"}))</f>
        <v>0</v>
      </c>
      <c r="X60" s="107">
        <f>SUM(SUMIFS('caseload data'!H:H,'caseload data'!$D:$D,"PSO",'caseload data'!$C:$C,'community caseload'!$T$57,'caseload data'!$B:$B,{"licence","community"}))</f>
        <v>0</v>
      </c>
      <c r="Y60" s="107">
        <f>SUM(SUMIFS('caseload data'!I:I,'caseload data'!$D:$D,"PSO",'caseload data'!$C:$C,'community caseload'!$T$57,'caseload data'!$B:$B,{"licence","community"}))</f>
        <v>0</v>
      </c>
      <c r="Z60" s="107">
        <f>SUM(SUMIFS('caseload data'!J:J,'caseload data'!$D:$D,"PSO",'caseload data'!$C:$C,'community caseload'!$T$57,'caseload data'!$B:$B,{"licence","community"}))</f>
        <v>0</v>
      </c>
      <c r="AA60" s="107">
        <f>SUM(SUMIFS('caseload data'!K:K,'caseload data'!$D:$D,"PSO",'caseload data'!$C:$C,'community caseload'!$T$57,'caseload data'!$B:$B,{"licence","community"}))</f>
        <v>0</v>
      </c>
      <c r="AB60" s="107">
        <f>SUM(SUMIFS('caseload data'!L:L,'caseload data'!$D:$D,"PSO",'caseload data'!$C:$C,'community caseload'!$T$57,'caseload data'!$B:$B,{"licence","community"}))</f>
        <v>0</v>
      </c>
      <c r="AC60" s="107">
        <f>SUM(SUMIFS('caseload data'!M:M,'caseload data'!$D:$D,"PSO",'caseload data'!$C:$C,'community caseload'!$T$57,'caseload data'!$B:$B,{"licence","community"}))</f>
        <v>0</v>
      </c>
      <c r="AD60" s="107">
        <f>SUM(SUMIFS('caseload data'!N:N,'caseload data'!$D:$D,"PSO",'caseload data'!$C:$C,'community caseload'!$T$57,'caseload data'!$B:$B,{"licence","community"}))</f>
        <v>0</v>
      </c>
      <c r="AE60" s="107">
        <f>SUM(SUMIFS('caseload data'!O:O,'caseload data'!$D:$D,"PSO",'caseload data'!$C:$C,'community caseload'!$T$57,'caseload data'!$B:$B,{"licence","community"}))</f>
        <v>0</v>
      </c>
      <c r="AF60" s="107">
        <f>SUM(SUMIFS('caseload data'!P:P,'caseload data'!$D:$D,"PSO",'caseload data'!$C:$C,'community caseload'!$T$57,'caseload data'!$B:$B,{"licence","community"}))</f>
        <v>0</v>
      </c>
      <c r="AG60" s="107">
        <f>SUM(SUMIFS('caseload data'!Q:Q,'caseload data'!$D:$D,"PSO",'caseload data'!$C:$C,'community caseload'!$T$57,'caseload data'!$B:$B,{"licence","community"}))</f>
        <v>0</v>
      </c>
      <c r="AH60" s="107">
        <f>SUM(SUMIFS('caseload data'!R:R,'caseload data'!$D:$D,"PSO",'caseload data'!$C:$C,'community caseload'!$T$57,'caseload data'!$B:$B,{"licence","community"}))</f>
        <v>0</v>
      </c>
      <c r="AI60" s="107">
        <f>SUM(SUMIFS('caseload data'!S:S,'caseload data'!$D:$D,"PSO",'caseload data'!$C:$C,'community caseload'!$T$57,'caseload data'!$B:$B,{"licence","community"}))</f>
        <v>0</v>
      </c>
      <c r="AJ60" s="107">
        <f>SUM(SUMIFS('caseload data'!T:T,'caseload data'!$D:$D,"PSO",'caseload data'!$C:$C,'community caseload'!$T$57,'caseload data'!$B:$B,{"licence","community"}))</f>
        <v>0</v>
      </c>
    </row>
    <row r="61" spans="2:36" x14ac:dyDescent="0.15">
      <c r="B61" s="110" t="s">
        <v>1039</v>
      </c>
      <c r="C61" s="107">
        <f>SUM(SUMIFS('caseload data'!E:E,'caseload data'!$D:$D,"TPO",'caseload data'!$C:$C,'community caseload'!$B$57,'caseload data'!$B:$B,{"licence","community"}))</f>
        <v>0</v>
      </c>
      <c r="D61" s="107">
        <f>SUM(SUMIFS('caseload data'!F:F,'caseload data'!$D:$D,"TPO",'caseload data'!$C:$C,'community caseload'!$B$57,'caseload data'!$B:$B,{"licence","community"}))</f>
        <v>0</v>
      </c>
      <c r="E61" s="107">
        <f>SUM(SUMIFS('caseload data'!G:G,'caseload data'!$D:$D,"TPO",'caseload data'!$C:$C,'community caseload'!$B$57,'caseload data'!$B:$B,{"licence","community"}))</f>
        <v>0</v>
      </c>
      <c r="F61" s="107">
        <f>SUM(SUMIFS('caseload data'!H:H,'caseload data'!$D:$D,"TPO",'caseload data'!$C:$C,'community caseload'!$B$57,'caseload data'!$B:$B,{"licence","community"}))</f>
        <v>0</v>
      </c>
      <c r="G61" s="107">
        <f>SUM(SUMIFS('caseload data'!I:I,'caseload data'!$D:$D,"TPO",'caseload data'!$C:$C,'community caseload'!$B$57,'caseload data'!$B:$B,{"licence","community"}))</f>
        <v>0</v>
      </c>
      <c r="H61" s="107">
        <f>SUM(SUMIFS('caseload data'!J:J,'caseload data'!$D:$D,"TPO",'caseload data'!$C:$C,'community caseload'!$B$57,'caseload data'!$B:$B,{"licence","community"}))</f>
        <v>0</v>
      </c>
      <c r="I61" s="107">
        <f>SUM(SUMIFS('caseload data'!K:K,'caseload data'!$D:$D,"TPO",'caseload data'!$C:$C,'community caseload'!$B$57,'caseload data'!$B:$B,{"licence","community"}))</f>
        <v>0</v>
      </c>
      <c r="J61" s="107">
        <f>SUM(SUMIFS('caseload data'!L:L,'caseload data'!$D:$D,"TPO",'caseload data'!$C:$C,'community caseload'!$B$57,'caseload data'!$B:$B,{"licence","community"}))</f>
        <v>0</v>
      </c>
      <c r="K61" s="107">
        <f>SUM(SUMIFS('caseload data'!M:M,'caseload data'!$D:$D,"TPO",'caseload data'!$C:$C,'community caseload'!$B$57,'caseload data'!$B:$B,{"licence","community"}))</f>
        <v>0</v>
      </c>
      <c r="L61" s="107">
        <f>SUM(SUMIFS('caseload data'!N:N,'caseload data'!$D:$D,"TPO",'caseload data'!$C:$C,'community caseload'!$B$57,'caseload data'!$B:$B,{"licence","community"}))</f>
        <v>0</v>
      </c>
      <c r="M61" s="107">
        <f>SUM(SUMIFS('caseload data'!O:O,'caseload data'!$D:$D,"TPO",'caseload data'!$C:$C,'community caseload'!$B$57,'caseload data'!$B:$B,{"licence","community"}))</f>
        <v>0</v>
      </c>
      <c r="N61" s="107">
        <f>SUM(SUMIFS('caseload data'!P:P,'caseload data'!$D:$D,"TPO",'caseload data'!$C:$C,'community caseload'!$B$57,'caseload data'!$B:$B,{"licence","community"}))</f>
        <v>0</v>
      </c>
      <c r="O61" s="107">
        <f>SUM(SUMIFS('caseload data'!Q:Q,'caseload data'!$D:$D,"TPO",'caseload data'!$C:$C,'community caseload'!$B$57,'caseload data'!$B:$B,{"licence","community"}))</f>
        <v>0</v>
      </c>
      <c r="P61" s="107">
        <f>SUM(SUMIFS('caseload data'!R:R,'caseload data'!$D:$D,"TPO",'caseload data'!$C:$C,'community caseload'!$B$57,'caseload data'!$B:$B,{"licence","community"}))</f>
        <v>0</v>
      </c>
      <c r="Q61" s="107">
        <f>SUM(SUMIFS('caseload data'!S:S,'caseload data'!$D:$D,"TPO",'caseload data'!$C:$C,'community caseload'!$B$57,'caseload data'!$B:$B,{"licence","community"}))</f>
        <v>0</v>
      </c>
      <c r="R61" s="107">
        <f>SUM(SUMIFS('caseload data'!T:T,'caseload data'!$D:$D,"TPO",'caseload data'!$C:$C,'community caseload'!$B$57,'caseload data'!$B:$B,{"licence","community"}))</f>
        <v>0</v>
      </c>
      <c r="S61" s="76"/>
      <c r="T61" s="110" t="s">
        <v>1039</v>
      </c>
      <c r="U61" s="107">
        <f>SUM(SUMIFS('caseload data'!E:E,'caseload data'!$D:$D,"TPO",'caseload data'!$C:$C,'community caseload'!$T$57,'caseload data'!$B:$B,{"licence","community"}))</f>
        <v>0</v>
      </c>
      <c r="V61" s="107">
        <f>SUM(SUMIFS('caseload data'!F:F,'caseload data'!$D:$D,"TPO",'caseload data'!$C:$C,'community caseload'!$T$57,'caseload data'!$B:$B,{"licence","community"}))</f>
        <v>0</v>
      </c>
      <c r="W61" s="107">
        <f>SUM(SUMIFS('caseload data'!G:G,'caseload data'!$D:$D,"TPO",'caseload data'!$C:$C,'community caseload'!$T$57,'caseload data'!$B:$B,{"licence","community"}))</f>
        <v>0</v>
      </c>
      <c r="X61" s="107">
        <f>SUM(SUMIFS('caseload data'!H:H,'caseload data'!$D:$D,"TPO",'caseload data'!$C:$C,'community caseload'!$T$57,'caseload data'!$B:$B,{"licence","community"}))</f>
        <v>0</v>
      </c>
      <c r="Y61" s="107">
        <f>SUM(SUMIFS('caseload data'!I:I,'caseload data'!$D:$D,"TPO",'caseload data'!$C:$C,'community caseload'!$T$57,'caseload data'!$B:$B,{"licence","community"}))</f>
        <v>0</v>
      </c>
      <c r="Z61" s="107">
        <f>SUM(SUMIFS('caseload data'!J:J,'caseload data'!$D:$D,"TPO",'caseload data'!$C:$C,'community caseload'!$T$57,'caseload data'!$B:$B,{"licence","community"}))</f>
        <v>0</v>
      </c>
      <c r="AA61" s="107">
        <f>SUM(SUMIFS('caseload data'!K:K,'caseload data'!$D:$D,"TPO",'caseload data'!$C:$C,'community caseload'!$T$57,'caseload data'!$B:$B,{"licence","community"}))</f>
        <v>0</v>
      </c>
      <c r="AB61" s="107">
        <f>SUM(SUMIFS('caseload data'!L:L,'caseload data'!$D:$D,"TPO",'caseload data'!$C:$C,'community caseload'!$T$57,'caseload data'!$B:$B,{"licence","community"}))</f>
        <v>0</v>
      </c>
      <c r="AC61" s="107">
        <f>SUM(SUMIFS('caseload data'!M:M,'caseload data'!$D:$D,"TPO",'caseload data'!$C:$C,'community caseload'!$T$57,'caseload data'!$B:$B,{"licence","community"}))</f>
        <v>0</v>
      </c>
      <c r="AD61" s="107">
        <f>SUM(SUMIFS('caseload data'!N:N,'caseload data'!$D:$D,"TPO",'caseload data'!$C:$C,'community caseload'!$T$57,'caseload data'!$B:$B,{"licence","community"}))</f>
        <v>0</v>
      </c>
      <c r="AE61" s="107">
        <f>SUM(SUMIFS('caseload data'!O:O,'caseload data'!$D:$D,"TPO",'caseload data'!$C:$C,'community caseload'!$T$57,'caseload data'!$B:$B,{"licence","community"}))</f>
        <v>0</v>
      </c>
      <c r="AF61" s="107">
        <f>SUM(SUMIFS('caseload data'!P:P,'caseload data'!$D:$D,"TPO",'caseload data'!$C:$C,'community caseload'!$T$57,'caseload data'!$B:$B,{"licence","community"}))</f>
        <v>0</v>
      </c>
      <c r="AG61" s="107">
        <f>SUM(SUMIFS('caseload data'!Q:Q,'caseload data'!$D:$D,"TPO",'caseload data'!$C:$C,'community caseload'!$T$57,'caseload data'!$B:$B,{"licence","community"}))</f>
        <v>0</v>
      </c>
      <c r="AH61" s="107">
        <f>SUM(SUMIFS('caseload data'!R:R,'caseload data'!$D:$D,"TPO",'caseload data'!$C:$C,'community caseload'!$T$57,'caseload data'!$B:$B,{"licence","community"}))</f>
        <v>0</v>
      </c>
      <c r="AI61" s="107">
        <f>SUM(SUMIFS('caseload data'!S:S,'caseload data'!$D:$D,"TPO",'caseload data'!$C:$C,'community caseload'!$T$57,'caseload data'!$B:$B,{"licence","community"}))</f>
        <v>0</v>
      </c>
      <c r="AJ61" s="107">
        <f>SUM(SUMIFS('caseload data'!T:T,'caseload data'!$D:$D,"TPO",'caseload data'!$C:$C,'community caseload'!$T$57,'caseload data'!$B:$B,{"licence","community"}))</f>
        <v>0</v>
      </c>
    </row>
    <row r="62" spans="2:36" x14ac:dyDescent="0.15">
      <c r="B62" s="111" t="s">
        <v>1040</v>
      </c>
      <c r="C62" s="107">
        <f>SUM(SUMIFS('caseload data'!E:E,'caseload data'!$D:$D,"SPO",'caseload data'!$C:$C,'community caseload'!$B$57,'caseload data'!$B:$B,{"licence","community"}))</f>
        <v>0</v>
      </c>
      <c r="D62" s="107">
        <f>SUM(SUMIFS('caseload data'!F:F,'caseload data'!$D:$D,"SPO",'caseload data'!$C:$C,'community caseload'!$B$57,'caseload data'!$B:$B,{"licence","community"}))</f>
        <v>0</v>
      </c>
      <c r="E62" s="107">
        <f>SUM(SUMIFS('caseload data'!G:G,'caseload data'!$D:$D,"SPO",'caseload data'!$C:$C,'community caseload'!$B$57,'caseload data'!$B:$B,{"licence","community"}))</f>
        <v>0</v>
      </c>
      <c r="F62" s="107">
        <f>SUM(SUMIFS('caseload data'!H:H,'caseload data'!$D:$D,"SPO",'caseload data'!$C:$C,'community caseload'!$B$57,'caseload data'!$B:$B,{"licence","community"}))</f>
        <v>0</v>
      </c>
      <c r="G62" s="107">
        <f>SUM(SUMIFS('caseload data'!I:I,'caseload data'!$D:$D,"SPO",'caseload data'!$C:$C,'community caseload'!$B$57,'caseload data'!$B:$B,{"licence","community"}))</f>
        <v>0</v>
      </c>
      <c r="H62" s="107">
        <f>SUM(SUMIFS('caseload data'!J:J,'caseload data'!$D:$D,"SPO",'caseload data'!$C:$C,'community caseload'!$B$57,'caseload data'!$B:$B,{"licence","community"}))</f>
        <v>0</v>
      </c>
      <c r="I62" s="107">
        <f>SUM(SUMIFS('caseload data'!K:K,'caseload data'!$D:$D,"SPO",'caseload data'!$C:$C,'community caseload'!$B$57,'caseload data'!$B:$B,{"licence","community"}))</f>
        <v>0</v>
      </c>
      <c r="J62" s="107">
        <f>SUM(SUMIFS('caseload data'!L:L,'caseload data'!$D:$D,"SPO",'caseload data'!$C:$C,'community caseload'!$B$57,'caseload data'!$B:$B,{"licence","community"}))</f>
        <v>0</v>
      </c>
      <c r="K62" s="107">
        <f>SUM(SUMIFS('caseload data'!M:M,'caseload data'!$D:$D,"SPO",'caseload data'!$C:$C,'community caseload'!$B$57,'caseload data'!$B:$B,{"licence","community"}))</f>
        <v>0</v>
      </c>
      <c r="L62" s="107">
        <f>SUM(SUMIFS('caseload data'!N:N,'caseload data'!$D:$D,"SPO",'caseload data'!$C:$C,'community caseload'!$B$57,'caseload data'!$B:$B,{"licence","community"}))</f>
        <v>0</v>
      </c>
      <c r="M62" s="107">
        <f>SUM(SUMIFS('caseload data'!O:O,'caseload data'!$D:$D,"SPO",'caseload data'!$C:$C,'community caseload'!$B$57,'caseload data'!$B:$B,{"licence","community"}))</f>
        <v>0</v>
      </c>
      <c r="N62" s="107">
        <f>SUM(SUMIFS('caseload data'!P:P,'caseload data'!$D:$D,"SPO",'caseload data'!$C:$C,'community caseload'!$B$57,'caseload data'!$B:$B,{"licence","community"}))</f>
        <v>0</v>
      </c>
      <c r="O62" s="107">
        <f>SUM(SUMIFS('caseload data'!Q:Q,'caseload data'!$D:$D,"SPO",'caseload data'!$C:$C,'community caseload'!$B$57,'caseload data'!$B:$B,{"licence","community"}))</f>
        <v>0</v>
      </c>
      <c r="P62" s="107">
        <f>SUM(SUMIFS('caseload data'!R:R,'caseload data'!$D:$D,"SPO",'caseload data'!$C:$C,'community caseload'!$B$57,'caseload data'!$B:$B,{"licence","community"}))</f>
        <v>0</v>
      </c>
      <c r="Q62" s="107">
        <f>SUM(SUMIFS('caseload data'!S:S,'caseload data'!$D:$D,"SPO",'caseload data'!$C:$C,'community caseload'!$B$57,'caseload data'!$B:$B,{"licence","community"}))</f>
        <v>0</v>
      </c>
      <c r="R62" s="107">
        <f>SUM(SUMIFS('caseload data'!T:T,'caseload data'!$D:$D,"SPO",'caseload data'!$C:$C,'community caseload'!$B$57,'caseload data'!$B:$B,{"licence","community"}))</f>
        <v>0</v>
      </c>
      <c r="S62" s="76"/>
      <c r="T62" s="111" t="s">
        <v>1040</v>
      </c>
      <c r="U62" s="107">
        <f>SUM(SUMIFS('caseload data'!E:E,'caseload data'!$D:$D,"SPO",'caseload data'!$C:$C,'community caseload'!$T$57,'caseload data'!$B:$B,{"licence","community"}))</f>
        <v>0</v>
      </c>
      <c r="V62" s="107">
        <f>SUM(SUMIFS('caseload data'!F:F,'caseload data'!$D:$D,"SPO",'caseload data'!$C:$C,'community caseload'!$T$57,'caseload data'!$B:$B,{"licence","community"}))</f>
        <v>0</v>
      </c>
      <c r="W62" s="107">
        <f>SUM(SUMIFS('caseload data'!G:G,'caseload data'!$D:$D,"SPO",'caseload data'!$C:$C,'community caseload'!$T$57,'caseload data'!$B:$B,{"licence","community"}))</f>
        <v>0</v>
      </c>
      <c r="X62" s="107">
        <f>SUM(SUMIFS('caseload data'!H:H,'caseload data'!$D:$D,"SPO",'caseload data'!$C:$C,'community caseload'!$T$57,'caseload data'!$B:$B,{"licence","community"}))</f>
        <v>0</v>
      </c>
      <c r="Y62" s="107">
        <f>SUM(SUMIFS('caseload data'!I:I,'caseload data'!$D:$D,"SPO",'caseload data'!$C:$C,'community caseload'!$T$57,'caseload data'!$B:$B,{"licence","community"}))</f>
        <v>0</v>
      </c>
      <c r="Z62" s="107">
        <f>SUM(SUMIFS('caseload data'!J:J,'caseload data'!$D:$D,"SPO",'caseload data'!$C:$C,'community caseload'!$T$57,'caseload data'!$B:$B,{"licence","community"}))</f>
        <v>0</v>
      </c>
      <c r="AA62" s="107">
        <f>SUM(SUMIFS('caseload data'!K:K,'caseload data'!$D:$D,"SPO",'caseload data'!$C:$C,'community caseload'!$T$57,'caseload data'!$B:$B,{"licence","community"}))</f>
        <v>0</v>
      </c>
      <c r="AB62" s="107">
        <f>SUM(SUMIFS('caseload data'!L:L,'caseload data'!$D:$D,"SPO",'caseload data'!$C:$C,'community caseload'!$T$57,'caseload data'!$B:$B,{"licence","community"}))</f>
        <v>0</v>
      </c>
      <c r="AC62" s="107">
        <f>SUM(SUMIFS('caseload data'!M:M,'caseload data'!$D:$D,"SPO",'caseload data'!$C:$C,'community caseload'!$T$57,'caseload data'!$B:$B,{"licence","community"}))</f>
        <v>0</v>
      </c>
      <c r="AD62" s="107">
        <f>SUM(SUMIFS('caseload data'!N:N,'caseload data'!$D:$D,"SPO",'caseload data'!$C:$C,'community caseload'!$T$57,'caseload data'!$B:$B,{"licence","community"}))</f>
        <v>0</v>
      </c>
      <c r="AE62" s="107">
        <f>SUM(SUMIFS('caseload data'!O:O,'caseload data'!$D:$D,"SPO",'caseload data'!$C:$C,'community caseload'!$T$57,'caseload data'!$B:$B,{"licence","community"}))</f>
        <v>0</v>
      </c>
      <c r="AF62" s="107">
        <f>SUM(SUMIFS('caseload data'!P:P,'caseload data'!$D:$D,"SPO",'caseload data'!$C:$C,'community caseload'!$T$57,'caseload data'!$B:$B,{"licence","community"}))</f>
        <v>0</v>
      </c>
      <c r="AG62" s="107">
        <f>SUM(SUMIFS('caseload data'!Q:Q,'caseload data'!$D:$D,"SPO",'caseload data'!$C:$C,'community caseload'!$T$57,'caseload data'!$B:$B,{"licence","community"}))</f>
        <v>0</v>
      </c>
      <c r="AH62" s="107">
        <f>SUM(SUMIFS('caseload data'!R:R,'caseload data'!$D:$D,"SPO",'caseload data'!$C:$C,'community caseload'!$T$57,'caseload data'!$B:$B,{"licence","community"}))</f>
        <v>0</v>
      </c>
      <c r="AI62" s="107">
        <f>SUM(SUMIFS('caseload data'!S:S,'caseload data'!$D:$D,"SPO",'caseload data'!$C:$C,'community caseload'!$T$57,'caseload data'!$B:$B,{"licence","community"}))</f>
        <v>0</v>
      </c>
      <c r="AJ62" s="107">
        <f>SUM(SUMIFS('caseload data'!T:T,'caseload data'!$D:$D,"SPO",'caseload data'!$C:$C,'community caseload'!$T$57,'caseload data'!$B:$B,{"licence","community"}))</f>
        <v>0</v>
      </c>
    </row>
    <row r="64" spans="2:36" x14ac:dyDescent="0.15">
      <c r="B64" s="162">
        <f>HLOOKUP($B$5,Region_Table,18,0)</f>
        <v>0</v>
      </c>
      <c r="C64" s="333" t="s">
        <v>1266</v>
      </c>
      <c r="D64" s="334"/>
      <c r="E64" s="334"/>
      <c r="F64" s="334"/>
      <c r="G64" s="334"/>
      <c r="H64" s="334"/>
      <c r="I64" s="334"/>
      <c r="J64" s="334"/>
      <c r="K64" s="334"/>
      <c r="L64" s="334"/>
      <c r="M64" s="343"/>
      <c r="N64" s="343"/>
      <c r="O64" s="344"/>
      <c r="P64" s="337" cm="1">
        <f t="array" ref="P64">SUM(SUMIFS('caseload data'!V:V,'caseload data'!B:B,{"licence","community"},'caseload data'!$C:$C,'community caseload'!B64))</f>
        <v>0</v>
      </c>
      <c r="Q64" s="345"/>
      <c r="R64" s="346"/>
      <c r="S64" s="76"/>
      <c r="T64" s="162">
        <f>HLOOKUP($B$5,Region_Table,19,0)</f>
        <v>0</v>
      </c>
      <c r="U64" s="333" t="s">
        <v>1266</v>
      </c>
      <c r="V64" s="334"/>
      <c r="W64" s="334"/>
      <c r="X64" s="334"/>
      <c r="Y64" s="334"/>
      <c r="Z64" s="334"/>
      <c r="AA64" s="334"/>
      <c r="AB64" s="334"/>
      <c r="AC64" s="334"/>
      <c r="AD64" s="334"/>
      <c r="AE64" s="343"/>
      <c r="AF64" s="343"/>
      <c r="AG64" s="344"/>
      <c r="AH64" s="337" cm="1">
        <f t="array" ref="AH64">SUM(SUMIFS('caseload data'!V:V,'caseload data'!B:B,{"licence","community"},'caseload data'!$C:$C,'community caseload'!T64))</f>
        <v>0</v>
      </c>
      <c r="AI64" s="345"/>
      <c r="AJ64" s="346"/>
    </row>
    <row r="65" spans="2:36" x14ac:dyDescent="0.15">
      <c r="B65" s="108" t="s">
        <v>1199</v>
      </c>
      <c r="C65" s="42" t="s">
        <v>1019</v>
      </c>
      <c r="D65" s="42" t="s">
        <v>1020</v>
      </c>
      <c r="E65" s="42" t="s">
        <v>1021</v>
      </c>
      <c r="F65" s="42" t="s">
        <v>1022</v>
      </c>
      <c r="G65" s="42" t="s">
        <v>1023</v>
      </c>
      <c r="H65" s="42" t="s">
        <v>1024</v>
      </c>
      <c r="I65" s="42" t="s">
        <v>1025</v>
      </c>
      <c r="J65" s="42" t="s">
        <v>1026</v>
      </c>
      <c r="K65" s="42" t="s">
        <v>1027</v>
      </c>
      <c r="L65" s="42" t="s">
        <v>1028</v>
      </c>
      <c r="M65" s="42" t="s">
        <v>1029</v>
      </c>
      <c r="N65" s="42" t="s">
        <v>1030</v>
      </c>
      <c r="O65" s="42" t="s">
        <v>1031</v>
      </c>
      <c r="P65" s="42" t="s">
        <v>1032</v>
      </c>
      <c r="Q65" s="42" t="s">
        <v>1033</v>
      </c>
      <c r="R65" s="42" t="s">
        <v>1034</v>
      </c>
      <c r="S65" s="76"/>
      <c r="T65" s="108" t="s">
        <v>1199</v>
      </c>
      <c r="U65" s="42" t="s">
        <v>1019</v>
      </c>
      <c r="V65" s="42" t="s">
        <v>1020</v>
      </c>
      <c r="W65" s="42" t="s">
        <v>1021</v>
      </c>
      <c r="X65" s="42" t="s">
        <v>1022</v>
      </c>
      <c r="Y65" s="42" t="s">
        <v>1023</v>
      </c>
      <c r="Z65" s="42" t="s">
        <v>1024</v>
      </c>
      <c r="AA65" s="42" t="s">
        <v>1025</v>
      </c>
      <c r="AB65" s="42" t="s">
        <v>1026</v>
      </c>
      <c r="AC65" s="42" t="s">
        <v>1027</v>
      </c>
      <c r="AD65" s="42" t="s">
        <v>1028</v>
      </c>
      <c r="AE65" s="42" t="s">
        <v>1029</v>
      </c>
      <c r="AF65" s="42" t="s">
        <v>1030</v>
      </c>
      <c r="AG65" s="42" t="s">
        <v>1031</v>
      </c>
      <c r="AH65" s="42" t="s">
        <v>1032</v>
      </c>
      <c r="AI65" s="42" t="s">
        <v>1033</v>
      </c>
      <c r="AJ65" s="42" t="s">
        <v>1034</v>
      </c>
    </row>
    <row r="66" spans="2:36" x14ac:dyDescent="0.15">
      <c r="B66" s="109" t="s">
        <v>1037</v>
      </c>
      <c r="C66" s="107">
        <f>SUM(SUMIFS('caseload data'!E:E,'caseload data'!$D:$D,"PO",'caseload data'!$C:$C,'community caseload'!$B$64,'caseload data'!$B:$B,{"licence","community"}))</f>
        <v>0</v>
      </c>
      <c r="D66" s="107">
        <f>SUM(SUMIFS('caseload data'!F:F,'caseload data'!$D:$D,"PO",'caseload data'!$C:$C,'community caseload'!$B$64,'caseload data'!$B:$B,{"licence","community"}))</f>
        <v>0</v>
      </c>
      <c r="E66" s="107">
        <f>SUM(SUMIFS('caseload data'!G:G,'caseload data'!$D:$D,"PO",'caseload data'!$C:$C,'community caseload'!$B$64,'caseload data'!$B:$B,{"licence","community"}))</f>
        <v>0</v>
      </c>
      <c r="F66" s="107">
        <f>SUM(SUMIFS('caseload data'!H:H,'caseload data'!$D:$D,"PO",'caseload data'!$C:$C,'community caseload'!$B$64,'caseload data'!$B:$B,{"licence","community"}))</f>
        <v>0</v>
      </c>
      <c r="G66" s="107">
        <f>SUM(SUMIFS('caseload data'!I:I,'caseload data'!$D:$D,"PO",'caseload data'!$C:$C,'community caseload'!$B$64,'caseload data'!$B:$B,{"licence","community"}))</f>
        <v>0</v>
      </c>
      <c r="H66" s="107">
        <f>SUM(SUMIFS('caseload data'!J:J,'caseload data'!$D:$D,"PO",'caseload data'!$C:$C,'community caseload'!$B$64,'caseload data'!$B:$B,{"licence","community"}))</f>
        <v>0</v>
      </c>
      <c r="I66" s="107">
        <f>SUM(SUMIFS('caseload data'!K:K,'caseload data'!$D:$D,"PO",'caseload data'!$C:$C,'community caseload'!$B$64,'caseload data'!$B:$B,{"licence","community"}))</f>
        <v>0</v>
      </c>
      <c r="J66" s="107">
        <f>SUM(SUMIFS('caseload data'!L:L,'caseload data'!$D:$D,"PO",'caseload data'!$C:$C,'community caseload'!$B$64,'caseload data'!$B:$B,{"licence","community"}))</f>
        <v>0</v>
      </c>
      <c r="K66" s="107">
        <f>SUM(SUMIFS('caseload data'!M:M,'caseload data'!$D:$D,"PO",'caseload data'!$C:$C,'community caseload'!$B$64,'caseload data'!$B:$B,{"licence","community"}))</f>
        <v>0</v>
      </c>
      <c r="L66" s="107">
        <f>SUM(SUMIFS('caseload data'!N:N,'caseload data'!$D:$D,"PO",'caseload data'!$C:$C,'community caseload'!$B$64,'caseload data'!$B:$B,{"licence","community"}))</f>
        <v>0</v>
      </c>
      <c r="M66" s="107">
        <f>SUM(SUMIFS('caseload data'!O:O,'caseload data'!$D:$D,"PO",'caseload data'!$C:$C,'community caseload'!$B$64,'caseload data'!$B:$B,{"licence","community"}))</f>
        <v>0</v>
      </c>
      <c r="N66" s="107">
        <f>SUM(SUMIFS('caseload data'!P:P,'caseload data'!$D:$D,"PO",'caseload data'!$C:$C,'community caseload'!$B$64,'caseload data'!$B:$B,{"licence","community"}))</f>
        <v>0</v>
      </c>
      <c r="O66" s="107">
        <f>SUM(SUMIFS('caseload data'!Q:Q,'caseload data'!$D:$D,"PO",'caseload data'!$C:$C,'community caseload'!$B$64,'caseload data'!$B:$B,{"licence","community"}))</f>
        <v>0</v>
      </c>
      <c r="P66" s="107">
        <f>SUM(SUMIFS('caseload data'!R:R,'caseload data'!$D:$D,"PO",'caseload data'!$C:$C,'community caseload'!$B$64,'caseload data'!$B:$B,{"licence","community"}))</f>
        <v>0</v>
      </c>
      <c r="Q66" s="107">
        <f>SUM(SUMIFS('caseload data'!S:S,'caseload data'!$D:$D,"PO",'caseload data'!$C:$C,'community caseload'!$B$64,'caseload data'!$B:$B,{"licence","community"}))</f>
        <v>0</v>
      </c>
      <c r="R66" s="107">
        <f>SUM(SUMIFS('caseload data'!T:T,'caseload data'!$D:$D,"PO",'caseload data'!$C:$C,'community caseload'!$B$64,'caseload data'!$B:$B,{"licence","community"}))</f>
        <v>0</v>
      </c>
      <c r="S66" s="76"/>
      <c r="T66" s="109" t="s">
        <v>1037</v>
      </c>
      <c r="U66" s="107">
        <f>SUM(SUMIFS('caseload data'!E:E,'caseload data'!$D:$D,"PO",'caseload data'!$C:$C,'community caseload'!$T$64,'caseload data'!$B:$B,{"licence","community"}))</f>
        <v>0</v>
      </c>
      <c r="V66" s="107">
        <f>SUM(SUMIFS('caseload data'!F:F,'caseload data'!$D:$D,"PO",'caseload data'!$C:$C,'community caseload'!$T$64,'caseload data'!$B:$B,{"licence","community"}))</f>
        <v>0</v>
      </c>
      <c r="W66" s="107">
        <f>SUM(SUMIFS('caseload data'!G:G,'caseload data'!$D:$D,"PO",'caseload data'!$C:$C,'community caseload'!$T$64,'caseload data'!$B:$B,{"licence","community"}))</f>
        <v>0</v>
      </c>
      <c r="X66" s="107">
        <f>SUM(SUMIFS('caseload data'!H:H,'caseload data'!$D:$D,"PO",'caseload data'!$C:$C,'community caseload'!$T$64,'caseload data'!$B:$B,{"licence","community"}))</f>
        <v>0</v>
      </c>
      <c r="Y66" s="107">
        <f>SUM(SUMIFS('caseload data'!I:I,'caseload data'!$D:$D,"PO",'caseload data'!$C:$C,'community caseload'!$T$64,'caseload data'!$B:$B,{"licence","community"}))</f>
        <v>0</v>
      </c>
      <c r="Z66" s="107">
        <f>SUM(SUMIFS('caseload data'!J:J,'caseload data'!$D:$D,"PO",'caseload data'!$C:$C,'community caseload'!$T$64,'caseload data'!$B:$B,{"licence","community"}))</f>
        <v>0</v>
      </c>
      <c r="AA66" s="107">
        <f>SUM(SUMIFS('caseload data'!K:K,'caseload data'!$D:$D,"PO",'caseload data'!$C:$C,'community caseload'!$T$64,'caseload data'!$B:$B,{"licence","community"}))</f>
        <v>0</v>
      </c>
      <c r="AB66" s="107">
        <f>SUM(SUMIFS('caseload data'!L:L,'caseload data'!$D:$D,"PO",'caseload data'!$C:$C,'community caseload'!$T$64,'caseload data'!$B:$B,{"licence","community"}))</f>
        <v>0</v>
      </c>
      <c r="AC66" s="107">
        <f>SUM(SUMIFS('caseload data'!M:M,'caseload data'!$D:$D,"PO",'caseload data'!$C:$C,'community caseload'!$T$64,'caseload data'!$B:$B,{"licence","community"}))</f>
        <v>0</v>
      </c>
      <c r="AD66" s="107">
        <f>SUM(SUMIFS('caseload data'!N:N,'caseload data'!$D:$D,"PO",'caseload data'!$C:$C,'community caseload'!$T$64,'caseload data'!$B:$B,{"licence","community"}))</f>
        <v>0</v>
      </c>
      <c r="AE66" s="107">
        <f>SUM(SUMIFS('caseload data'!O:O,'caseload data'!$D:$D,"PO",'caseload data'!$C:$C,'community caseload'!$T$64,'caseload data'!$B:$B,{"licence","community"}))</f>
        <v>0</v>
      </c>
      <c r="AF66" s="107">
        <f>SUM(SUMIFS('caseload data'!P:P,'caseload data'!$D:$D,"PO",'caseload data'!$C:$C,'community caseload'!$T$64,'caseload data'!$B:$B,{"licence","community"}))</f>
        <v>0</v>
      </c>
      <c r="AG66" s="107">
        <f>SUM(SUMIFS('caseload data'!Q:Q,'caseload data'!$D:$D,"PO",'caseload data'!$C:$C,'community caseload'!$T$64,'caseload data'!$B:$B,{"licence","community"}))</f>
        <v>0</v>
      </c>
      <c r="AH66" s="107">
        <f>SUM(SUMIFS('caseload data'!R:R,'caseload data'!$D:$D,"PO",'caseload data'!$C:$C,'community caseload'!$T$64,'caseload data'!$B:$B,{"licence","community"}))</f>
        <v>0</v>
      </c>
      <c r="AI66" s="107">
        <f>SUM(SUMIFS('caseload data'!S:S,'caseload data'!$D:$D,"PO",'caseload data'!$C:$C,'community caseload'!$T$64,'caseload data'!$B:$B,{"licence","community"}))</f>
        <v>0</v>
      </c>
      <c r="AJ66" s="107">
        <f>SUM(SUMIFS('caseload data'!T:T,'caseload data'!$D:$D,"PO",'caseload data'!$C:$C,'community caseload'!$T$64,'caseload data'!$B:$B,{"licence","community"}))</f>
        <v>0</v>
      </c>
    </row>
    <row r="67" spans="2:36" x14ac:dyDescent="0.15">
      <c r="B67" s="110" t="s">
        <v>1038</v>
      </c>
      <c r="C67" s="107">
        <f>SUM(SUMIFS('caseload data'!E:E,'caseload data'!$D:$D,"PSO",'caseload data'!$C:$C,'community caseload'!$B$64,'caseload data'!$B:$B,{"licence","community"}))</f>
        <v>0</v>
      </c>
      <c r="D67" s="107">
        <f>SUM(SUMIFS('caseload data'!F:F,'caseload data'!$D:$D,"PSO",'caseload data'!$C:$C,'community caseload'!$B$64,'caseload data'!$B:$B,{"licence","community"}))</f>
        <v>0</v>
      </c>
      <c r="E67" s="107">
        <f>SUM(SUMIFS('caseload data'!G:G,'caseload data'!$D:$D,"PSO",'caseload data'!$C:$C,'community caseload'!$B$64,'caseload data'!$B:$B,{"licence","community"}))</f>
        <v>0</v>
      </c>
      <c r="F67" s="107">
        <f>SUM(SUMIFS('caseload data'!H:H,'caseload data'!$D:$D,"PSO",'caseload data'!$C:$C,'community caseload'!$B$64,'caseload data'!$B:$B,{"licence","community"}))</f>
        <v>0</v>
      </c>
      <c r="G67" s="107">
        <f>SUM(SUMIFS('caseload data'!I:I,'caseload data'!$D:$D,"PSO",'caseload data'!$C:$C,'community caseload'!$B$64,'caseload data'!$B:$B,{"licence","community"}))</f>
        <v>0</v>
      </c>
      <c r="H67" s="107">
        <f>SUM(SUMIFS('caseload data'!J:J,'caseload data'!$D:$D,"PSO",'caseload data'!$C:$C,'community caseload'!$B$64,'caseload data'!$B:$B,{"licence","community"}))</f>
        <v>0</v>
      </c>
      <c r="I67" s="107">
        <f>SUM(SUMIFS('caseload data'!K:K,'caseload data'!$D:$D,"PSO",'caseload data'!$C:$C,'community caseload'!$B$64,'caseload data'!$B:$B,{"licence","community"}))</f>
        <v>0</v>
      </c>
      <c r="J67" s="107">
        <f>SUM(SUMIFS('caseload data'!L:L,'caseload data'!$D:$D,"PSO",'caseload data'!$C:$C,'community caseload'!$B$64,'caseload data'!$B:$B,{"licence","community"}))</f>
        <v>0</v>
      </c>
      <c r="K67" s="107">
        <f>SUM(SUMIFS('caseload data'!M:M,'caseload data'!$D:$D,"PSO",'caseload data'!$C:$C,'community caseload'!$B$64,'caseload data'!$B:$B,{"licence","community"}))</f>
        <v>0</v>
      </c>
      <c r="L67" s="107">
        <f>SUM(SUMIFS('caseload data'!N:N,'caseload data'!$D:$D,"PSO",'caseload data'!$C:$C,'community caseload'!$B$64,'caseload data'!$B:$B,{"licence","community"}))</f>
        <v>0</v>
      </c>
      <c r="M67" s="107">
        <f>SUM(SUMIFS('caseload data'!O:O,'caseload data'!$D:$D,"PSO",'caseload data'!$C:$C,'community caseload'!$B$64,'caseload data'!$B:$B,{"licence","community"}))</f>
        <v>0</v>
      </c>
      <c r="N67" s="107">
        <f>SUM(SUMIFS('caseload data'!P:P,'caseload data'!$D:$D,"PSO",'caseload data'!$C:$C,'community caseload'!$B$64,'caseload data'!$B:$B,{"licence","community"}))</f>
        <v>0</v>
      </c>
      <c r="O67" s="107">
        <f>SUM(SUMIFS('caseload data'!Q:Q,'caseload data'!$D:$D,"PSO",'caseload data'!$C:$C,'community caseload'!$B$64,'caseload data'!$B:$B,{"licence","community"}))</f>
        <v>0</v>
      </c>
      <c r="P67" s="107">
        <f>SUM(SUMIFS('caseload data'!R:R,'caseload data'!$D:$D,"PSO",'caseload data'!$C:$C,'community caseload'!$B$64,'caseload data'!$B:$B,{"licence","community"}))</f>
        <v>0</v>
      </c>
      <c r="Q67" s="107">
        <f>SUM(SUMIFS('caseload data'!S:S,'caseload data'!$D:$D,"PSO",'caseload data'!$C:$C,'community caseload'!$B$64,'caseload data'!$B:$B,{"licence","community"}))</f>
        <v>0</v>
      </c>
      <c r="R67" s="107">
        <f>SUM(SUMIFS('caseload data'!T:T,'caseload data'!$D:$D,"PSO",'caseload data'!$C:$C,'community caseload'!$B$64,'caseload data'!$B:$B,{"licence","community"}))</f>
        <v>0</v>
      </c>
      <c r="S67" s="76"/>
      <c r="T67" s="110" t="s">
        <v>1038</v>
      </c>
      <c r="U67" s="107">
        <f>SUM(SUMIFS('caseload data'!E:E,'caseload data'!$D:$D,"PSO",'caseload data'!$C:$C,'community caseload'!$T$64,'caseload data'!$B:$B,{"licence","community"}))</f>
        <v>0</v>
      </c>
      <c r="V67" s="107">
        <f>SUM(SUMIFS('caseload data'!F:F,'caseload data'!$D:$D,"PSO",'caseload data'!$C:$C,'community caseload'!$T$64,'caseload data'!$B:$B,{"licence","community"}))</f>
        <v>0</v>
      </c>
      <c r="W67" s="107">
        <f>SUM(SUMIFS('caseload data'!G:G,'caseload data'!$D:$D,"PSO",'caseload data'!$C:$C,'community caseload'!$T$64,'caseload data'!$B:$B,{"licence","community"}))</f>
        <v>0</v>
      </c>
      <c r="X67" s="107">
        <f>SUM(SUMIFS('caseload data'!H:H,'caseload data'!$D:$D,"PSO",'caseload data'!$C:$C,'community caseload'!$T$64,'caseload data'!$B:$B,{"licence","community"}))</f>
        <v>0</v>
      </c>
      <c r="Y67" s="107">
        <f>SUM(SUMIFS('caseload data'!I:I,'caseload data'!$D:$D,"PSO",'caseload data'!$C:$C,'community caseload'!$T$64,'caseload data'!$B:$B,{"licence","community"}))</f>
        <v>0</v>
      </c>
      <c r="Z67" s="107">
        <f>SUM(SUMIFS('caseload data'!J:J,'caseload data'!$D:$D,"PSO",'caseload data'!$C:$C,'community caseload'!$T$64,'caseload data'!$B:$B,{"licence","community"}))</f>
        <v>0</v>
      </c>
      <c r="AA67" s="107">
        <f>SUM(SUMIFS('caseload data'!K:K,'caseload data'!$D:$D,"PSO",'caseload data'!$C:$C,'community caseload'!$T$64,'caseload data'!$B:$B,{"licence","community"}))</f>
        <v>0</v>
      </c>
      <c r="AB67" s="107">
        <f>SUM(SUMIFS('caseload data'!L:L,'caseload data'!$D:$D,"PSO",'caseload data'!$C:$C,'community caseload'!$T$64,'caseload data'!$B:$B,{"licence","community"}))</f>
        <v>0</v>
      </c>
      <c r="AC67" s="107">
        <f>SUM(SUMIFS('caseload data'!M:M,'caseload data'!$D:$D,"PSO",'caseload data'!$C:$C,'community caseload'!$T$64,'caseload data'!$B:$B,{"licence","community"}))</f>
        <v>0</v>
      </c>
      <c r="AD67" s="107">
        <f>SUM(SUMIFS('caseload data'!N:N,'caseload data'!$D:$D,"PSO",'caseload data'!$C:$C,'community caseload'!$T$64,'caseload data'!$B:$B,{"licence","community"}))</f>
        <v>0</v>
      </c>
      <c r="AE67" s="107">
        <f>SUM(SUMIFS('caseload data'!O:O,'caseload data'!$D:$D,"PSO",'caseload data'!$C:$C,'community caseload'!$T$64,'caseload data'!$B:$B,{"licence","community"}))</f>
        <v>0</v>
      </c>
      <c r="AF67" s="107">
        <f>SUM(SUMIFS('caseload data'!P:P,'caseload data'!$D:$D,"PSO",'caseload data'!$C:$C,'community caseload'!$T$64,'caseload data'!$B:$B,{"licence","community"}))</f>
        <v>0</v>
      </c>
      <c r="AG67" s="107">
        <f>SUM(SUMIFS('caseload data'!Q:Q,'caseload data'!$D:$D,"PSO",'caseload data'!$C:$C,'community caseload'!$T$64,'caseload data'!$B:$B,{"licence","community"}))</f>
        <v>0</v>
      </c>
      <c r="AH67" s="107">
        <f>SUM(SUMIFS('caseload data'!R:R,'caseload data'!$D:$D,"PSO",'caseload data'!$C:$C,'community caseload'!$T$64,'caseload data'!$B:$B,{"licence","community"}))</f>
        <v>0</v>
      </c>
      <c r="AI67" s="107">
        <f>SUM(SUMIFS('caseload data'!S:S,'caseload data'!$D:$D,"PSO",'caseload data'!$C:$C,'community caseload'!$T$64,'caseload data'!$B:$B,{"licence","community"}))</f>
        <v>0</v>
      </c>
      <c r="AJ67" s="107">
        <f>SUM(SUMIFS('caseload data'!T:T,'caseload data'!$D:$D,"PSO",'caseload data'!$C:$C,'community caseload'!$T$64,'caseload data'!$B:$B,{"licence","community"}))</f>
        <v>0</v>
      </c>
    </row>
    <row r="68" spans="2:36" x14ac:dyDescent="0.15">
      <c r="B68" s="110" t="s">
        <v>1039</v>
      </c>
      <c r="C68" s="107">
        <f>SUM(SUMIFS('caseload data'!E:E,'caseload data'!$D:$D,"TPO",'caseload data'!$C:$C,'community caseload'!$B$64,'caseload data'!$B:$B,{"licence","community"}))</f>
        <v>0</v>
      </c>
      <c r="D68" s="107">
        <f>SUM(SUMIFS('caseload data'!F:F,'caseload data'!$D:$D,"TPO",'caseload data'!$C:$C,'community caseload'!$B$64,'caseload data'!$B:$B,{"licence","community"}))</f>
        <v>0</v>
      </c>
      <c r="E68" s="107">
        <f>SUM(SUMIFS('caseload data'!G:G,'caseload data'!$D:$D,"TPO",'caseload data'!$C:$C,'community caseload'!$B$64,'caseload data'!$B:$B,{"licence","community"}))</f>
        <v>0</v>
      </c>
      <c r="F68" s="107">
        <f>SUM(SUMIFS('caseload data'!H:H,'caseload data'!$D:$D,"TPO",'caseload data'!$C:$C,'community caseload'!$B$64,'caseload data'!$B:$B,{"licence","community"}))</f>
        <v>0</v>
      </c>
      <c r="G68" s="107">
        <f>SUM(SUMIFS('caseload data'!I:I,'caseload data'!$D:$D,"TPO",'caseload data'!$C:$C,'community caseload'!$B$64,'caseload data'!$B:$B,{"licence","community"}))</f>
        <v>0</v>
      </c>
      <c r="H68" s="107">
        <f>SUM(SUMIFS('caseload data'!J:J,'caseload data'!$D:$D,"TPO",'caseload data'!$C:$C,'community caseload'!$B$64,'caseload data'!$B:$B,{"licence","community"}))</f>
        <v>0</v>
      </c>
      <c r="I68" s="107">
        <f>SUM(SUMIFS('caseload data'!K:K,'caseload data'!$D:$D,"TPO",'caseload data'!$C:$C,'community caseload'!$B$64,'caseload data'!$B:$B,{"licence","community"}))</f>
        <v>0</v>
      </c>
      <c r="J68" s="107">
        <f>SUM(SUMIFS('caseload data'!L:L,'caseload data'!$D:$D,"TPO",'caseload data'!$C:$C,'community caseload'!$B$64,'caseload data'!$B:$B,{"licence","community"}))</f>
        <v>0</v>
      </c>
      <c r="K68" s="107">
        <f>SUM(SUMIFS('caseload data'!M:M,'caseload data'!$D:$D,"TPO",'caseload data'!$C:$C,'community caseload'!$B$64,'caseload data'!$B:$B,{"licence","community"}))</f>
        <v>0</v>
      </c>
      <c r="L68" s="107">
        <f>SUM(SUMIFS('caseload data'!N:N,'caseload data'!$D:$D,"TPO",'caseload data'!$C:$C,'community caseload'!$B$64,'caseload data'!$B:$B,{"licence","community"}))</f>
        <v>0</v>
      </c>
      <c r="M68" s="107">
        <f>SUM(SUMIFS('caseload data'!O:O,'caseload data'!$D:$D,"TPO",'caseload data'!$C:$C,'community caseload'!$B$64,'caseload data'!$B:$B,{"licence","community"}))</f>
        <v>0</v>
      </c>
      <c r="N68" s="107">
        <f>SUM(SUMIFS('caseload data'!P:P,'caseload data'!$D:$D,"TPO",'caseload data'!$C:$C,'community caseload'!$B$64,'caseload data'!$B:$B,{"licence","community"}))</f>
        <v>0</v>
      </c>
      <c r="O68" s="107">
        <f>SUM(SUMIFS('caseload data'!Q:Q,'caseload data'!$D:$D,"TPO",'caseload data'!$C:$C,'community caseload'!$B$64,'caseload data'!$B:$B,{"licence","community"}))</f>
        <v>0</v>
      </c>
      <c r="P68" s="107">
        <f>SUM(SUMIFS('caseload data'!R:R,'caseload data'!$D:$D,"TPO",'caseload data'!$C:$C,'community caseload'!$B$64,'caseload data'!$B:$B,{"licence","community"}))</f>
        <v>0</v>
      </c>
      <c r="Q68" s="107">
        <f>SUM(SUMIFS('caseload data'!S:S,'caseload data'!$D:$D,"TPO",'caseload data'!$C:$C,'community caseload'!$B$64,'caseload data'!$B:$B,{"licence","community"}))</f>
        <v>0</v>
      </c>
      <c r="R68" s="107">
        <f>SUM(SUMIFS('caseload data'!T:T,'caseload data'!$D:$D,"TPO",'caseload data'!$C:$C,'community caseload'!$B$64,'caseload data'!$B:$B,{"licence","community"}))</f>
        <v>0</v>
      </c>
      <c r="S68" s="76"/>
      <c r="T68" s="110" t="s">
        <v>1039</v>
      </c>
      <c r="U68" s="107">
        <f>SUM(SUMIFS('caseload data'!E:E,'caseload data'!$D:$D,"TPO",'caseload data'!$C:$C,'community caseload'!$T$64,'caseload data'!$B:$B,{"licence","community"}))</f>
        <v>0</v>
      </c>
      <c r="V68" s="107">
        <f>SUM(SUMIFS('caseload data'!F:F,'caseload data'!$D:$D,"TPO",'caseload data'!$C:$C,'community caseload'!$T$64,'caseload data'!$B:$B,{"licence","community"}))</f>
        <v>0</v>
      </c>
      <c r="W68" s="107">
        <f>SUM(SUMIFS('caseload data'!G:G,'caseload data'!$D:$D,"TPO",'caseload data'!$C:$C,'community caseload'!$T$64,'caseload data'!$B:$B,{"licence","community"}))</f>
        <v>0</v>
      </c>
      <c r="X68" s="107">
        <f>SUM(SUMIFS('caseload data'!H:H,'caseload data'!$D:$D,"TPO",'caseload data'!$C:$C,'community caseload'!$T$64,'caseload data'!$B:$B,{"licence","community"}))</f>
        <v>0</v>
      </c>
      <c r="Y68" s="107">
        <f>SUM(SUMIFS('caseload data'!I:I,'caseload data'!$D:$D,"TPO",'caseload data'!$C:$C,'community caseload'!$T$64,'caseload data'!$B:$B,{"licence","community"}))</f>
        <v>0</v>
      </c>
      <c r="Z68" s="107">
        <f>SUM(SUMIFS('caseload data'!J:J,'caseload data'!$D:$D,"TPO",'caseload data'!$C:$C,'community caseload'!$T$64,'caseload data'!$B:$B,{"licence","community"}))</f>
        <v>0</v>
      </c>
      <c r="AA68" s="107">
        <f>SUM(SUMIFS('caseload data'!K:K,'caseload data'!$D:$D,"TPO",'caseload data'!$C:$C,'community caseload'!$T$64,'caseload data'!$B:$B,{"licence","community"}))</f>
        <v>0</v>
      </c>
      <c r="AB68" s="107">
        <f>SUM(SUMIFS('caseload data'!L:L,'caseload data'!$D:$D,"TPO",'caseload data'!$C:$C,'community caseload'!$T$64,'caseload data'!$B:$B,{"licence","community"}))</f>
        <v>0</v>
      </c>
      <c r="AC68" s="107">
        <f>SUM(SUMIFS('caseload data'!M:M,'caseload data'!$D:$D,"TPO",'caseload data'!$C:$C,'community caseload'!$T$64,'caseload data'!$B:$B,{"licence","community"}))</f>
        <v>0</v>
      </c>
      <c r="AD68" s="107">
        <f>SUM(SUMIFS('caseload data'!N:N,'caseload data'!$D:$D,"TPO",'caseload data'!$C:$C,'community caseload'!$T$64,'caseload data'!$B:$B,{"licence","community"}))</f>
        <v>0</v>
      </c>
      <c r="AE68" s="107">
        <f>SUM(SUMIFS('caseload data'!O:O,'caseload data'!$D:$D,"TPO",'caseload data'!$C:$C,'community caseload'!$T$64,'caseload data'!$B:$B,{"licence","community"}))</f>
        <v>0</v>
      </c>
      <c r="AF68" s="107">
        <f>SUM(SUMIFS('caseload data'!P:P,'caseload data'!$D:$D,"TPO",'caseload data'!$C:$C,'community caseload'!$T$64,'caseload data'!$B:$B,{"licence","community"}))</f>
        <v>0</v>
      </c>
      <c r="AG68" s="107">
        <f>SUM(SUMIFS('caseload data'!Q:Q,'caseload data'!$D:$D,"TPO",'caseload data'!$C:$C,'community caseload'!$T$64,'caseload data'!$B:$B,{"licence","community"}))</f>
        <v>0</v>
      </c>
      <c r="AH68" s="107">
        <f>SUM(SUMIFS('caseload data'!R:R,'caseload data'!$D:$D,"TPO",'caseload data'!$C:$C,'community caseload'!$T$64,'caseload data'!$B:$B,{"licence","community"}))</f>
        <v>0</v>
      </c>
      <c r="AI68" s="107">
        <f>SUM(SUMIFS('caseload data'!S:S,'caseload data'!$D:$D,"TPO",'caseload data'!$C:$C,'community caseload'!$T$64,'caseload data'!$B:$B,{"licence","community"}))</f>
        <v>0</v>
      </c>
      <c r="AJ68" s="107">
        <f>SUM(SUMIFS('caseload data'!T:T,'caseload data'!$D:$D,"TPO",'caseload data'!$C:$C,'community caseload'!$T$64,'caseload data'!$B:$B,{"licence","community"}))</f>
        <v>0</v>
      </c>
    </row>
    <row r="69" spans="2:36" x14ac:dyDescent="0.15">
      <c r="B69" s="111" t="s">
        <v>1040</v>
      </c>
      <c r="C69" s="107">
        <f>SUM(SUMIFS('caseload data'!E:E,'caseload data'!$D:$D,"SPO",'caseload data'!$C:$C,'community caseload'!$B$64,'caseload data'!$B:$B,{"licence","community"}))</f>
        <v>0</v>
      </c>
      <c r="D69" s="107">
        <f>SUM(SUMIFS('caseload data'!F:F,'caseload data'!$D:$D,"SPO",'caseload data'!$C:$C,'community caseload'!$B$64,'caseload data'!$B:$B,{"licence","community"}))</f>
        <v>0</v>
      </c>
      <c r="E69" s="107">
        <f>SUM(SUMIFS('caseload data'!G:G,'caseload data'!$D:$D,"SPO",'caseload data'!$C:$C,'community caseload'!$B$64,'caseload data'!$B:$B,{"licence","community"}))</f>
        <v>0</v>
      </c>
      <c r="F69" s="107">
        <f>SUM(SUMIFS('caseload data'!H:H,'caseload data'!$D:$D,"SPO",'caseload data'!$C:$C,'community caseload'!$B$64,'caseload data'!$B:$B,{"licence","community"}))</f>
        <v>0</v>
      </c>
      <c r="G69" s="107">
        <f>SUM(SUMIFS('caseload data'!I:I,'caseload data'!$D:$D,"SPO",'caseload data'!$C:$C,'community caseload'!$B$64,'caseload data'!$B:$B,{"licence","community"}))</f>
        <v>0</v>
      </c>
      <c r="H69" s="107">
        <f>SUM(SUMIFS('caseload data'!J:J,'caseload data'!$D:$D,"SPO",'caseload data'!$C:$C,'community caseload'!$B$64,'caseload data'!$B:$B,{"licence","community"}))</f>
        <v>0</v>
      </c>
      <c r="I69" s="107">
        <f>SUM(SUMIFS('caseload data'!K:K,'caseload data'!$D:$D,"SPO",'caseload data'!$C:$C,'community caseload'!$B$64,'caseload data'!$B:$B,{"licence","community"}))</f>
        <v>0</v>
      </c>
      <c r="J69" s="107">
        <f>SUM(SUMIFS('caseload data'!L:L,'caseload data'!$D:$D,"SPO",'caseload data'!$C:$C,'community caseload'!$B$64,'caseload data'!$B:$B,{"licence","community"}))</f>
        <v>0</v>
      </c>
      <c r="K69" s="107">
        <f>SUM(SUMIFS('caseload data'!M:M,'caseload data'!$D:$D,"SPO",'caseload data'!$C:$C,'community caseload'!$B$64,'caseload data'!$B:$B,{"licence","community"}))</f>
        <v>0</v>
      </c>
      <c r="L69" s="107">
        <f>SUM(SUMIFS('caseload data'!N:N,'caseload data'!$D:$D,"SPO",'caseload data'!$C:$C,'community caseload'!$B$64,'caseload data'!$B:$B,{"licence","community"}))</f>
        <v>0</v>
      </c>
      <c r="M69" s="107">
        <f>SUM(SUMIFS('caseload data'!O:O,'caseload data'!$D:$D,"SPO",'caseload data'!$C:$C,'community caseload'!$B$64,'caseload data'!$B:$B,{"licence","community"}))</f>
        <v>0</v>
      </c>
      <c r="N69" s="107">
        <f>SUM(SUMIFS('caseload data'!P:P,'caseload data'!$D:$D,"SPO",'caseload data'!$C:$C,'community caseload'!$B$64,'caseload data'!$B:$B,{"licence","community"}))</f>
        <v>0</v>
      </c>
      <c r="O69" s="107">
        <f>SUM(SUMIFS('caseload data'!Q:Q,'caseload data'!$D:$D,"SPO",'caseload data'!$C:$C,'community caseload'!$B$64,'caseload data'!$B:$B,{"licence","community"}))</f>
        <v>0</v>
      </c>
      <c r="P69" s="107">
        <f>SUM(SUMIFS('caseload data'!R:R,'caseload data'!$D:$D,"SPO",'caseload data'!$C:$C,'community caseload'!$B$64,'caseload data'!$B:$B,{"licence","community"}))</f>
        <v>0</v>
      </c>
      <c r="Q69" s="107">
        <f>SUM(SUMIFS('caseload data'!S:S,'caseload data'!$D:$D,"SPO",'caseload data'!$C:$C,'community caseload'!$B$64,'caseload data'!$B:$B,{"licence","community"}))</f>
        <v>0</v>
      </c>
      <c r="R69" s="107">
        <f>SUM(SUMIFS('caseload data'!T:T,'caseload data'!$D:$D,"SPO",'caseload data'!$C:$C,'community caseload'!$B$64,'caseload data'!$B:$B,{"licence","community"}))</f>
        <v>0</v>
      </c>
      <c r="S69" s="76"/>
      <c r="T69" s="111" t="s">
        <v>1040</v>
      </c>
      <c r="U69" s="107">
        <f>SUM(SUMIFS('caseload data'!E:E,'caseload data'!$D:$D,"SPO",'caseload data'!$C:$C,'community caseload'!$T$64,'caseload data'!$B:$B,{"licence","community"}))</f>
        <v>0</v>
      </c>
      <c r="V69" s="107">
        <f>SUM(SUMIFS('caseload data'!F:F,'caseload data'!$D:$D,"SPO",'caseload data'!$C:$C,'community caseload'!$T$64,'caseload data'!$B:$B,{"licence","community"}))</f>
        <v>0</v>
      </c>
      <c r="W69" s="107">
        <f>SUM(SUMIFS('caseload data'!G:G,'caseload data'!$D:$D,"SPO",'caseload data'!$C:$C,'community caseload'!$T$64,'caseload data'!$B:$B,{"licence","community"}))</f>
        <v>0</v>
      </c>
      <c r="X69" s="107">
        <f>SUM(SUMIFS('caseload data'!H:H,'caseload data'!$D:$D,"SPO",'caseload data'!$C:$C,'community caseload'!$T$64,'caseload data'!$B:$B,{"licence","community"}))</f>
        <v>0</v>
      </c>
      <c r="Y69" s="107">
        <f>SUM(SUMIFS('caseload data'!I:I,'caseload data'!$D:$D,"SPO",'caseload data'!$C:$C,'community caseload'!$T$64,'caseload data'!$B:$B,{"licence","community"}))</f>
        <v>0</v>
      </c>
      <c r="Z69" s="107">
        <f>SUM(SUMIFS('caseload data'!J:J,'caseload data'!$D:$D,"SPO",'caseload data'!$C:$C,'community caseload'!$T$64,'caseload data'!$B:$B,{"licence","community"}))</f>
        <v>0</v>
      </c>
      <c r="AA69" s="107">
        <f>SUM(SUMIFS('caseload data'!K:K,'caseload data'!$D:$D,"SPO",'caseload data'!$C:$C,'community caseload'!$T$64,'caseload data'!$B:$B,{"licence","community"}))</f>
        <v>0</v>
      </c>
      <c r="AB69" s="107">
        <f>SUM(SUMIFS('caseload data'!L:L,'caseload data'!$D:$D,"SPO",'caseload data'!$C:$C,'community caseload'!$T$64,'caseload data'!$B:$B,{"licence","community"}))</f>
        <v>0</v>
      </c>
      <c r="AC69" s="107">
        <f>SUM(SUMIFS('caseload data'!M:M,'caseload data'!$D:$D,"SPO",'caseload data'!$C:$C,'community caseload'!$T$64,'caseload data'!$B:$B,{"licence","community"}))</f>
        <v>0</v>
      </c>
      <c r="AD69" s="107">
        <f>SUM(SUMIFS('caseload data'!N:N,'caseload data'!$D:$D,"SPO",'caseload data'!$C:$C,'community caseload'!$T$64,'caseload data'!$B:$B,{"licence","community"}))</f>
        <v>0</v>
      </c>
      <c r="AE69" s="107">
        <f>SUM(SUMIFS('caseload data'!O:O,'caseload data'!$D:$D,"SPO",'caseload data'!$C:$C,'community caseload'!$T$64,'caseload data'!$B:$B,{"licence","community"}))</f>
        <v>0</v>
      </c>
      <c r="AF69" s="107">
        <f>SUM(SUMIFS('caseload data'!P:P,'caseload data'!$D:$D,"SPO",'caseload data'!$C:$C,'community caseload'!$T$64,'caseload data'!$B:$B,{"licence","community"}))</f>
        <v>0</v>
      </c>
      <c r="AG69" s="107">
        <f>SUM(SUMIFS('caseload data'!Q:Q,'caseload data'!$D:$D,"SPO",'caseload data'!$C:$C,'community caseload'!$T$64,'caseload data'!$B:$B,{"licence","community"}))</f>
        <v>0</v>
      </c>
      <c r="AH69" s="107">
        <f>SUM(SUMIFS('caseload data'!R:R,'caseload data'!$D:$D,"SPO",'caseload data'!$C:$C,'community caseload'!$T$64,'caseload data'!$B:$B,{"licence","community"}))</f>
        <v>0</v>
      </c>
      <c r="AI69" s="107">
        <f>SUM(SUMIFS('caseload data'!S:S,'caseload data'!$D:$D,"SPO",'caseload data'!$C:$C,'community caseload'!$T$64,'caseload data'!$B:$B,{"licence","community"}))</f>
        <v>0</v>
      </c>
      <c r="AJ69" s="107">
        <f>SUM(SUMIFS('caseload data'!T:T,'caseload data'!$D:$D,"SPO",'caseload data'!$C:$C,'community caseload'!$T$64,'caseload data'!$B:$B,{"licence","community"}))</f>
        <v>0</v>
      </c>
    </row>
    <row r="71" spans="2:36" x14ac:dyDescent="0.15">
      <c r="B71" s="162">
        <f>HLOOKUP($B$5,Region_Table,20,0)</f>
        <v>0</v>
      </c>
      <c r="C71" s="333" t="s">
        <v>1266</v>
      </c>
      <c r="D71" s="334"/>
      <c r="E71" s="334"/>
      <c r="F71" s="334"/>
      <c r="G71" s="334"/>
      <c r="H71" s="334"/>
      <c r="I71" s="334"/>
      <c r="J71" s="334"/>
      <c r="K71" s="334"/>
      <c r="L71" s="334"/>
      <c r="M71" s="343"/>
      <c r="N71" s="343"/>
      <c r="O71" s="344"/>
      <c r="P71" s="337" cm="1">
        <f t="array" ref="P71">SUM(SUMIFS('caseload data'!V:V,'caseload data'!B:B,{"licence","community"},'caseload data'!$C:$C,'community caseload'!B71))</f>
        <v>0</v>
      </c>
      <c r="Q71" s="345"/>
      <c r="R71" s="346"/>
    </row>
    <row r="72" spans="2:36" x14ac:dyDescent="0.15">
      <c r="B72" s="108" t="s">
        <v>1199</v>
      </c>
      <c r="C72" s="42" t="s">
        <v>1019</v>
      </c>
      <c r="D72" s="42" t="s">
        <v>1020</v>
      </c>
      <c r="E72" s="42" t="s">
        <v>1021</v>
      </c>
      <c r="F72" s="42" t="s">
        <v>1022</v>
      </c>
      <c r="G72" s="42" t="s">
        <v>1023</v>
      </c>
      <c r="H72" s="42" t="s">
        <v>1024</v>
      </c>
      <c r="I72" s="42" t="s">
        <v>1025</v>
      </c>
      <c r="J72" s="42" t="s">
        <v>1026</v>
      </c>
      <c r="K72" s="42" t="s">
        <v>1027</v>
      </c>
      <c r="L72" s="42" t="s">
        <v>1028</v>
      </c>
      <c r="M72" s="42" t="s">
        <v>1029</v>
      </c>
      <c r="N72" s="42" t="s">
        <v>1030</v>
      </c>
      <c r="O72" s="42" t="s">
        <v>1031</v>
      </c>
      <c r="P72" s="42" t="s">
        <v>1032</v>
      </c>
      <c r="Q72" s="42" t="s">
        <v>1033</v>
      </c>
      <c r="R72" s="42" t="s">
        <v>1034</v>
      </c>
    </row>
    <row r="73" spans="2:36" x14ac:dyDescent="0.15">
      <c r="B73" s="109" t="s">
        <v>1037</v>
      </c>
      <c r="C73" s="107">
        <f>SUM(SUMIFS('caseload data'!E:E,'caseload data'!$D:$D,"PO",'caseload data'!$C:$C,'community caseload'!$B$71,'caseload data'!$B:$B,{"licence","community"}))</f>
        <v>0</v>
      </c>
      <c r="D73" s="107">
        <f>SUM(SUMIFS('caseload data'!F:F,'caseload data'!$D:$D,"PO",'caseload data'!$C:$C,'community caseload'!$B$71,'caseload data'!$B:$B,{"licence","community"}))</f>
        <v>0</v>
      </c>
      <c r="E73" s="107">
        <f>SUM(SUMIFS('caseload data'!G:G,'caseload data'!$D:$D,"PO",'caseload data'!$C:$C,'community caseload'!$B$71,'caseload data'!$B:$B,{"licence","community"}))</f>
        <v>0</v>
      </c>
      <c r="F73" s="107">
        <f>SUM(SUMIFS('caseload data'!H:H,'caseload data'!$D:$D,"PO",'caseload data'!$C:$C,'community caseload'!$B$71,'caseload data'!$B:$B,{"licence","community"}))</f>
        <v>0</v>
      </c>
      <c r="G73" s="107">
        <f>SUM(SUMIFS('caseload data'!I:I,'caseload data'!$D:$D,"PO",'caseload data'!$C:$C,'community caseload'!$B$71,'caseload data'!$B:$B,{"licence","community"}))</f>
        <v>0</v>
      </c>
      <c r="H73" s="107">
        <f>SUM(SUMIFS('caseload data'!J:J,'caseload data'!$D:$D,"PO",'caseload data'!$C:$C,'community caseload'!$B$71,'caseload data'!$B:$B,{"licence","community"}))</f>
        <v>0</v>
      </c>
      <c r="I73" s="107">
        <f>SUM(SUMIFS('caseload data'!K:K,'caseload data'!$D:$D,"PO",'caseload data'!$C:$C,'community caseload'!$B$71,'caseload data'!$B:$B,{"licence","community"}))</f>
        <v>0</v>
      </c>
      <c r="J73" s="107">
        <f>SUM(SUMIFS('caseload data'!L:L,'caseload data'!$D:$D,"PO",'caseload data'!$C:$C,'community caseload'!$B$71,'caseload data'!$B:$B,{"licence","community"}))</f>
        <v>0</v>
      </c>
      <c r="K73" s="107">
        <f>SUM(SUMIFS('caseload data'!M:M,'caseload data'!$D:$D,"PO",'caseload data'!$C:$C,'community caseload'!$B$71,'caseload data'!$B:$B,{"licence","community"}))</f>
        <v>0</v>
      </c>
      <c r="L73" s="107">
        <f>SUM(SUMIFS('caseload data'!N:N,'caseload data'!$D:$D,"PO",'caseload data'!$C:$C,'community caseload'!$B$71,'caseload data'!$B:$B,{"licence","community"}))</f>
        <v>0</v>
      </c>
      <c r="M73" s="107">
        <f>SUM(SUMIFS('caseload data'!O:O,'caseload data'!$D:$D,"PO",'caseload data'!$C:$C,'community caseload'!$B$71,'caseload data'!$B:$B,{"licence","community"}))</f>
        <v>0</v>
      </c>
      <c r="N73" s="107">
        <f>SUM(SUMIFS('caseload data'!P:P,'caseload data'!$D:$D,"PO",'caseload data'!$C:$C,'community caseload'!$B$71,'caseload data'!$B:$B,{"licence","community"}))</f>
        <v>0</v>
      </c>
      <c r="O73" s="107">
        <f>SUM(SUMIFS('caseload data'!Q:Q,'caseload data'!$D:$D,"PO",'caseload data'!$C:$C,'community caseload'!$B$71,'caseload data'!$B:$B,{"licence","community"}))</f>
        <v>0</v>
      </c>
      <c r="P73" s="107">
        <f>SUM(SUMIFS('caseload data'!R:R,'caseload data'!$D:$D,"PO",'caseload data'!$C:$C,'community caseload'!$B$71,'caseload data'!$B:$B,{"licence","community"}))</f>
        <v>0</v>
      </c>
      <c r="Q73" s="107">
        <f>SUM(SUMIFS('caseload data'!S:S,'caseload data'!$D:$D,"PO",'caseload data'!$C:$C,'community caseload'!$B$71,'caseload data'!$B:$B,{"licence","community"}))</f>
        <v>0</v>
      </c>
      <c r="R73" s="107">
        <f>SUM(SUMIFS('caseload data'!T:T,'caseload data'!$D:$D,"PO",'caseload data'!$C:$C,'community caseload'!$B$71,'caseload data'!$B:$B,{"licence","community"}))</f>
        <v>0</v>
      </c>
    </row>
    <row r="74" spans="2:36" x14ac:dyDescent="0.15">
      <c r="B74" s="110" t="s">
        <v>1038</v>
      </c>
      <c r="C74" s="107">
        <f>SUM(SUMIFS('caseload data'!E:E,'caseload data'!$D:$D,"PSO",'caseload data'!$C:$C,'community caseload'!$B$71,'caseload data'!$B:$B,{"licence","community"}))</f>
        <v>0</v>
      </c>
      <c r="D74" s="107">
        <f>SUM(SUMIFS('caseload data'!F:F,'caseload data'!$D:$D,"PSO",'caseload data'!$C:$C,'community caseload'!$B$71,'caseload data'!$B:$B,{"licence","community"}))</f>
        <v>0</v>
      </c>
      <c r="E74" s="107">
        <f>SUM(SUMIFS('caseload data'!G:G,'caseload data'!$D:$D,"PSO",'caseload data'!$C:$C,'community caseload'!$B$71,'caseload data'!$B:$B,{"licence","community"}))</f>
        <v>0</v>
      </c>
      <c r="F74" s="107">
        <f>SUM(SUMIFS('caseload data'!H:H,'caseload data'!$D:$D,"PSO",'caseload data'!$C:$C,'community caseload'!$B$71,'caseload data'!$B:$B,{"licence","community"}))</f>
        <v>0</v>
      </c>
      <c r="G74" s="107">
        <f>SUM(SUMIFS('caseload data'!I:I,'caseload data'!$D:$D,"PSO",'caseload data'!$C:$C,'community caseload'!$B$71,'caseload data'!$B:$B,{"licence","community"}))</f>
        <v>0</v>
      </c>
      <c r="H74" s="107">
        <f>SUM(SUMIFS('caseload data'!J:J,'caseload data'!$D:$D,"PSO",'caseload data'!$C:$C,'community caseload'!$B$71,'caseload data'!$B:$B,{"licence","community"}))</f>
        <v>0</v>
      </c>
      <c r="I74" s="107">
        <f>SUM(SUMIFS('caseload data'!K:K,'caseload data'!$D:$D,"PSO",'caseload data'!$C:$C,'community caseload'!$B$71,'caseload data'!$B:$B,{"licence","community"}))</f>
        <v>0</v>
      </c>
      <c r="J74" s="107">
        <f>SUM(SUMIFS('caseload data'!L:L,'caseload data'!$D:$D,"PSO",'caseload data'!$C:$C,'community caseload'!$B$71,'caseload data'!$B:$B,{"licence","community"}))</f>
        <v>0</v>
      </c>
      <c r="K74" s="107">
        <f>SUM(SUMIFS('caseload data'!M:M,'caseload data'!$D:$D,"PSO",'caseload data'!$C:$C,'community caseload'!$B$71,'caseload data'!$B:$B,{"licence","community"}))</f>
        <v>0</v>
      </c>
      <c r="L74" s="107">
        <f>SUM(SUMIFS('caseload data'!N:N,'caseload data'!$D:$D,"PSO",'caseload data'!$C:$C,'community caseload'!$B$71,'caseload data'!$B:$B,{"licence","community"}))</f>
        <v>0</v>
      </c>
      <c r="M74" s="107">
        <f>SUM(SUMIFS('caseload data'!O:O,'caseload data'!$D:$D,"PSO",'caseload data'!$C:$C,'community caseload'!$B$71,'caseload data'!$B:$B,{"licence","community"}))</f>
        <v>0</v>
      </c>
      <c r="N74" s="107">
        <f>SUM(SUMIFS('caseload data'!P:P,'caseload data'!$D:$D,"PSO",'caseload data'!$C:$C,'community caseload'!$B$71,'caseload data'!$B:$B,{"licence","community"}))</f>
        <v>0</v>
      </c>
      <c r="O74" s="107">
        <f>SUM(SUMIFS('caseload data'!Q:Q,'caseload data'!$D:$D,"PSO",'caseload data'!$C:$C,'community caseload'!$B$71,'caseload data'!$B:$B,{"licence","community"}))</f>
        <v>0</v>
      </c>
      <c r="P74" s="107">
        <f>SUM(SUMIFS('caseload data'!R:R,'caseload data'!$D:$D,"PSO",'caseload data'!$C:$C,'community caseload'!$B$71,'caseload data'!$B:$B,{"licence","community"}))</f>
        <v>0</v>
      </c>
      <c r="Q74" s="107">
        <f>SUM(SUMIFS('caseload data'!S:S,'caseload data'!$D:$D,"PSO",'caseload data'!$C:$C,'community caseload'!$B$71,'caseload data'!$B:$B,{"licence","community"}))</f>
        <v>0</v>
      </c>
      <c r="R74" s="107">
        <f>SUM(SUMIFS('caseload data'!T:T,'caseload data'!$D:$D,"PSO",'caseload data'!$C:$C,'community caseload'!$B$71,'caseload data'!$B:$B,{"licence","community"}))</f>
        <v>0</v>
      </c>
    </row>
    <row r="75" spans="2:36" x14ac:dyDescent="0.15">
      <c r="B75" s="110" t="s">
        <v>1039</v>
      </c>
      <c r="C75" s="107">
        <f>SUM(SUMIFS('caseload data'!E:E,'caseload data'!$D:$D,"TPO",'caseload data'!$C:$C,'community caseload'!$B$71,'caseload data'!$B:$B,{"licence","community"}))</f>
        <v>0</v>
      </c>
      <c r="D75" s="107">
        <f>SUM(SUMIFS('caseload data'!F:F,'caseload data'!$D:$D,"TPO",'caseload data'!$C:$C,'community caseload'!$B$71,'caseload data'!$B:$B,{"licence","community"}))</f>
        <v>0</v>
      </c>
      <c r="E75" s="107">
        <f>SUM(SUMIFS('caseload data'!G:G,'caseload data'!$D:$D,"TPO",'caseload data'!$C:$C,'community caseload'!$B$71,'caseload data'!$B:$B,{"licence","community"}))</f>
        <v>0</v>
      </c>
      <c r="F75" s="107">
        <f>SUM(SUMIFS('caseload data'!H:H,'caseload data'!$D:$D,"TPO",'caseload data'!$C:$C,'community caseload'!$B$71,'caseload data'!$B:$B,{"licence","community"}))</f>
        <v>0</v>
      </c>
      <c r="G75" s="107">
        <f>SUM(SUMIFS('caseload data'!I:I,'caseload data'!$D:$D,"TPO",'caseload data'!$C:$C,'community caseload'!$B$71,'caseload data'!$B:$B,{"licence","community"}))</f>
        <v>0</v>
      </c>
      <c r="H75" s="107">
        <f>SUM(SUMIFS('caseload data'!J:J,'caseload data'!$D:$D,"TPO",'caseload data'!$C:$C,'community caseload'!$B$71,'caseload data'!$B:$B,{"licence","community"}))</f>
        <v>0</v>
      </c>
      <c r="I75" s="107">
        <f>SUM(SUMIFS('caseload data'!K:K,'caseload data'!$D:$D,"TPO",'caseload data'!$C:$C,'community caseload'!$B$71,'caseload data'!$B:$B,{"licence","community"}))</f>
        <v>0</v>
      </c>
      <c r="J75" s="107">
        <f>SUM(SUMIFS('caseload data'!L:L,'caseload data'!$D:$D,"TPO",'caseload data'!$C:$C,'community caseload'!$B$71,'caseload data'!$B:$B,{"licence","community"}))</f>
        <v>0</v>
      </c>
      <c r="K75" s="107">
        <f>SUM(SUMIFS('caseload data'!M:M,'caseload data'!$D:$D,"TPO",'caseload data'!$C:$C,'community caseload'!$B$71,'caseload data'!$B:$B,{"licence","community"}))</f>
        <v>0</v>
      </c>
      <c r="L75" s="107">
        <f>SUM(SUMIFS('caseload data'!N:N,'caseload data'!$D:$D,"TPO",'caseload data'!$C:$C,'community caseload'!$B$71,'caseload data'!$B:$B,{"licence","community"}))</f>
        <v>0</v>
      </c>
      <c r="M75" s="107">
        <f>SUM(SUMIFS('caseload data'!O:O,'caseload data'!$D:$D,"TPO",'caseload data'!$C:$C,'community caseload'!$B$71,'caseload data'!$B:$B,{"licence","community"}))</f>
        <v>0</v>
      </c>
      <c r="N75" s="107">
        <f>SUM(SUMIFS('caseload data'!P:P,'caseload data'!$D:$D,"TPO",'caseload data'!$C:$C,'community caseload'!$B$71,'caseload data'!$B:$B,{"licence","community"}))</f>
        <v>0</v>
      </c>
      <c r="O75" s="107">
        <f>SUM(SUMIFS('caseload data'!Q:Q,'caseload data'!$D:$D,"TPO",'caseload data'!$C:$C,'community caseload'!$B$71,'caseload data'!$B:$B,{"licence","community"}))</f>
        <v>0</v>
      </c>
      <c r="P75" s="107">
        <f>SUM(SUMIFS('caseload data'!R:R,'caseload data'!$D:$D,"TPO",'caseload data'!$C:$C,'community caseload'!$B$71,'caseload data'!$B:$B,{"licence","community"}))</f>
        <v>0</v>
      </c>
      <c r="Q75" s="107">
        <f>SUM(SUMIFS('caseload data'!S:S,'caseload data'!$D:$D,"TPO",'caseload data'!$C:$C,'community caseload'!$B$71,'caseload data'!$B:$B,{"licence","community"}))</f>
        <v>0</v>
      </c>
      <c r="R75" s="107">
        <f>SUM(SUMIFS('caseload data'!T:T,'caseload data'!$D:$D,"TPO",'caseload data'!$C:$C,'community caseload'!$B$71,'caseload data'!$B:$B,{"licence","community"}))</f>
        <v>0</v>
      </c>
    </row>
    <row r="76" spans="2:36" x14ac:dyDescent="0.15">
      <c r="B76" s="111" t="s">
        <v>1040</v>
      </c>
      <c r="C76" s="107">
        <f>SUM(SUMIFS('caseload data'!E:E,'caseload data'!$D:$D,"SPO",'caseload data'!$C:$C,'community caseload'!$B$71,'caseload data'!$B:$B,{"licence","community"}))</f>
        <v>0</v>
      </c>
      <c r="D76" s="107">
        <f>SUM(SUMIFS('caseload data'!F:F,'caseload data'!$D:$D,"SPO",'caseload data'!$C:$C,'community caseload'!$B$71,'caseload data'!$B:$B,{"licence","community"}))</f>
        <v>0</v>
      </c>
      <c r="E76" s="107">
        <f>SUM(SUMIFS('caseload data'!G:G,'caseload data'!$D:$D,"SPO",'caseload data'!$C:$C,'community caseload'!$B$71,'caseload data'!$B:$B,{"licence","community"}))</f>
        <v>0</v>
      </c>
      <c r="F76" s="107">
        <f>SUM(SUMIFS('caseload data'!H:H,'caseload data'!$D:$D,"SPO",'caseload data'!$C:$C,'community caseload'!$B$71,'caseload data'!$B:$B,{"licence","community"}))</f>
        <v>0</v>
      </c>
      <c r="G76" s="107">
        <f>SUM(SUMIFS('caseload data'!I:I,'caseload data'!$D:$D,"SPO",'caseload data'!$C:$C,'community caseload'!$B$71,'caseload data'!$B:$B,{"licence","community"}))</f>
        <v>0</v>
      </c>
      <c r="H76" s="107">
        <f>SUM(SUMIFS('caseload data'!J:J,'caseload data'!$D:$D,"SPO",'caseload data'!$C:$C,'community caseload'!$B$71,'caseload data'!$B:$B,{"licence","community"}))</f>
        <v>0</v>
      </c>
      <c r="I76" s="107">
        <f>SUM(SUMIFS('caseload data'!K:K,'caseload data'!$D:$D,"SPO",'caseload data'!$C:$C,'community caseload'!$B$71,'caseload data'!$B:$B,{"licence","community"}))</f>
        <v>0</v>
      </c>
      <c r="J76" s="107">
        <f>SUM(SUMIFS('caseload data'!L:L,'caseload data'!$D:$D,"SPO",'caseload data'!$C:$C,'community caseload'!$B$71,'caseload data'!$B:$B,{"licence","community"}))</f>
        <v>0</v>
      </c>
      <c r="K76" s="107">
        <f>SUM(SUMIFS('caseload data'!M:M,'caseload data'!$D:$D,"SPO",'caseload data'!$C:$C,'community caseload'!$B$71,'caseload data'!$B:$B,{"licence","community"}))</f>
        <v>0</v>
      </c>
      <c r="L76" s="107">
        <f>SUM(SUMIFS('caseload data'!N:N,'caseload data'!$D:$D,"SPO",'caseload data'!$C:$C,'community caseload'!$B$71,'caseload data'!$B:$B,{"licence","community"}))</f>
        <v>0</v>
      </c>
      <c r="M76" s="107">
        <f>SUM(SUMIFS('caseload data'!O:O,'caseload data'!$D:$D,"SPO",'caseload data'!$C:$C,'community caseload'!$B$71,'caseload data'!$B:$B,{"licence","community"}))</f>
        <v>0</v>
      </c>
      <c r="N76" s="107">
        <f>SUM(SUMIFS('caseload data'!P:P,'caseload data'!$D:$D,"SPO",'caseload data'!$C:$C,'community caseload'!$B$71,'caseload data'!$B:$B,{"licence","community"}))</f>
        <v>0</v>
      </c>
      <c r="O76" s="107">
        <f>SUM(SUMIFS('caseload data'!Q:Q,'caseload data'!$D:$D,"SPO",'caseload data'!$C:$C,'community caseload'!$B$71,'caseload data'!$B:$B,{"licence","community"}))</f>
        <v>0</v>
      </c>
      <c r="P76" s="107">
        <f>SUM(SUMIFS('caseload data'!R:R,'caseload data'!$D:$D,"SPO",'caseload data'!$C:$C,'community caseload'!$B$71,'caseload data'!$B:$B,{"licence","community"}))</f>
        <v>0</v>
      </c>
      <c r="Q76" s="107">
        <f>SUM(SUMIFS('caseload data'!S:S,'caseload data'!$D:$D,"SPO",'caseload data'!$C:$C,'community caseload'!$B$71,'caseload data'!$B:$B,{"licence","community"}))</f>
        <v>0</v>
      </c>
      <c r="R76" s="107">
        <f>SUM(SUMIFS('caseload data'!T:T,'caseload data'!$D:$D,"SPO",'caseload data'!$C:$C,'community caseload'!$B$71,'caseload data'!$B:$B,{"licence","community"}))</f>
        <v>0</v>
      </c>
    </row>
  </sheetData>
  <mergeCells count="40">
    <mergeCell ref="C71:O71"/>
    <mergeCell ref="P71:R71"/>
    <mergeCell ref="C64:O64"/>
    <mergeCell ref="P64:R64"/>
    <mergeCell ref="U64:AG64"/>
    <mergeCell ref="AH64:AJ64"/>
    <mergeCell ref="B1:AX1"/>
    <mergeCell ref="B2:AX2"/>
    <mergeCell ref="C8:O8"/>
    <mergeCell ref="P8:R8"/>
    <mergeCell ref="U8:AG8"/>
    <mergeCell ref="AH8:AJ8"/>
    <mergeCell ref="C15:O15"/>
    <mergeCell ref="P15:R15"/>
    <mergeCell ref="U15:AG15"/>
    <mergeCell ref="AH15:AJ15"/>
    <mergeCell ref="C22:O22"/>
    <mergeCell ref="P22:R22"/>
    <mergeCell ref="U22:AG22"/>
    <mergeCell ref="AH22:AJ22"/>
    <mergeCell ref="C29:O29"/>
    <mergeCell ref="P29:R29"/>
    <mergeCell ref="U29:AG29"/>
    <mergeCell ref="AH29:AJ29"/>
    <mergeCell ref="C36:O36"/>
    <mergeCell ref="P36:R36"/>
    <mergeCell ref="U36:AG36"/>
    <mergeCell ref="AH36:AJ36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</mergeCells>
  <conditionalFormatting sqref="C11:C12">
    <cfRule type="cellIs" dxfId="917" priority="455" operator="equal">
      <formula>0</formula>
    </cfRule>
    <cfRule type="cellIs" dxfId="916" priority="456" operator="notEqual">
      <formula>0</formula>
    </cfRule>
  </conditionalFormatting>
  <conditionalFormatting sqref="D11:D12">
    <cfRule type="cellIs" dxfId="915" priority="453" operator="equal">
      <formula>0</formula>
    </cfRule>
    <cfRule type="cellIs" dxfId="914" priority="454" operator="notEqual">
      <formula>0</formula>
    </cfRule>
  </conditionalFormatting>
  <conditionalFormatting sqref="E11:E12">
    <cfRule type="cellIs" dxfId="913" priority="451" operator="equal">
      <formula>0</formula>
    </cfRule>
    <cfRule type="cellIs" dxfId="912" priority="452" operator="notEqual">
      <formula>0</formula>
    </cfRule>
  </conditionalFormatting>
  <conditionalFormatting sqref="F11:F12">
    <cfRule type="cellIs" dxfId="911" priority="449" operator="equal">
      <formula>0</formula>
    </cfRule>
    <cfRule type="cellIs" dxfId="910" priority="450" operator="notEqual">
      <formula>0</formula>
    </cfRule>
  </conditionalFormatting>
  <conditionalFormatting sqref="G11:G12">
    <cfRule type="cellIs" dxfId="909" priority="447" operator="equal">
      <formula>0</formula>
    </cfRule>
    <cfRule type="cellIs" dxfId="908" priority="448" operator="notEqual">
      <formula>0</formula>
    </cfRule>
  </conditionalFormatting>
  <conditionalFormatting sqref="H11:H12">
    <cfRule type="cellIs" dxfId="907" priority="445" operator="equal">
      <formula>0</formula>
    </cfRule>
    <cfRule type="cellIs" dxfId="906" priority="446" operator="notEqual">
      <formula>0</formula>
    </cfRule>
  </conditionalFormatting>
  <conditionalFormatting sqref="I11:I12">
    <cfRule type="cellIs" dxfId="905" priority="443" operator="equal">
      <formula>0</formula>
    </cfRule>
    <cfRule type="cellIs" dxfId="904" priority="444" operator="notEqual">
      <formula>0</formula>
    </cfRule>
  </conditionalFormatting>
  <conditionalFormatting sqref="J11:J12">
    <cfRule type="cellIs" dxfId="903" priority="441" operator="equal">
      <formula>0</formula>
    </cfRule>
    <cfRule type="cellIs" dxfId="902" priority="442" operator="notEqual">
      <formula>0</formula>
    </cfRule>
  </conditionalFormatting>
  <conditionalFormatting sqref="O10">
    <cfRule type="cellIs" dxfId="901" priority="439" operator="equal">
      <formula>0</formula>
    </cfRule>
    <cfRule type="cellIs" dxfId="900" priority="440" operator="notEqual">
      <formula>0</formula>
    </cfRule>
  </conditionalFormatting>
  <conditionalFormatting sqref="P10">
    <cfRule type="cellIs" dxfId="899" priority="437" operator="equal">
      <formula>0</formula>
    </cfRule>
    <cfRule type="cellIs" dxfId="898" priority="438" operator="notEqual">
      <formula>0</formula>
    </cfRule>
  </conditionalFormatting>
  <conditionalFormatting sqref="Q10">
    <cfRule type="cellIs" dxfId="897" priority="435" operator="equal">
      <formula>0</formula>
    </cfRule>
    <cfRule type="cellIs" dxfId="896" priority="436" operator="notEqual">
      <formula>0</formula>
    </cfRule>
  </conditionalFormatting>
  <conditionalFormatting sqref="R10">
    <cfRule type="cellIs" dxfId="895" priority="433" operator="equal">
      <formula>0</formula>
    </cfRule>
    <cfRule type="cellIs" dxfId="894" priority="434" operator="notEqual">
      <formula>0</formula>
    </cfRule>
  </conditionalFormatting>
  <conditionalFormatting sqref="C18:C19">
    <cfRule type="cellIs" dxfId="893" priority="431" operator="equal">
      <formula>0</formula>
    </cfRule>
    <cfRule type="cellIs" dxfId="892" priority="432" operator="notEqual">
      <formula>0</formula>
    </cfRule>
  </conditionalFormatting>
  <conditionalFormatting sqref="D18:D19">
    <cfRule type="cellIs" dxfId="891" priority="429" operator="equal">
      <formula>0</formula>
    </cfRule>
    <cfRule type="cellIs" dxfId="890" priority="430" operator="notEqual">
      <formula>0</formula>
    </cfRule>
  </conditionalFormatting>
  <conditionalFormatting sqref="E18:E19">
    <cfRule type="cellIs" dxfId="889" priority="427" operator="equal">
      <formula>0</formula>
    </cfRule>
    <cfRule type="cellIs" dxfId="888" priority="428" operator="notEqual">
      <formula>0</formula>
    </cfRule>
  </conditionalFormatting>
  <conditionalFormatting sqref="F18:F19">
    <cfRule type="cellIs" dxfId="887" priority="425" operator="equal">
      <formula>0</formula>
    </cfRule>
    <cfRule type="cellIs" dxfId="886" priority="426" operator="notEqual">
      <formula>0</formula>
    </cfRule>
  </conditionalFormatting>
  <conditionalFormatting sqref="G18:G19">
    <cfRule type="cellIs" dxfId="885" priority="423" operator="equal">
      <formula>0</formula>
    </cfRule>
    <cfRule type="cellIs" dxfId="884" priority="424" operator="notEqual">
      <formula>0</formula>
    </cfRule>
  </conditionalFormatting>
  <conditionalFormatting sqref="H18:H19">
    <cfRule type="cellIs" dxfId="883" priority="421" operator="equal">
      <formula>0</formula>
    </cfRule>
    <cfRule type="cellIs" dxfId="882" priority="422" operator="notEqual">
      <formula>0</formula>
    </cfRule>
  </conditionalFormatting>
  <conditionalFormatting sqref="I18:I19">
    <cfRule type="cellIs" dxfId="881" priority="419" operator="equal">
      <formula>0</formula>
    </cfRule>
    <cfRule type="cellIs" dxfId="880" priority="420" operator="notEqual">
      <formula>0</formula>
    </cfRule>
  </conditionalFormatting>
  <conditionalFormatting sqref="J18:J19">
    <cfRule type="cellIs" dxfId="879" priority="417" operator="equal">
      <formula>0</formula>
    </cfRule>
    <cfRule type="cellIs" dxfId="878" priority="418" operator="notEqual">
      <formula>0</formula>
    </cfRule>
  </conditionalFormatting>
  <conditionalFormatting sqref="O17">
    <cfRule type="cellIs" dxfId="877" priority="415" operator="equal">
      <formula>0</formula>
    </cfRule>
    <cfRule type="cellIs" dxfId="876" priority="416" operator="notEqual">
      <formula>0</formula>
    </cfRule>
  </conditionalFormatting>
  <conditionalFormatting sqref="P17">
    <cfRule type="cellIs" dxfId="875" priority="413" operator="equal">
      <formula>0</formula>
    </cfRule>
    <cfRule type="cellIs" dxfId="874" priority="414" operator="notEqual">
      <formula>0</formula>
    </cfRule>
  </conditionalFormatting>
  <conditionalFormatting sqref="Q17">
    <cfRule type="cellIs" dxfId="873" priority="411" operator="equal">
      <formula>0</formula>
    </cfRule>
    <cfRule type="cellIs" dxfId="872" priority="412" operator="notEqual">
      <formula>0</formula>
    </cfRule>
  </conditionalFormatting>
  <conditionalFormatting sqref="R17">
    <cfRule type="cellIs" dxfId="871" priority="409" operator="equal">
      <formula>0</formula>
    </cfRule>
    <cfRule type="cellIs" dxfId="870" priority="410" operator="notEqual">
      <formula>0</formula>
    </cfRule>
  </conditionalFormatting>
  <conditionalFormatting sqref="C25:C26">
    <cfRule type="cellIs" dxfId="869" priority="407" operator="equal">
      <formula>0</formula>
    </cfRule>
    <cfRule type="cellIs" dxfId="868" priority="408" operator="notEqual">
      <formula>0</formula>
    </cfRule>
  </conditionalFormatting>
  <conditionalFormatting sqref="D25:D26">
    <cfRule type="cellIs" dxfId="867" priority="405" operator="equal">
      <formula>0</formula>
    </cfRule>
    <cfRule type="cellIs" dxfId="866" priority="406" operator="notEqual">
      <formula>0</formula>
    </cfRule>
  </conditionalFormatting>
  <conditionalFormatting sqref="E25:E26">
    <cfRule type="cellIs" dxfId="865" priority="403" operator="equal">
      <formula>0</formula>
    </cfRule>
    <cfRule type="cellIs" dxfId="864" priority="404" operator="notEqual">
      <formula>0</formula>
    </cfRule>
  </conditionalFormatting>
  <conditionalFormatting sqref="F25:F26">
    <cfRule type="cellIs" dxfId="863" priority="401" operator="equal">
      <formula>0</formula>
    </cfRule>
    <cfRule type="cellIs" dxfId="862" priority="402" operator="notEqual">
      <formula>0</formula>
    </cfRule>
  </conditionalFormatting>
  <conditionalFormatting sqref="G25:G26">
    <cfRule type="cellIs" dxfId="861" priority="399" operator="equal">
      <formula>0</formula>
    </cfRule>
    <cfRule type="cellIs" dxfId="860" priority="400" operator="notEqual">
      <formula>0</formula>
    </cfRule>
  </conditionalFormatting>
  <conditionalFormatting sqref="H25:H26">
    <cfRule type="cellIs" dxfId="859" priority="397" operator="equal">
      <formula>0</formula>
    </cfRule>
    <cfRule type="cellIs" dxfId="858" priority="398" operator="notEqual">
      <formula>0</formula>
    </cfRule>
  </conditionalFormatting>
  <conditionalFormatting sqref="I25:I26">
    <cfRule type="cellIs" dxfId="857" priority="395" operator="equal">
      <formula>0</formula>
    </cfRule>
    <cfRule type="cellIs" dxfId="856" priority="396" operator="notEqual">
      <formula>0</formula>
    </cfRule>
  </conditionalFormatting>
  <conditionalFormatting sqref="J25:J26">
    <cfRule type="cellIs" dxfId="855" priority="393" operator="equal">
      <formula>0</formula>
    </cfRule>
    <cfRule type="cellIs" dxfId="854" priority="394" operator="notEqual">
      <formula>0</formula>
    </cfRule>
  </conditionalFormatting>
  <conditionalFormatting sqref="O24">
    <cfRule type="cellIs" dxfId="853" priority="391" operator="equal">
      <formula>0</formula>
    </cfRule>
    <cfRule type="cellIs" dxfId="852" priority="392" operator="notEqual">
      <formula>0</formula>
    </cfRule>
  </conditionalFormatting>
  <conditionalFormatting sqref="P24">
    <cfRule type="cellIs" dxfId="851" priority="389" operator="equal">
      <formula>0</formula>
    </cfRule>
    <cfRule type="cellIs" dxfId="850" priority="390" operator="notEqual">
      <formula>0</formula>
    </cfRule>
  </conditionalFormatting>
  <conditionalFormatting sqref="Q24">
    <cfRule type="cellIs" dxfId="849" priority="387" operator="equal">
      <formula>0</formula>
    </cfRule>
    <cfRule type="cellIs" dxfId="848" priority="388" operator="notEqual">
      <formula>0</formula>
    </cfRule>
  </conditionalFormatting>
  <conditionalFormatting sqref="R24">
    <cfRule type="cellIs" dxfId="847" priority="385" operator="equal">
      <formula>0</formula>
    </cfRule>
    <cfRule type="cellIs" dxfId="846" priority="386" operator="notEqual">
      <formula>0</formula>
    </cfRule>
  </conditionalFormatting>
  <conditionalFormatting sqref="C32:C33">
    <cfRule type="cellIs" dxfId="845" priority="383" operator="equal">
      <formula>0</formula>
    </cfRule>
    <cfRule type="cellIs" dxfId="844" priority="384" operator="notEqual">
      <formula>0</formula>
    </cfRule>
  </conditionalFormatting>
  <conditionalFormatting sqref="D32:D33">
    <cfRule type="cellIs" dxfId="843" priority="381" operator="equal">
      <formula>0</formula>
    </cfRule>
    <cfRule type="cellIs" dxfId="842" priority="382" operator="notEqual">
      <formula>0</formula>
    </cfRule>
  </conditionalFormatting>
  <conditionalFormatting sqref="E32:E33">
    <cfRule type="cellIs" dxfId="841" priority="379" operator="equal">
      <formula>0</formula>
    </cfRule>
    <cfRule type="cellIs" dxfId="840" priority="380" operator="notEqual">
      <formula>0</formula>
    </cfRule>
  </conditionalFormatting>
  <conditionalFormatting sqref="F32:F33">
    <cfRule type="cellIs" dxfId="839" priority="377" operator="equal">
      <formula>0</formula>
    </cfRule>
    <cfRule type="cellIs" dxfId="838" priority="378" operator="notEqual">
      <formula>0</formula>
    </cfRule>
  </conditionalFormatting>
  <conditionalFormatting sqref="G32:G33">
    <cfRule type="cellIs" dxfId="837" priority="375" operator="equal">
      <formula>0</formula>
    </cfRule>
    <cfRule type="cellIs" dxfId="836" priority="376" operator="notEqual">
      <formula>0</formula>
    </cfRule>
  </conditionalFormatting>
  <conditionalFormatting sqref="H32:H33">
    <cfRule type="cellIs" dxfId="835" priority="373" operator="equal">
      <formula>0</formula>
    </cfRule>
    <cfRule type="cellIs" dxfId="834" priority="374" operator="notEqual">
      <formula>0</formula>
    </cfRule>
  </conditionalFormatting>
  <conditionalFormatting sqref="I32:I33">
    <cfRule type="cellIs" dxfId="833" priority="371" operator="equal">
      <formula>0</formula>
    </cfRule>
    <cfRule type="cellIs" dxfId="832" priority="372" operator="notEqual">
      <formula>0</formula>
    </cfRule>
  </conditionalFormatting>
  <conditionalFormatting sqref="J32:J33">
    <cfRule type="cellIs" dxfId="831" priority="369" operator="equal">
      <formula>0</formula>
    </cfRule>
    <cfRule type="cellIs" dxfId="830" priority="370" operator="notEqual">
      <formula>0</formula>
    </cfRule>
  </conditionalFormatting>
  <conditionalFormatting sqref="O31">
    <cfRule type="cellIs" dxfId="829" priority="367" operator="equal">
      <formula>0</formula>
    </cfRule>
    <cfRule type="cellIs" dxfId="828" priority="368" operator="notEqual">
      <formula>0</formula>
    </cfRule>
  </conditionalFormatting>
  <conditionalFormatting sqref="P31">
    <cfRule type="cellIs" dxfId="827" priority="365" operator="equal">
      <formula>0</formula>
    </cfRule>
    <cfRule type="cellIs" dxfId="826" priority="366" operator="notEqual">
      <formula>0</formula>
    </cfRule>
  </conditionalFormatting>
  <conditionalFormatting sqref="Q31">
    <cfRule type="cellIs" dxfId="825" priority="363" operator="equal">
      <formula>0</formula>
    </cfRule>
    <cfRule type="cellIs" dxfId="824" priority="364" operator="notEqual">
      <formula>0</formula>
    </cfRule>
  </conditionalFormatting>
  <conditionalFormatting sqref="R31">
    <cfRule type="cellIs" dxfId="823" priority="361" operator="equal">
      <formula>0</formula>
    </cfRule>
    <cfRule type="cellIs" dxfId="822" priority="362" operator="notEqual">
      <formula>0</formula>
    </cfRule>
  </conditionalFormatting>
  <conditionalFormatting sqref="C39:C40">
    <cfRule type="cellIs" dxfId="821" priority="359" operator="equal">
      <formula>0</formula>
    </cfRule>
    <cfRule type="cellIs" dxfId="820" priority="360" operator="notEqual">
      <formula>0</formula>
    </cfRule>
  </conditionalFormatting>
  <conditionalFormatting sqref="D39:D40">
    <cfRule type="cellIs" dxfId="819" priority="357" operator="equal">
      <formula>0</formula>
    </cfRule>
    <cfRule type="cellIs" dxfId="818" priority="358" operator="notEqual">
      <formula>0</formula>
    </cfRule>
  </conditionalFormatting>
  <conditionalFormatting sqref="E39:E40">
    <cfRule type="cellIs" dxfId="817" priority="355" operator="equal">
      <formula>0</formula>
    </cfRule>
    <cfRule type="cellIs" dxfId="816" priority="356" operator="notEqual">
      <formula>0</formula>
    </cfRule>
  </conditionalFormatting>
  <conditionalFormatting sqref="F39:F40">
    <cfRule type="cellIs" dxfId="815" priority="353" operator="equal">
      <formula>0</formula>
    </cfRule>
    <cfRule type="cellIs" dxfId="814" priority="354" operator="notEqual">
      <formula>0</formula>
    </cfRule>
  </conditionalFormatting>
  <conditionalFormatting sqref="G39:G40">
    <cfRule type="cellIs" dxfId="813" priority="351" operator="equal">
      <formula>0</formula>
    </cfRule>
    <cfRule type="cellIs" dxfId="812" priority="352" operator="notEqual">
      <formula>0</formula>
    </cfRule>
  </conditionalFormatting>
  <conditionalFormatting sqref="H39:H40">
    <cfRule type="cellIs" dxfId="811" priority="349" operator="equal">
      <formula>0</formula>
    </cfRule>
    <cfRule type="cellIs" dxfId="810" priority="350" operator="notEqual">
      <formula>0</formula>
    </cfRule>
  </conditionalFormatting>
  <conditionalFormatting sqref="I39:I40">
    <cfRule type="cellIs" dxfId="809" priority="347" operator="equal">
      <formula>0</formula>
    </cfRule>
    <cfRule type="cellIs" dxfId="808" priority="348" operator="notEqual">
      <formula>0</formula>
    </cfRule>
  </conditionalFormatting>
  <conditionalFormatting sqref="J39:J40">
    <cfRule type="cellIs" dxfId="807" priority="345" operator="equal">
      <formula>0</formula>
    </cfRule>
    <cfRule type="cellIs" dxfId="806" priority="346" operator="notEqual">
      <formula>0</formula>
    </cfRule>
  </conditionalFormatting>
  <conditionalFormatting sqref="O38">
    <cfRule type="cellIs" dxfId="805" priority="343" operator="equal">
      <formula>0</formula>
    </cfRule>
    <cfRule type="cellIs" dxfId="804" priority="344" operator="notEqual">
      <formula>0</formula>
    </cfRule>
  </conditionalFormatting>
  <conditionalFormatting sqref="P38">
    <cfRule type="cellIs" dxfId="803" priority="341" operator="equal">
      <formula>0</formula>
    </cfRule>
    <cfRule type="cellIs" dxfId="802" priority="342" operator="notEqual">
      <formula>0</formula>
    </cfRule>
  </conditionalFormatting>
  <conditionalFormatting sqref="Q38">
    <cfRule type="cellIs" dxfId="801" priority="339" operator="equal">
      <formula>0</formula>
    </cfRule>
    <cfRule type="cellIs" dxfId="800" priority="340" operator="notEqual">
      <formula>0</formula>
    </cfRule>
  </conditionalFormatting>
  <conditionalFormatting sqref="R38">
    <cfRule type="cellIs" dxfId="799" priority="337" operator="equal">
      <formula>0</formula>
    </cfRule>
    <cfRule type="cellIs" dxfId="798" priority="338" operator="notEqual">
      <formula>0</formula>
    </cfRule>
  </conditionalFormatting>
  <conditionalFormatting sqref="C46:C47">
    <cfRule type="cellIs" dxfId="797" priority="335" operator="equal">
      <formula>0</formula>
    </cfRule>
    <cfRule type="cellIs" dxfId="796" priority="336" operator="notEqual">
      <formula>0</formula>
    </cfRule>
  </conditionalFormatting>
  <conditionalFormatting sqref="D46:D47">
    <cfRule type="cellIs" dxfId="795" priority="333" operator="equal">
      <formula>0</formula>
    </cfRule>
    <cfRule type="cellIs" dxfId="794" priority="334" operator="notEqual">
      <formula>0</formula>
    </cfRule>
  </conditionalFormatting>
  <conditionalFormatting sqref="E46:E47">
    <cfRule type="cellIs" dxfId="793" priority="331" operator="equal">
      <formula>0</formula>
    </cfRule>
    <cfRule type="cellIs" dxfId="792" priority="332" operator="notEqual">
      <formula>0</formula>
    </cfRule>
  </conditionalFormatting>
  <conditionalFormatting sqref="F46:F47">
    <cfRule type="cellIs" dxfId="791" priority="329" operator="equal">
      <formula>0</formula>
    </cfRule>
    <cfRule type="cellIs" dxfId="790" priority="330" operator="notEqual">
      <formula>0</formula>
    </cfRule>
  </conditionalFormatting>
  <conditionalFormatting sqref="G46:G47">
    <cfRule type="cellIs" dxfId="789" priority="327" operator="equal">
      <formula>0</formula>
    </cfRule>
    <cfRule type="cellIs" dxfId="788" priority="328" operator="notEqual">
      <formula>0</formula>
    </cfRule>
  </conditionalFormatting>
  <conditionalFormatting sqref="H46:H47">
    <cfRule type="cellIs" dxfId="787" priority="325" operator="equal">
      <formula>0</formula>
    </cfRule>
    <cfRule type="cellIs" dxfId="786" priority="326" operator="notEqual">
      <formula>0</formula>
    </cfRule>
  </conditionalFormatting>
  <conditionalFormatting sqref="I46:I47">
    <cfRule type="cellIs" dxfId="785" priority="323" operator="equal">
      <formula>0</formula>
    </cfRule>
    <cfRule type="cellIs" dxfId="784" priority="324" operator="notEqual">
      <formula>0</formula>
    </cfRule>
  </conditionalFormatting>
  <conditionalFormatting sqref="J46:J47">
    <cfRule type="cellIs" dxfId="783" priority="321" operator="equal">
      <formula>0</formula>
    </cfRule>
    <cfRule type="cellIs" dxfId="782" priority="322" operator="notEqual">
      <formula>0</formula>
    </cfRule>
  </conditionalFormatting>
  <conditionalFormatting sqref="O45">
    <cfRule type="cellIs" dxfId="781" priority="319" operator="equal">
      <formula>0</formula>
    </cfRule>
    <cfRule type="cellIs" dxfId="780" priority="320" operator="notEqual">
      <formula>0</formula>
    </cfRule>
  </conditionalFormatting>
  <conditionalFormatting sqref="P45">
    <cfRule type="cellIs" dxfId="779" priority="317" operator="equal">
      <formula>0</formula>
    </cfRule>
    <cfRule type="cellIs" dxfId="778" priority="318" operator="notEqual">
      <formula>0</formula>
    </cfRule>
  </conditionalFormatting>
  <conditionalFormatting sqref="Q45">
    <cfRule type="cellIs" dxfId="777" priority="315" operator="equal">
      <formula>0</formula>
    </cfRule>
    <cfRule type="cellIs" dxfId="776" priority="316" operator="notEqual">
      <formula>0</formula>
    </cfRule>
  </conditionalFormatting>
  <conditionalFormatting sqref="R45">
    <cfRule type="cellIs" dxfId="775" priority="313" operator="equal">
      <formula>0</formula>
    </cfRule>
    <cfRule type="cellIs" dxfId="774" priority="314" operator="notEqual">
      <formula>0</formula>
    </cfRule>
  </conditionalFormatting>
  <conditionalFormatting sqref="C53:C54">
    <cfRule type="cellIs" dxfId="773" priority="311" operator="equal">
      <formula>0</formula>
    </cfRule>
    <cfRule type="cellIs" dxfId="772" priority="312" operator="notEqual">
      <formula>0</formula>
    </cfRule>
  </conditionalFormatting>
  <conditionalFormatting sqref="D53:D54">
    <cfRule type="cellIs" dxfId="771" priority="309" operator="equal">
      <formula>0</formula>
    </cfRule>
    <cfRule type="cellIs" dxfId="770" priority="310" operator="notEqual">
      <formula>0</formula>
    </cfRule>
  </conditionalFormatting>
  <conditionalFormatting sqref="E53:E54">
    <cfRule type="cellIs" dxfId="769" priority="307" operator="equal">
      <formula>0</formula>
    </cfRule>
    <cfRule type="cellIs" dxfId="768" priority="308" operator="notEqual">
      <formula>0</formula>
    </cfRule>
  </conditionalFormatting>
  <conditionalFormatting sqref="F53:F54">
    <cfRule type="cellIs" dxfId="767" priority="305" operator="equal">
      <formula>0</formula>
    </cfRule>
    <cfRule type="cellIs" dxfId="766" priority="306" operator="notEqual">
      <formula>0</formula>
    </cfRule>
  </conditionalFormatting>
  <conditionalFormatting sqref="G53:G54">
    <cfRule type="cellIs" dxfId="765" priority="303" operator="equal">
      <formula>0</formula>
    </cfRule>
    <cfRule type="cellIs" dxfId="764" priority="304" operator="notEqual">
      <formula>0</formula>
    </cfRule>
  </conditionalFormatting>
  <conditionalFormatting sqref="H53:H54">
    <cfRule type="cellIs" dxfId="763" priority="301" operator="equal">
      <formula>0</formula>
    </cfRule>
    <cfRule type="cellIs" dxfId="762" priority="302" operator="notEqual">
      <formula>0</formula>
    </cfRule>
  </conditionalFormatting>
  <conditionalFormatting sqref="I53:I54">
    <cfRule type="cellIs" dxfId="761" priority="299" operator="equal">
      <formula>0</formula>
    </cfRule>
    <cfRule type="cellIs" dxfId="760" priority="300" operator="notEqual">
      <formula>0</formula>
    </cfRule>
  </conditionalFormatting>
  <conditionalFormatting sqref="J53:J54">
    <cfRule type="cellIs" dxfId="759" priority="297" operator="equal">
      <formula>0</formula>
    </cfRule>
    <cfRule type="cellIs" dxfId="758" priority="298" operator="notEqual">
      <formula>0</formula>
    </cfRule>
  </conditionalFormatting>
  <conditionalFormatting sqref="O52">
    <cfRule type="cellIs" dxfId="757" priority="295" operator="equal">
      <formula>0</formula>
    </cfRule>
    <cfRule type="cellIs" dxfId="756" priority="296" operator="notEqual">
      <formula>0</formula>
    </cfRule>
  </conditionalFormatting>
  <conditionalFormatting sqref="P52">
    <cfRule type="cellIs" dxfId="755" priority="293" operator="equal">
      <formula>0</formula>
    </cfRule>
    <cfRule type="cellIs" dxfId="754" priority="294" operator="notEqual">
      <formula>0</formula>
    </cfRule>
  </conditionalFormatting>
  <conditionalFormatting sqref="Q52">
    <cfRule type="cellIs" dxfId="753" priority="291" operator="equal">
      <formula>0</formula>
    </cfRule>
    <cfRule type="cellIs" dxfId="752" priority="292" operator="notEqual">
      <formula>0</formula>
    </cfRule>
  </conditionalFormatting>
  <conditionalFormatting sqref="R52">
    <cfRule type="cellIs" dxfId="751" priority="289" operator="equal">
      <formula>0</formula>
    </cfRule>
    <cfRule type="cellIs" dxfId="750" priority="290" operator="notEqual">
      <formula>0</formula>
    </cfRule>
  </conditionalFormatting>
  <conditionalFormatting sqref="C60:C61">
    <cfRule type="cellIs" dxfId="749" priority="287" operator="equal">
      <formula>0</formula>
    </cfRule>
    <cfRule type="cellIs" dxfId="748" priority="288" operator="notEqual">
      <formula>0</formula>
    </cfRule>
  </conditionalFormatting>
  <conditionalFormatting sqref="D60:D61">
    <cfRule type="cellIs" dxfId="747" priority="285" operator="equal">
      <formula>0</formula>
    </cfRule>
    <cfRule type="cellIs" dxfId="746" priority="286" operator="notEqual">
      <formula>0</formula>
    </cfRule>
  </conditionalFormatting>
  <conditionalFormatting sqref="E60:E61">
    <cfRule type="cellIs" dxfId="745" priority="283" operator="equal">
      <formula>0</formula>
    </cfRule>
    <cfRule type="cellIs" dxfId="744" priority="284" operator="notEqual">
      <formula>0</formula>
    </cfRule>
  </conditionalFormatting>
  <conditionalFormatting sqref="F60:F61">
    <cfRule type="cellIs" dxfId="743" priority="281" operator="equal">
      <formula>0</formula>
    </cfRule>
    <cfRule type="cellIs" dxfId="742" priority="282" operator="notEqual">
      <formula>0</formula>
    </cfRule>
  </conditionalFormatting>
  <conditionalFormatting sqref="G60:G61">
    <cfRule type="cellIs" dxfId="741" priority="279" operator="equal">
      <formula>0</formula>
    </cfRule>
    <cfRule type="cellIs" dxfId="740" priority="280" operator="notEqual">
      <formula>0</formula>
    </cfRule>
  </conditionalFormatting>
  <conditionalFormatting sqref="H60:H61">
    <cfRule type="cellIs" dxfId="739" priority="277" operator="equal">
      <formula>0</formula>
    </cfRule>
    <cfRule type="cellIs" dxfId="738" priority="278" operator="notEqual">
      <formula>0</formula>
    </cfRule>
  </conditionalFormatting>
  <conditionalFormatting sqref="I60:I61">
    <cfRule type="cellIs" dxfId="737" priority="275" operator="equal">
      <formula>0</formula>
    </cfRule>
    <cfRule type="cellIs" dxfId="736" priority="276" operator="notEqual">
      <formula>0</formula>
    </cfRule>
  </conditionalFormatting>
  <conditionalFormatting sqref="J60:J61">
    <cfRule type="cellIs" dxfId="735" priority="273" operator="equal">
      <formula>0</formula>
    </cfRule>
    <cfRule type="cellIs" dxfId="734" priority="274" operator="notEqual">
      <formula>0</formula>
    </cfRule>
  </conditionalFormatting>
  <conditionalFormatting sqref="O59">
    <cfRule type="cellIs" dxfId="733" priority="271" operator="equal">
      <formula>0</formula>
    </cfRule>
    <cfRule type="cellIs" dxfId="732" priority="272" operator="notEqual">
      <formula>0</formula>
    </cfRule>
  </conditionalFormatting>
  <conditionalFormatting sqref="P59">
    <cfRule type="cellIs" dxfId="731" priority="269" operator="equal">
      <formula>0</formula>
    </cfRule>
    <cfRule type="cellIs" dxfId="730" priority="270" operator="notEqual">
      <formula>0</formula>
    </cfRule>
  </conditionalFormatting>
  <conditionalFormatting sqref="Q59">
    <cfRule type="cellIs" dxfId="729" priority="267" operator="equal">
      <formula>0</formula>
    </cfRule>
    <cfRule type="cellIs" dxfId="728" priority="268" operator="notEqual">
      <formula>0</formula>
    </cfRule>
  </conditionalFormatting>
  <conditionalFormatting sqref="R59">
    <cfRule type="cellIs" dxfId="727" priority="265" operator="equal">
      <formula>0</formula>
    </cfRule>
    <cfRule type="cellIs" dxfId="726" priority="266" operator="notEqual">
      <formula>0</formula>
    </cfRule>
  </conditionalFormatting>
  <conditionalFormatting sqref="C67:C68">
    <cfRule type="cellIs" dxfId="725" priority="263" operator="equal">
      <formula>0</formula>
    </cfRule>
    <cfRule type="cellIs" dxfId="724" priority="264" operator="notEqual">
      <formula>0</formula>
    </cfRule>
  </conditionalFormatting>
  <conditionalFormatting sqref="D67:D68">
    <cfRule type="cellIs" dxfId="723" priority="261" operator="equal">
      <formula>0</formula>
    </cfRule>
    <cfRule type="cellIs" dxfId="722" priority="262" operator="notEqual">
      <formula>0</formula>
    </cfRule>
  </conditionalFormatting>
  <conditionalFormatting sqref="E67:E68">
    <cfRule type="cellIs" dxfId="721" priority="259" operator="equal">
      <formula>0</formula>
    </cfRule>
    <cfRule type="cellIs" dxfId="720" priority="260" operator="notEqual">
      <formula>0</formula>
    </cfRule>
  </conditionalFormatting>
  <conditionalFormatting sqref="F67:F68">
    <cfRule type="cellIs" dxfId="719" priority="257" operator="equal">
      <formula>0</formula>
    </cfRule>
    <cfRule type="cellIs" dxfId="718" priority="258" operator="notEqual">
      <formula>0</formula>
    </cfRule>
  </conditionalFormatting>
  <conditionalFormatting sqref="G67:G68">
    <cfRule type="cellIs" dxfId="717" priority="255" operator="equal">
      <formula>0</formula>
    </cfRule>
    <cfRule type="cellIs" dxfId="716" priority="256" operator="notEqual">
      <formula>0</formula>
    </cfRule>
  </conditionalFormatting>
  <conditionalFormatting sqref="H67:H68">
    <cfRule type="cellIs" dxfId="715" priority="253" operator="equal">
      <formula>0</formula>
    </cfRule>
    <cfRule type="cellIs" dxfId="714" priority="254" operator="notEqual">
      <formula>0</formula>
    </cfRule>
  </conditionalFormatting>
  <conditionalFormatting sqref="I67:I68">
    <cfRule type="cellIs" dxfId="713" priority="251" operator="equal">
      <formula>0</formula>
    </cfRule>
    <cfRule type="cellIs" dxfId="712" priority="252" operator="notEqual">
      <formula>0</formula>
    </cfRule>
  </conditionalFormatting>
  <conditionalFormatting sqref="J67:J68">
    <cfRule type="cellIs" dxfId="711" priority="249" operator="equal">
      <formula>0</formula>
    </cfRule>
    <cfRule type="cellIs" dxfId="710" priority="250" operator="notEqual">
      <formula>0</formula>
    </cfRule>
  </conditionalFormatting>
  <conditionalFormatting sqref="O66">
    <cfRule type="cellIs" dxfId="709" priority="247" operator="equal">
      <formula>0</formula>
    </cfRule>
    <cfRule type="cellIs" dxfId="708" priority="248" operator="notEqual">
      <formula>0</formula>
    </cfRule>
  </conditionalFormatting>
  <conditionalFormatting sqref="P66">
    <cfRule type="cellIs" dxfId="707" priority="245" operator="equal">
      <formula>0</formula>
    </cfRule>
    <cfRule type="cellIs" dxfId="706" priority="246" operator="notEqual">
      <formula>0</formula>
    </cfRule>
  </conditionalFormatting>
  <conditionalFormatting sqref="Q66">
    <cfRule type="cellIs" dxfId="705" priority="243" operator="equal">
      <formula>0</formula>
    </cfRule>
    <cfRule type="cellIs" dxfId="704" priority="244" operator="notEqual">
      <formula>0</formula>
    </cfRule>
  </conditionalFormatting>
  <conditionalFormatting sqref="R66">
    <cfRule type="cellIs" dxfId="703" priority="241" operator="equal">
      <formula>0</formula>
    </cfRule>
    <cfRule type="cellIs" dxfId="702" priority="242" operator="notEqual">
      <formula>0</formula>
    </cfRule>
  </conditionalFormatting>
  <conditionalFormatting sqref="C74:C75">
    <cfRule type="cellIs" dxfId="701" priority="239" operator="equal">
      <formula>0</formula>
    </cfRule>
    <cfRule type="cellIs" dxfId="700" priority="240" operator="notEqual">
      <formula>0</formula>
    </cfRule>
  </conditionalFormatting>
  <conditionalFormatting sqref="D74:D75">
    <cfRule type="cellIs" dxfId="699" priority="237" operator="equal">
      <formula>0</formula>
    </cfRule>
    <cfRule type="cellIs" dxfId="698" priority="238" operator="notEqual">
      <formula>0</formula>
    </cfRule>
  </conditionalFormatting>
  <conditionalFormatting sqref="E74:E75">
    <cfRule type="cellIs" dxfId="697" priority="235" operator="equal">
      <formula>0</formula>
    </cfRule>
    <cfRule type="cellIs" dxfId="696" priority="236" operator="notEqual">
      <formula>0</formula>
    </cfRule>
  </conditionalFormatting>
  <conditionalFormatting sqref="F74:F75">
    <cfRule type="cellIs" dxfId="695" priority="233" operator="equal">
      <formula>0</formula>
    </cfRule>
    <cfRule type="cellIs" dxfId="694" priority="234" operator="notEqual">
      <formula>0</formula>
    </cfRule>
  </conditionalFormatting>
  <conditionalFormatting sqref="G74:G75">
    <cfRule type="cellIs" dxfId="693" priority="231" operator="equal">
      <formula>0</formula>
    </cfRule>
    <cfRule type="cellIs" dxfId="692" priority="232" operator="notEqual">
      <formula>0</formula>
    </cfRule>
  </conditionalFormatting>
  <conditionalFormatting sqref="H74:H75">
    <cfRule type="cellIs" dxfId="691" priority="229" operator="equal">
      <formula>0</formula>
    </cfRule>
    <cfRule type="cellIs" dxfId="690" priority="230" operator="notEqual">
      <formula>0</formula>
    </cfRule>
  </conditionalFormatting>
  <conditionalFormatting sqref="I74:I75">
    <cfRule type="cellIs" dxfId="689" priority="227" operator="equal">
      <formula>0</formula>
    </cfRule>
    <cfRule type="cellIs" dxfId="688" priority="228" operator="notEqual">
      <formula>0</formula>
    </cfRule>
  </conditionalFormatting>
  <conditionalFormatting sqref="J74:J75">
    <cfRule type="cellIs" dxfId="687" priority="225" operator="equal">
      <formula>0</formula>
    </cfRule>
    <cfRule type="cellIs" dxfId="686" priority="226" operator="notEqual">
      <formula>0</formula>
    </cfRule>
  </conditionalFormatting>
  <conditionalFormatting sqref="O73">
    <cfRule type="cellIs" dxfId="685" priority="223" operator="equal">
      <formula>0</formula>
    </cfRule>
    <cfRule type="cellIs" dxfId="684" priority="224" operator="notEqual">
      <formula>0</formula>
    </cfRule>
  </conditionalFormatting>
  <conditionalFormatting sqref="P73">
    <cfRule type="cellIs" dxfId="683" priority="221" operator="equal">
      <formula>0</formula>
    </cfRule>
    <cfRule type="cellIs" dxfId="682" priority="222" operator="notEqual">
      <formula>0</formula>
    </cfRule>
  </conditionalFormatting>
  <conditionalFormatting sqref="Q73">
    <cfRule type="cellIs" dxfId="681" priority="219" operator="equal">
      <formula>0</formula>
    </cfRule>
    <cfRule type="cellIs" dxfId="680" priority="220" operator="notEqual">
      <formula>0</formula>
    </cfRule>
  </conditionalFormatting>
  <conditionalFormatting sqref="R73">
    <cfRule type="cellIs" dxfId="679" priority="217" operator="equal">
      <formula>0</formula>
    </cfRule>
    <cfRule type="cellIs" dxfId="678" priority="218" operator="notEqual">
      <formula>0</formula>
    </cfRule>
  </conditionalFormatting>
  <conditionalFormatting sqref="U67:U68">
    <cfRule type="cellIs" dxfId="677" priority="215" operator="equal">
      <formula>0</formula>
    </cfRule>
    <cfRule type="cellIs" dxfId="676" priority="216" operator="notEqual">
      <formula>0</formula>
    </cfRule>
  </conditionalFormatting>
  <conditionalFormatting sqref="V67:V68">
    <cfRule type="cellIs" dxfId="675" priority="213" operator="equal">
      <formula>0</formula>
    </cfRule>
    <cfRule type="cellIs" dxfId="674" priority="214" operator="notEqual">
      <formula>0</formula>
    </cfRule>
  </conditionalFormatting>
  <conditionalFormatting sqref="W67:W68">
    <cfRule type="cellIs" dxfId="673" priority="211" operator="equal">
      <formula>0</formula>
    </cfRule>
    <cfRule type="cellIs" dxfId="672" priority="212" operator="notEqual">
      <formula>0</formula>
    </cfRule>
  </conditionalFormatting>
  <conditionalFormatting sqref="X67:X68">
    <cfRule type="cellIs" dxfId="671" priority="209" operator="equal">
      <formula>0</formula>
    </cfRule>
    <cfRule type="cellIs" dxfId="670" priority="210" operator="notEqual">
      <formula>0</formula>
    </cfRule>
  </conditionalFormatting>
  <conditionalFormatting sqref="Y67:Y68">
    <cfRule type="cellIs" dxfId="669" priority="207" operator="equal">
      <formula>0</formula>
    </cfRule>
    <cfRule type="cellIs" dxfId="668" priority="208" operator="notEqual">
      <formula>0</formula>
    </cfRule>
  </conditionalFormatting>
  <conditionalFormatting sqref="Z67:Z68">
    <cfRule type="cellIs" dxfId="667" priority="205" operator="equal">
      <formula>0</formula>
    </cfRule>
    <cfRule type="cellIs" dxfId="666" priority="206" operator="notEqual">
      <formula>0</formula>
    </cfRule>
  </conditionalFormatting>
  <conditionalFormatting sqref="AA67:AA68">
    <cfRule type="cellIs" dxfId="665" priority="203" operator="equal">
      <formula>0</formula>
    </cfRule>
    <cfRule type="cellIs" dxfId="664" priority="204" operator="notEqual">
      <formula>0</formula>
    </cfRule>
  </conditionalFormatting>
  <conditionalFormatting sqref="AB67:AB68">
    <cfRule type="cellIs" dxfId="663" priority="201" operator="equal">
      <formula>0</formula>
    </cfRule>
    <cfRule type="cellIs" dxfId="662" priority="202" operator="notEqual">
      <formula>0</formula>
    </cfRule>
  </conditionalFormatting>
  <conditionalFormatting sqref="AG66">
    <cfRule type="cellIs" dxfId="661" priority="199" operator="equal">
      <formula>0</formula>
    </cfRule>
    <cfRule type="cellIs" dxfId="660" priority="200" operator="notEqual">
      <formula>0</formula>
    </cfRule>
  </conditionalFormatting>
  <conditionalFormatting sqref="AH66">
    <cfRule type="cellIs" dxfId="659" priority="197" operator="equal">
      <formula>0</formula>
    </cfRule>
    <cfRule type="cellIs" dxfId="658" priority="198" operator="notEqual">
      <formula>0</formula>
    </cfRule>
  </conditionalFormatting>
  <conditionalFormatting sqref="AI66">
    <cfRule type="cellIs" dxfId="657" priority="195" operator="equal">
      <formula>0</formula>
    </cfRule>
    <cfRule type="cellIs" dxfId="656" priority="196" operator="notEqual">
      <formula>0</formula>
    </cfRule>
  </conditionalFormatting>
  <conditionalFormatting sqref="AJ66">
    <cfRule type="cellIs" dxfId="655" priority="193" operator="equal">
      <formula>0</formula>
    </cfRule>
    <cfRule type="cellIs" dxfId="654" priority="194" operator="notEqual">
      <formula>0</formula>
    </cfRule>
  </conditionalFormatting>
  <conditionalFormatting sqref="U60:U61">
    <cfRule type="cellIs" dxfId="653" priority="191" operator="equal">
      <formula>0</formula>
    </cfRule>
    <cfRule type="cellIs" dxfId="652" priority="192" operator="notEqual">
      <formula>0</formula>
    </cfRule>
  </conditionalFormatting>
  <conditionalFormatting sqref="V60:V61">
    <cfRule type="cellIs" dxfId="651" priority="189" operator="equal">
      <formula>0</formula>
    </cfRule>
    <cfRule type="cellIs" dxfId="650" priority="190" operator="notEqual">
      <formula>0</formula>
    </cfRule>
  </conditionalFormatting>
  <conditionalFormatting sqref="W60:W61">
    <cfRule type="cellIs" dxfId="649" priority="187" operator="equal">
      <formula>0</formula>
    </cfRule>
    <cfRule type="cellIs" dxfId="648" priority="188" operator="notEqual">
      <formula>0</formula>
    </cfRule>
  </conditionalFormatting>
  <conditionalFormatting sqref="X60:X61">
    <cfRule type="cellIs" dxfId="647" priority="185" operator="equal">
      <formula>0</formula>
    </cfRule>
    <cfRule type="cellIs" dxfId="646" priority="186" operator="notEqual">
      <formula>0</formula>
    </cfRule>
  </conditionalFormatting>
  <conditionalFormatting sqref="Y60:Y61">
    <cfRule type="cellIs" dxfId="645" priority="183" operator="equal">
      <formula>0</formula>
    </cfRule>
    <cfRule type="cellIs" dxfId="644" priority="184" operator="notEqual">
      <formula>0</formula>
    </cfRule>
  </conditionalFormatting>
  <conditionalFormatting sqref="Z60:Z61">
    <cfRule type="cellIs" dxfId="643" priority="181" operator="equal">
      <formula>0</formula>
    </cfRule>
    <cfRule type="cellIs" dxfId="642" priority="182" operator="notEqual">
      <formula>0</formula>
    </cfRule>
  </conditionalFormatting>
  <conditionalFormatting sqref="AA60:AA61">
    <cfRule type="cellIs" dxfId="641" priority="179" operator="equal">
      <formula>0</formula>
    </cfRule>
    <cfRule type="cellIs" dxfId="640" priority="180" operator="notEqual">
      <formula>0</formula>
    </cfRule>
  </conditionalFormatting>
  <conditionalFormatting sqref="AB60:AB61">
    <cfRule type="cellIs" dxfId="639" priority="177" operator="equal">
      <formula>0</formula>
    </cfRule>
    <cfRule type="cellIs" dxfId="638" priority="178" operator="notEqual">
      <formula>0</formula>
    </cfRule>
  </conditionalFormatting>
  <conditionalFormatting sqref="AG59">
    <cfRule type="cellIs" dxfId="637" priority="175" operator="equal">
      <formula>0</formula>
    </cfRule>
    <cfRule type="cellIs" dxfId="636" priority="176" operator="notEqual">
      <formula>0</formula>
    </cfRule>
  </conditionalFormatting>
  <conditionalFormatting sqref="AH59">
    <cfRule type="cellIs" dxfId="635" priority="173" operator="equal">
      <formula>0</formula>
    </cfRule>
    <cfRule type="cellIs" dxfId="634" priority="174" operator="notEqual">
      <formula>0</formula>
    </cfRule>
  </conditionalFormatting>
  <conditionalFormatting sqref="AI59">
    <cfRule type="cellIs" dxfId="633" priority="171" operator="equal">
      <formula>0</formula>
    </cfRule>
    <cfRule type="cellIs" dxfId="632" priority="172" operator="notEqual">
      <formula>0</formula>
    </cfRule>
  </conditionalFormatting>
  <conditionalFormatting sqref="AJ59">
    <cfRule type="cellIs" dxfId="631" priority="169" operator="equal">
      <formula>0</formula>
    </cfRule>
    <cfRule type="cellIs" dxfId="630" priority="170" operator="notEqual">
      <formula>0</formula>
    </cfRule>
  </conditionalFormatting>
  <conditionalFormatting sqref="U53:U54">
    <cfRule type="cellIs" dxfId="629" priority="167" operator="equal">
      <formula>0</formula>
    </cfRule>
    <cfRule type="cellIs" dxfId="628" priority="168" operator="notEqual">
      <formula>0</formula>
    </cfRule>
  </conditionalFormatting>
  <conditionalFormatting sqref="V53:V54">
    <cfRule type="cellIs" dxfId="627" priority="165" operator="equal">
      <formula>0</formula>
    </cfRule>
    <cfRule type="cellIs" dxfId="626" priority="166" operator="notEqual">
      <formula>0</formula>
    </cfRule>
  </conditionalFormatting>
  <conditionalFormatting sqref="W53:W54">
    <cfRule type="cellIs" dxfId="625" priority="163" operator="equal">
      <formula>0</formula>
    </cfRule>
    <cfRule type="cellIs" dxfId="624" priority="164" operator="notEqual">
      <formula>0</formula>
    </cfRule>
  </conditionalFormatting>
  <conditionalFormatting sqref="X53:X54">
    <cfRule type="cellIs" dxfId="623" priority="161" operator="equal">
      <formula>0</formula>
    </cfRule>
    <cfRule type="cellIs" dxfId="622" priority="162" operator="notEqual">
      <formula>0</formula>
    </cfRule>
  </conditionalFormatting>
  <conditionalFormatting sqref="Y53:Y54">
    <cfRule type="cellIs" dxfId="621" priority="159" operator="equal">
      <formula>0</formula>
    </cfRule>
    <cfRule type="cellIs" dxfId="620" priority="160" operator="notEqual">
      <formula>0</formula>
    </cfRule>
  </conditionalFormatting>
  <conditionalFormatting sqref="Z53:Z54">
    <cfRule type="cellIs" dxfId="619" priority="157" operator="equal">
      <formula>0</formula>
    </cfRule>
    <cfRule type="cellIs" dxfId="618" priority="158" operator="notEqual">
      <formula>0</formula>
    </cfRule>
  </conditionalFormatting>
  <conditionalFormatting sqref="AA53:AA54">
    <cfRule type="cellIs" dxfId="617" priority="155" operator="equal">
      <formula>0</formula>
    </cfRule>
    <cfRule type="cellIs" dxfId="616" priority="156" operator="notEqual">
      <formula>0</formula>
    </cfRule>
  </conditionalFormatting>
  <conditionalFormatting sqref="AB53:AB54">
    <cfRule type="cellIs" dxfId="615" priority="153" operator="equal">
      <formula>0</formula>
    </cfRule>
    <cfRule type="cellIs" dxfId="614" priority="154" operator="notEqual">
      <formula>0</formula>
    </cfRule>
  </conditionalFormatting>
  <conditionalFormatting sqref="AG52">
    <cfRule type="cellIs" dxfId="613" priority="151" operator="equal">
      <formula>0</formula>
    </cfRule>
    <cfRule type="cellIs" dxfId="612" priority="152" operator="notEqual">
      <formula>0</formula>
    </cfRule>
  </conditionalFormatting>
  <conditionalFormatting sqref="AH52">
    <cfRule type="cellIs" dxfId="611" priority="149" operator="equal">
      <formula>0</formula>
    </cfRule>
    <cfRule type="cellIs" dxfId="610" priority="150" operator="notEqual">
      <formula>0</formula>
    </cfRule>
  </conditionalFormatting>
  <conditionalFormatting sqref="AI52">
    <cfRule type="cellIs" dxfId="609" priority="147" operator="equal">
      <formula>0</formula>
    </cfRule>
    <cfRule type="cellIs" dxfId="608" priority="148" operator="notEqual">
      <formula>0</formula>
    </cfRule>
  </conditionalFormatting>
  <conditionalFormatting sqref="AJ52">
    <cfRule type="cellIs" dxfId="607" priority="145" operator="equal">
      <formula>0</formula>
    </cfRule>
    <cfRule type="cellIs" dxfId="606" priority="146" operator="notEqual">
      <formula>0</formula>
    </cfRule>
  </conditionalFormatting>
  <conditionalFormatting sqref="U46:U47">
    <cfRule type="cellIs" dxfId="605" priority="143" operator="equal">
      <formula>0</formula>
    </cfRule>
    <cfRule type="cellIs" dxfId="604" priority="144" operator="notEqual">
      <formula>0</formula>
    </cfRule>
  </conditionalFormatting>
  <conditionalFormatting sqref="V46:V47">
    <cfRule type="cellIs" dxfId="603" priority="141" operator="equal">
      <formula>0</formula>
    </cfRule>
    <cfRule type="cellIs" dxfId="602" priority="142" operator="notEqual">
      <formula>0</formula>
    </cfRule>
  </conditionalFormatting>
  <conditionalFormatting sqref="W46:W47">
    <cfRule type="cellIs" dxfId="601" priority="139" operator="equal">
      <formula>0</formula>
    </cfRule>
    <cfRule type="cellIs" dxfId="600" priority="140" operator="notEqual">
      <formula>0</formula>
    </cfRule>
  </conditionalFormatting>
  <conditionalFormatting sqref="X46:X47">
    <cfRule type="cellIs" dxfId="599" priority="137" operator="equal">
      <formula>0</formula>
    </cfRule>
    <cfRule type="cellIs" dxfId="598" priority="138" operator="notEqual">
      <formula>0</formula>
    </cfRule>
  </conditionalFormatting>
  <conditionalFormatting sqref="Y46:Y47">
    <cfRule type="cellIs" dxfId="597" priority="135" operator="equal">
      <formula>0</formula>
    </cfRule>
    <cfRule type="cellIs" dxfId="596" priority="136" operator="notEqual">
      <formula>0</formula>
    </cfRule>
  </conditionalFormatting>
  <conditionalFormatting sqref="Z46:Z47">
    <cfRule type="cellIs" dxfId="595" priority="133" operator="equal">
      <formula>0</formula>
    </cfRule>
    <cfRule type="cellIs" dxfId="594" priority="134" operator="notEqual">
      <formula>0</formula>
    </cfRule>
  </conditionalFormatting>
  <conditionalFormatting sqref="AA46:AA47">
    <cfRule type="cellIs" dxfId="593" priority="131" operator="equal">
      <formula>0</formula>
    </cfRule>
    <cfRule type="cellIs" dxfId="592" priority="132" operator="notEqual">
      <formula>0</formula>
    </cfRule>
  </conditionalFormatting>
  <conditionalFormatting sqref="AB46:AB47">
    <cfRule type="cellIs" dxfId="591" priority="129" operator="equal">
      <formula>0</formula>
    </cfRule>
    <cfRule type="cellIs" dxfId="590" priority="130" operator="notEqual">
      <formula>0</formula>
    </cfRule>
  </conditionalFormatting>
  <conditionalFormatting sqref="AG45">
    <cfRule type="cellIs" dxfId="589" priority="127" operator="equal">
      <formula>0</formula>
    </cfRule>
    <cfRule type="cellIs" dxfId="588" priority="128" operator="notEqual">
      <formula>0</formula>
    </cfRule>
  </conditionalFormatting>
  <conditionalFormatting sqref="AH45">
    <cfRule type="cellIs" dxfId="587" priority="125" operator="equal">
      <formula>0</formula>
    </cfRule>
    <cfRule type="cellIs" dxfId="586" priority="126" operator="notEqual">
      <formula>0</formula>
    </cfRule>
  </conditionalFormatting>
  <conditionalFormatting sqref="AI45">
    <cfRule type="cellIs" dxfId="585" priority="123" operator="equal">
      <formula>0</formula>
    </cfRule>
    <cfRule type="cellIs" dxfId="584" priority="124" operator="notEqual">
      <formula>0</formula>
    </cfRule>
  </conditionalFormatting>
  <conditionalFormatting sqref="AJ45">
    <cfRule type="cellIs" dxfId="583" priority="121" operator="equal">
      <formula>0</formula>
    </cfRule>
    <cfRule type="cellIs" dxfId="582" priority="122" operator="notEqual">
      <formula>0</formula>
    </cfRule>
  </conditionalFormatting>
  <conditionalFormatting sqref="U39:U40">
    <cfRule type="cellIs" dxfId="581" priority="119" operator="equal">
      <formula>0</formula>
    </cfRule>
    <cfRule type="cellIs" dxfId="580" priority="120" operator="notEqual">
      <formula>0</formula>
    </cfRule>
  </conditionalFormatting>
  <conditionalFormatting sqref="V39:V40">
    <cfRule type="cellIs" dxfId="579" priority="117" operator="equal">
      <formula>0</formula>
    </cfRule>
    <cfRule type="cellIs" dxfId="578" priority="118" operator="notEqual">
      <formula>0</formula>
    </cfRule>
  </conditionalFormatting>
  <conditionalFormatting sqref="W39:W40">
    <cfRule type="cellIs" dxfId="577" priority="115" operator="equal">
      <formula>0</formula>
    </cfRule>
    <cfRule type="cellIs" dxfId="576" priority="116" operator="notEqual">
      <formula>0</formula>
    </cfRule>
  </conditionalFormatting>
  <conditionalFormatting sqref="X39:X40">
    <cfRule type="cellIs" dxfId="575" priority="113" operator="equal">
      <formula>0</formula>
    </cfRule>
    <cfRule type="cellIs" dxfId="574" priority="114" operator="notEqual">
      <formula>0</formula>
    </cfRule>
  </conditionalFormatting>
  <conditionalFormatting sqref="Y39:Y40">
    <cfRule type="cellIs" dxfId="573" priority="111" operator="equal">
      <formula>0</formula>
    </cfRule>
    <cfRule type="cellIs" dxfId="572" priority="112" operator="notEqual">
      <formula>0</formula>
    </cfRule>
  </conditionalFormatting>
  <conditionalFormatting sqref="Z39:Z40">
    <cfRule type="cellIs" dxfId="571" priority="109" operator="equal">
      <formula>0</formula>
    </cfRule>
    <cfRule type="cellIs" dxfId="570" priority="110" operator="notEqual">
      <formula>0</formula>
    </cfRule>
  </conditionalFormatting>
  <conditionalFormatting sqref="AA39:AA40">
    <cfRule type="cellIs" dxfId="569" priority="107" operator="equal">
      <formula>0</formula>
    </cfRule>
    <cfRule type="cellIs" dxfId="568" priority="108" operator="notEqual">
      <formula>0</formula>
    </cfRule>
  </conditionalFormatting>
  <conditionalFormatting sqref="AB39:AB40">
    <cfRule type="cellIs" dxfId="567" priority="105" operator="equal">
      <formula>0</formula>
    </cfRule>
    <cfRule type="cellIs" dxfId="566" priority="106" operator="notEqual">
      <formula>0</formula>
    </cfRule>
  </conditionalFormatting>
  <conditionalFormatting sqref="AG38">
    <cfRule type="cellIs" dxfId="565" priority="103" operator="equal">
      <formula>0</formula>
    </cfRule>
    <cfRule type="cellIs" dxfId="564" priority="104" operator="notEqual">
      <formula>0</formula>
    </cfRule>
  </conditionalFormatting>
  <conditionalFormatting sqref="AH38">
    <cfRule type="cellIs" dxfId="563" priority="101" operator="equal">
      <formula>0</formula>
    </cfRule>
    <cfRule type="cellIs" dxfId="562" priority="102" operator="notEqual">
      <formula>0</formula>
    </cfRule>
  </conditionalFormatting>
  <conditionalFormatting sqref="AI38">
    <cfRule type="cellIs" dxfId="561" priority="99" operator="equal">
      <formula>0</formula>
    </cfRule>
    <cfRule type="cellIs" dxfId="560" priority="100" operator="notEqual">
      <formula>0</formula>
    </cfRule>
  </conditionalFormatting>
  <conditionalFormatting sqref="AJ38">
    <cfRule type="cellIs" dxfId="559" priority="97" operator="equal">
      <formula>0</formula>
    </cfRule>
    <cfRule type="cellIs" dxfId="558" priority="98" operator="notEqual">
      <formula>0</formula>
    </cfRule>
  </conditionalFormatting>
  <conditionalFormatting sqref="U32:U33">
    <cfRule type="cellIs" dxfId="557" priority="95" operator="equal">
      <formula>0</formula>
    </cfRule>
    <cfRule type="cellIs" dxfId="556" priority="96" operator="notEqual">
      <formula>0</formula>
    </cfRule>
  </conditionalFormatting>
  <conditionalFormatting sqref="V32:V33">
    <cfRule type="cellIs" dxfId="555" priority="93" operator="equal">
      <formula>0</formula>
    </cfRule>
    <cfRule type="cellIs" dxfId="554" priority="94" operator="notEqual">
      <formula>0</formula>
    </cfRule>
  </conditionalFormatting>
  <conditionalFormatting sqref="W32:W33">
    <cfRule type="cellIs" dxfId="553" priority="91" operator="equal">
      <formula>0</formula>
    </cfRule>
    <cfRule type="cellIs" dxfId="552" priority="92" operator="notEqual">
      <formula>0</formula>
    </cfRule>
  </conditionalFormatting>
  <conditionalFormatting sqref="X32:X33">
    <cfRule type="cellIs" dxfId="551" priority="89" operator="equal">
      <formula>0</formula>
    </cfRule>
    <cfRule type="cellIs" dxfId="550" priority="90" operator="notEqual">
      <formula>0</formula>
    </cfRule>
  </conditionalFormatting>
  <conditionalFormatting sqref="Y32:Y33">
    <cfRule type="cellIs" dxfId="549" priority="87" operator="equal">
      <formula>0</formula>
    </cfRule>
    <cfRule type="cellIs" dxfId="548" priority="88" operator="notEqual">
      <formula>0</formula>
    </cfRule>
  </conditionalFormatting>
  <conditionalFormatting sqref="Z32:Z33">
    <cfRule type="cellIs" dxfId="547" priority="85" operator="equal">
      <formula>0</formula>
    </cfRule>
    <cfRule type="cellIs" dxfId="546" priority="86" operator="notEqual">
      <formula>0</formula>
    </cfRule>
  </conditionalFormatting>
  <conditionalFormatting sqref="AA32:AA33">
    <cfRule type="cellIs" dxfId="545" priority="83" operator="equal">
      <formula>0</formula>
    </cfRule>
    <cfRule type="cellIs" dxfId="544" priority="84" operator="notEqual">
      <formula>0</formula>
    </cfRule>
  </conditionalFormatting>
  <conditionalFormatting sqref="AB32:AB33">
    <cfRule type="cellIs" dxfId="543" priority="81" operator="equal">
      <formula>0</formula>
    </cfRule>
    <cfRule type="cellIs" dxfId="542" priority="82" operator="notEqual">
      <formula>0</formula>
    </cfRule>
  </conditionalFormatting>
  <conditionalFormatting sqref="AG31">
    <cfRule type="cellIs" dxfId="541" priority="79" operator="equal">
      <formula>0</formula>
    </cfRule>
    <cfRule type="cellIs" dxfId="540" priority="80" operator="notEqual">
      <formula>0</formula>
    </cfRule>
  </conditionalFormatting>
  <conditionalFormatting sqref="AH31">
    <cfRule type="cellIs" dxfId="539" priority="77" operator="equal">
      <formula>0</formula>
    </cfRule>
    <cfRule type="cellIs" dxfId="538" priority="78" operator="notEqual">
      <formula>0</formula>
    </cfRule>
  </conditionalFormatting>
  <conditionalFormatting sqref="AI31">
    <cfRule type="cellIs" dxfId="537" priority="75" operator="equal">
      <formula>0</formula>
    </cfRule>
    <cfRule type="cellIs" dxfId="536" priority="76" operator="notEqual">
      <formula>0</formula>
    </cfRule>
  </conditionalFormatting>
  <conditionalFormatting sqref="AJ31">
    <cfRule type="cellIs" dxfId="535" priority="73" operator="equal">
      <formula>0</formula>
    </cfRule>
    <cfRule type="cellIs" dxfId="534" priority="74" operator="notEqual">
      <formula>0</formula>
    </cfRule>
  </conditionalFormatting>
  <conditionalFormatting sqref="U25:U26">
    <cfRule type="cellIs" dxfId="533" priority="71" operator="equal">
      <formula>0</formula>
    </cfRule>
    <cfRule type="cellIs" dxfId="532" priority="72" operator="notEqual">
      <formula>0</formula>
    </cfRule>
  </conditionalFormatting>
  <conditionalFormatting sqref="V25:V26">
    <cfRule type="cellIs" dxfId="531" priority="69" operator="equal">
      <formula>0</formula>
    </cfRule>
    <cfRule type="cellIs" dxfId="530" priority="70" operator="notEqual">
      <formula>0</formula>
    </cfRule>
  </conditionalFormatting>
  <conditionalFormatting sqref="W25:W26">
    <cfRule type="cellIs" dxfId="529" priority="67" operator="equal">
      <formula>0</formula>
    </cfRule>
    <cfRule type="cellIs" dxfId="528" priority="68" operator="notEqual">
      <formula>0</formula>
    </cfRule>
  </conditionalFormatting>
  <conditionalFormatting sqref="X25:X26">
    <cfRule type="cellIs" dxfId="527" priority="65" operator="equal">
      <formula>0</formula>
    </cfRule>
    <cfRule type="cellIs" dxfId="526" priority="66" operator="notEqual">
      <formula>0</formula>
    </cfRule>
  </conditionalFormatting>
  <conditionalFormatting sqref="Y25:Y26">
    <cfRule type="cellIs" dxfId="525" priority="63" operator="equal">
      <formula>0</formula>
    </cfRule>
    <cfRule type="cellIs" dxfId="524" priority="64" operator="notEqual">
      <formula>0</formula>
    </cfRule>
  </conditionalFormatting>
  <conditionalFormatting sqref="Z25:Z26">
    <cfRule type="cellIs" dxfId="523" priority="61" operator="equal">
      <formula>0</formula>
    </cfRule>
    <cfRule type="cellIs" dxfId="522" priority="62" operator="notEqual">
      <formula>0</formula>
    </cfRule>
  </conditionalFormatting>
  <conditionalFormatting sqref="AA25:AA26">
    <cfRule type="cellIs" dxfId="521" priority="59" operator="equal">
      <formula>0</formula>
    </cfRule>
    <cfRule type="cellIs" dxfId="520" priority="60" operator="notEqual">
      <formula>0</formula>
    </cfRule>
  </conditionalFormatting>
  <conditionalFormatting sqref="AB25:AB26">
    <cfRule type="cellIs" dxfId="519" priority="57" operator="equal">
      <formula>0</formula>
    </cfRule>
    <cfRule type="cellIs" dxfId="518" priority="58" operator="notEqual">
      <formula>0</formula>
    </cfRule>
  </conditionalFormatting>
  <conditionalFormatting sqref="AG24">
    <cfRule type="cellIs" dxfId="517" priority="55" operator="equal">
      <formula>0</formula>
    </cfRule>
    <cfRule type="cellIs" dxfId="516" priority="56" operator="notEqual">
      <formula>0</formula>
    </cfRule>
  </conditionalFormatting>
  <conditionalFormatting sqref="AH24">
    <cfRule type="cellIs" dxfId="515" priority="53" operator="equal">
      <formula>0</formula>
    </cfRule>
    <cfRule type="cellIs" dxfId="514" priority="54" operator="notEqual">
      <formula>0</formula>
    </cfRule>
  </conditionalFormatting>
  <conditionalFormatting sqref="AI24">
    <cfRule type="cellIs" dxfId="513" priority="51" operator="equal">
      <formula>0</formula>
    </cfRule>
    <cfRule type="cellIs" dxfId="512" priority="52" operator="notEqual">
      <formula>0</formula>
    </cfRule>
  </conditionalFormatting>
  <conditionalFormatting sqref="AJ24">
    <cfRule type="cellIs" dxfId="511" priority="49" operator="equal">
      <formula>0</formula>
    </cfRule>
    <cfRule type="cellIs" dxfId="510" priority="50" operator="notEqual">
      <formula>0</formula>
    </cfRule>
  </conditionalFormatting>
  <conditionalFormatting sqref="U18:U19">
    <cfRule type="cellIs" dxfId="509" priority="47" operator="equal">
      <formula>0</formula>
    </cfRule>
    <cfRule type="cellIs" dxfId="508" priority="48" operator="notEqual">
      <formula>0</formula>
    </cfRule>
  </conditionalFormatting>
  <conditionalFormatting sqref="V18:V19">
    <cfRule type="cellIs" dxfId="507" priority="45" operator="equal">
      <formula>0</formula>
    </cfRule>
    <cfRule type="cellIs" dxfId="506" priority="46" operator="notEqual">
      <formula>0</formula>
    </cfRule>
  </conditionalFormatting>
  <conditionalFormatting sqref="W18:W19">
    <cfRule type="cellIs" dxfId="505" priority="43" operator="equal">
      <formula>0</formula>
    </cfRule>
    <cfRule type="cellIs" dxfId="504" priority="44" operator="notEqual">
      <formula>0</formula>
    </cfRule>
  </conditionalFormatting>
  <conditionalFormatting sqref="X18:X19">
    <cfRule type="cellIs" dxfId="503" priority="41" operator="equal">
      <formula>0</formula>
    </cfRule>
    <cfRule type="cellIs" dxfId="502" priority="42" operator="notEqual">
      <formula>0</formula>
    </cfRule>
  </conditionalFormatting>
  <conditionalFormatting sqref="Y18:Y19">
    <cfRule type="cellIs" dxfId="501" priority="39" operator="equal">
      <formula>0</formula>
    </cfRule>
    <cfRule type="cellIs" dxfId="500" priority="40" operator="notEqual">
      <formula>0</formula>
    </cfRule>
  </conditionalFormatting>
  <conditionalFormatting sqref="Z18:Z19">
    <cfRule type="cellIs" dxfId="499" priority="37" operator="equal">
      <formula>0</formula>
    </cfRule>
    <cfRule type="cellIs" dxfId="498" priority="38" operator="notEqual">
      <formula>0</formula>
    </cfRule>
  </conditionalFormatting>
  <conditionalFormatting sqref="AA18:AA19">
    <cfRule type="cellIs" dxfId="497" priority="35" operator="equal">
      <formula>0</formula>
    </cfRule>
    <cfRule type="cellIs" dxfId="496" priority="36" operator="notEqual">
      <formula>0</formula>
    </cfRule>
  </conditionalFormatting>
  <conditionalFormatting sqref="AB18:AB19">
    <cfRule type="cellIs" dxfId="495" priority="33" operator="equal">
      <formula>0</formula>
    </cfRule>
    <cfRule type="cellIs" dxfId="494" priority="34" operator="notEqual">
      <formula>0</formula>
    </cfRule>
  </conditionalFormatting>
  <conditionalFormatting sqref="AG17">
    <cfRule type="cellIs" dxfId="493" priority="31" operator="equal">
      <formula>0</formula>
    </cfRule>
    <cfRule type="cellIs" dxfId="492" priority="32" operator="notEqual">
      <formula>0</formula>
    </cfRule>
  </conditionalFormatting>
  <conditionalFormatting sqref="AH17">
    <cfRule type="cellIs" dxfId="491" priority="29" operator="equal">
      <formula>0</formula>
    </cfRule>
    <cfRule type="cellIs" dxfId="490" priority="30" operator="notEqual">
      <formula>0</formula>
    </cfRule>
  </conditionalFormatting>
  <conditionalFormatting sqref="AI17">
    <cfRule type="cellIs" dxfId="489" priority="27" operator="equal">
      <formula>0</formula>
    </cfRule>
    <cfRule type="cellIs" dxfId="488" priority="28" operator="notEqual">
      <formula>0</formula>
    </cfRule>
  </conditionalFormatting>
  <conditionalFormatting sqref="AJ17">
    <cfRule type="cellIs" dxfId="487" priority="25" operator="equal">
      <formula>0</formula>
    </cfRule>
    <cfRule type="cellIs" dxfId="486" priority="26" operator="notEqual">
      <formula>0</formula>
    </cfRule>
  </conditionalFormatting>
  <conditionalFormatting sqref="U11:U12">
    <cfRule type="cellIs" dxfId="485" priority="23" operator="equal">
      <formula>0</formula>
    </cfRule>
    <cfRule type="cellIs" dxfId="484" priority="24" operator="notEqual">
      <formula>0</formula>
    </cfRule>
  </conditionalFormatting>
  <conditionalFormatting sqref="V11:V12">
    <cfRule type="cellIs" dxfId="483" priority="21" operator="equal">
      <formula>0</formula>
    </cfRule>
    <cfRule type="cellIs" dxfId="482" priority="22" operator="notEqual">
      <formula>0</formula>
    </cfRule>
  </conditionalFormatting>
  <conditionalFormatting sqref="W11:W12">
    <cfRule type="cellIs" dxfId="481" priority="19" operator="equal">
      <formula>0</formula>
    </cfRule>
    <cfRule type="cellIs" dxfId="480" priority="20" operator="notEqual">
      <formula>0</formula>
    </cfRule>
  </conditionalFormatting>
  <conditionalFormatting sqref="X11:X12">
    <cfRule type="cellIs" dxfId="479" priority="17" operator="equal">
      <formula>0</formula>
    </cfRule>
    <cfRule type="cellIs" dxfId="478" priority="18" operator="notEqual">
      <formula>0</formula>
    </cfRule>
  </conditionalFormatting>
  <conditionalFormatting sqref="Y11:Y12">
    <cfRule type="cellIs" dxfId="477" priority="15" operator="equal">
      <formula>0</formula>
    </cfRule>
    <cfRule type="cellIs" dxfId="476" priority="16" operator="notEqual">
      <formula>0</formula>
    </cfRule>
  </conditionalFormatting>
  <conditionalFormatting sqref="Z11:Z12">
    <cfRule type="cellIs" dxfId="475" priority="13" operator="equal">
      <formula>0</formula>
    </cfRule>
    <cfRule type="cellIs" dxfId="474" priority="14" operator="notEqual">
      <formula>0</formula>
    </cfRule>
  </conditionalFormatting>
  <conditionalFormatting sqref="AA11:AA12">
    <cfRule type="cellIs" dxfId="473" priority="11" operator="equal">
      <formula>0</formula>
    </cfRule>
    <cfRule type="cellIs" dxfId="472" priority="12" operator="notEqual">
      <formula>0</formula>
    </cfRule>
  </conditionalFormatting>
  <conditionalFormatting sqref="AB11:AB12">
    <cfRule type="cellIs" dxfId="471" priority="9" operator="equal">
      <formula>0</formula>
    </cfRule>
    <cfRule type="cellIs" dxfId="470" priority="10" operator="notEqual">
      <formula>0</formula>
    </cfRule>
  </conditionalFormatting>
  <conditionalFormatting sqref="AG10">
    <cfRule type="cellIs" dxfId="469" priority="7" operator="equal">
      <formula>0</formula>
    </cfRule>
    <cfRule type="cellIs" dxfId="468" priority="8" operator="notEqual">
      <formula>0</formula>
    </cfRule>
  </conditionalFormatting>
  <conditionalFormatting sqref="AH10">
    <cfRule type="cellIs" dxfId="467" priority="5" operator="equal">
      <formula>0</formula>
    </cfRule>
    <cfRule type="cellIs" dxfId="466" priority="6" operator="notEqual">
      <formula>0</formula>
    </cfRule>
  </conditionalFormatting>
  <conditionalFormatting sqref="AI10">
    <cfRule type="cellIs" dxfId="465" priority="3" operator="equal">
      <formula>0</formula>
    </cfRule>
    <cfRule type="cellIs" dxfId="464" priority="4" operator="notEqual">
      <formula>0</formula>
    </cfRule>
  </conditionalFormatting>
  <conditionalFormatting sqref="AJ10">
    <cfRule type="cellIs" dxfId="463" priority="1" operator="equal">
      <formula>0</formula>
    </cfRule>
    <cfRule type="cellIs" dxfId="462" priority="2" operator="notEqual">
      <formula>0</formula>
    </cfRule>
  </conditionalFormatting>
  <dataValidations count="1">
    <dataValidation type="list" allowBlank="1" showInputMessage="1" showErrorMessage="1" sqref="B5" xr:uid="{06BFA5DE-4C4E-45B5-8AA6-1CDB4F7763C4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8"/>
  <dimension ref="A1:AX76"/>
  <sheetViews>
    <sheetView showGridLines="0" topLeftCell="D1" zoomScale="70" zoomScaleNormal="70" workbookViewId="0">
      <selection sqref="A1:AX1"/>
    </sheetView>
  </sheetViews>
  <sheetFormatPr baseColWidth="10" defaultColWidth="9.16406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50" ht="101.25" customHeight="1" x14ac:dyDescent="0.15">
      <c r="A1" s="355" t="s">
        <v>1268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  <c r="AB1" s="355"/>
      <c r="AC1" s="355"/>
      <c r="AD1" s="355"/>
      <c r="AE1" s="355"/>
      <c r="AF1" s="355"/>
      <c r="AG1" s="355"/>
      <c r="AH1" s="355"/>
      <c r="AI1" s="355"/>
      <c r="AJ1" s="355"/>
      <c r="AK1" s="355"/>
      <c r="AL1" s="355"/>
      <c r="AM1" s="355"/>
      <c r="AN1" s="355"/>
      <c r="AO1" s="355"/>
      <c r="AP1" s="355"/>
      <c r="AQ1" s="355"/>
      <c r="AR1" s="355"/>
      <c r="AS1" s="355"/>
      <c r="AT1" s="355"/>
      <c r="AU1" s="355"/>
      <c r="AV1" s="355"/>
      <c r="AW1" s="355"/>
      <c r="AX1" s="355"/>
    </row>
    <row r="2" spans="1:50" ht="66" customHeight="1" x14ac:dyDescent="0.15">
      <c r="A2" s="356"/>
      <c r="B2" s="356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Z2" s="356"/>
      <c r="AA2" s="356"/>
      <c r="AB2" s="356"/>
      <c r="AC2" s="356"/>
      <c r="AD2" s="356"/>
      <c r="AE2" s="356"/>
      <c r="AF2" s="356"/>
      <c r="AG2" s="356"/>
      <c r="AH2" s="356"/>
      <c r="AI2" s="356"/>
      <c r="AJ2" s="356"/>
      <c r="AK2" s="356"/>
      <c r="AL2" s="356"/>
      <c r="AM2" s="356"/>
      <c r="AN2" s="356"/>
      <c r="AO2" s="356"/>
      <c r="AP2" s="356"/>
      <c r="AQ2" s="356"/>
      <c r="AR2" s="356"/>
      <c r="AS2" s="356"/>
      <c r="AT2" s="356"/>
      <c r="AU2" s="356"/>
      <c r="AV2" s="356"/>
      <c r="AW2" s="356"/>
      <c r="AX2" s="356"/>
    </row>
    <row r="3" spans="1:50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</row>
    <row r="4" spans="1:50" ht="30" x14ac:dyDescent="0.15">
      <c r="B4" s="40" t="s">
        <v>1133</v>
      </c>
    </row>
    <row r="5" spans="1:50" ht="15" x14ac:dyDescent="0.15">
      <c r="B5" s="61" t="s">
        <v>22</v>
      </c>
      <c r="P5" s="44"/>
    </row>
    <row r="6" spans="1:50" x14ac:dyDescent="0.15">
      <c r="B6" s="53"/>
    </row>
    <row r="8" spans="1:50" ht="44.25" customHeight="1" x14ac:dyDescent="0.15">
      <c r="B8" s="162" t="str">
        <f>HLOOKUP($B$5,Region_Table,2,0)</f>
        <v>Accredited Programmes and Structured Interventions - N07</v>
      </c>
      <c r="C8" s="333" t="s">
        <v>1269</v>
      </c>
      <c r="D8" s="334"/>
      <c r="E8" s="334"/>
      <c r="F8" s="334"/>
      <c r="G8" s="334"/>
      <c r="H8" s="334"/>
      <c r="I8" s="334"/>
      <c r="J8" s="334"/>
      <c r="K8" s="334"/>
      <c r="L8" s="334"/>
      <c r="M8" s="343"/>
      <c r="N8" s="343"/>
      <c r="O8" s="344"/>
      <c r="P8" s="337">
        <f>SUM(SUMIFS('caseload data'!V:V,'caseload data'!B:B,{"licence","community"},'caseload data'!C:C,B8))</f>
        <v>0</v>
      </c>
      <c r="Q8" s="345"/>
      <c r="R8" s="346"/>
      <c r="S8" s="76"/>
      <c r="T8" s="162" t="str">
        <f>HLOOKUP($B$5,Region_Table,3,0)</f>
        <v>All London</v>
      </c>
      <c r="U8" s="333" t="s">
        <v>1269</v>
      </c>
      <c r="V8" s="334"/>
      <c r="W8" s="334"/>
      <c r="X8" s="334"/>
      <c r="Y8" s="334"/>
      <c r="Z8" s="334"/>
      <c r="AA8" s="334"/>
      <c r="AB8" s="334"/>
      <c r="AC8" s="334"/>
      <c r="AD8" s="334"/>
      <c r="AE8" s="343"/>
      <c r="AF8" s="343"/>
      <c r="AG8" s="344"/>
      <c r="AH8" s="337">
        <f>SUM(SUMIFS('caseload data'!V:V,'caseload data'!B:B,{"licence","community"},'caseload data'!C:C,T8))</f>
        <v>0</v>
      </c>
      <c r="AI8" s="345"/>
      <c r="AJ8" s="346"/>
    </row>
    <row r="9" spans="1:50" x14ac:dyDescent="0.15">
      <c r="B9" s="108" t="s">
        <v>1199</v>
      </c>
      <c r="C9" s="42" t="s">
        <v>1019</v>
      </c>
      <c r="D9" s="42" t="s">
        <v>1020</v>
      </c>
      <c r="E9" s="42" t="s">
        <v>1021</v>
      </c>
      <c r="F9" s="42" t="s">
        <v>1022</v>
      </c>
      <c r="G9" s="42" t="s">
        <v>1023</v>
      </c>
      <c r="H9" s="42" t="s">
        <v>1024</v>
      </c>
      <c r="I9" s="42" t="s">
        <v>1025</v>
      </c>
      <c r="J9" s="42" t="s">
        <v>1026</v>
      </c>
      <c r="K9" s="42" t="s">
        <v>1027</v>
      </c>
      <c r="L9" s="42" t="s">
        <v>1028</v>
      </c>
      <c r="M9" s="42" t="s">
        <v>1029</v>
      </c>
      <c r="N9" s="42" t="s">
        <v>1030</v>
      </c>
      <c r="O9" s="42" t="s">
        <v>1031</v>
      </c>
      <c r="P9" s="42" t="s">
        <v>1032</v>
      </c>
      <c r="Q9" s="42" t="s">
        <v>1033</v>
      </c>
      <c r="R9" s="42" t="s">
        <v>1034</v>
      </c>
      <c r="S9" s="76"/>
      <c r="T9" s="108" t="s">
        <v>1199</v>
      </c>
      <c r="U9" s="42" t="s">
        <v>1019</v>
      </c>
      <c r="V9" s="42" t="s">
        <v>1020</v>
      </c>
      <c r="W9" s="42" t="s">
        <v>1021</v>
      </c>
      <c r="X9" s="42" t="s">
        <v>1022</v>
      </c>
      <c r="Y9" s="42" t="s">
        <v>1023</v>
      </c>
      <c r="Z9" s="42" t="s">
        <v>1024</v>
      </c>
      <c r="AA9" s="42" t="s">
        <v>1025</v>
      </c>
      <c r="AB9" s="42" t="s">
        <v>1026</v>
      </c>
      <c r="AC9" s="42" t="s">
        <v>1027</v>
      </c>
      <c r="AD9" s="42" t="s">
        <v>1028</v>
      </c>
      <c r="AE9" s="42" t="s">
        <v>1029</v>
      </c>
      <c r="AF9" s="42" t="s">
        <v>1030</v>
      </c>
      <c r="AG9" s="42" t="s">
        <v>1031</v>
      </c>
      <c r="AH9" s="42" t="s">
        <v>1032</v>
      </c>
      <c r="AI9" s="42" t="s">
        <v>1033</v>
      </c>
      <c r="AJ9" s="42" t="s">
        <v>1034</v>
      </c>
    </row>
    <row r="10" spans="1:50" x14ac:dyDescent="0.15">
      <c r="B10" s="109" t="s">
        <v>1037</v>
      </c>
      <c r="C10" s="187" t="str">
        <f>IFERROR(SUM(SUMIFS('caseload data'!E:E,'caseload data'!$C:$C,'community %'!$B$8,'caseload data'!$D:$D,"PO",'caseload data'!$B:$B,{"licence","community"}))/SUM(SUMIFS('caseload data'!E:E,'caseload data'!$B:$B,{"licence","community"},'caseload data'!$C:$C,'community %'!$B$8)),"")</f>
        <v/>
      </c>
      <c r="D10" s="187" t="str">
        <f>IFERROR(SUM(SUMIFS('caseload data'!F:F,'caseload data'!$C:$C,'community %'!$B$8,'caseload data'!$D:$D,"PO",'caseload data'!$B:$B,{"licence","community"}))/SUM(SUMIFS('caseload data'!F:F,'caseload data'!$B:$B,{"licence","community"},'caseload data'!$C:$C,'community %'!$B$8)),"")</f>
        <v/>
      </c>
      <c r="E10" s="187" t="str">
        <f>IFERROR(SUM(SUMIFS('caseload data'!G:G,'caseload data'!$C:$C,'community %'!$B$8,'caseload data'!$D:$D,"PO",'caseload data'!$B:$B,{"licence","community"}))/SUM(SUMIFS('caseload data'!G:G,'caseload data'!$B:$B,{"licence","community"},'caseload data'!$C:$C,'community %'!$B$8)),"")</f>
        <v/>
      </c>
      <c r="F10" s="187" t="str">
        <f>IFERROR(SUM(SUMIFS('caseload data'!H:H,'caseload data'!$C:$C,'community %'!$B$8,'caseload data'!$D:$D,"PO",'caseload data'!$B:$B,{"licence","community"}))/SUM(SUMIFS('caseload data'!H:H,'caseload data'!$B:$B,{"licence","community"},'caseload data'!$C:$C,'community %'!$B$8)),"")</f>
        <v/>
      </c>
      <c r="G10" s="187" t="str">
        <f>IFERROR(SUM(SUMIFS('caseload data'!I:I,'caseload data'!$C:$C,'community %'!$B$8,'caseload data'!$D:$D,"PO",'caseload data'!$B:$B,{"licence","community"}))/SUM(SUMIFS('caseload data'!I:I,'caseload data'!$B:$B,{"licence","community"},'caseload data'!$C:$C,'community %'!$B$8)),"")</f>
        <v/>
      </c>
      <c r="H10" s="187" t="str">
        <f>IFERROR(SUM(SUMIFS('caseload data'!J:J,'caseload data'!$C:$C,'community %'!$B$8,'caseload data'!$D:$D,"PO",'caseload data'!$B:$B,{"licence","community"}))/SUM(SUMIFS('caseload data'!J:J,'caseload data'!$B:$B,{"licence","community"},'caseload data'!$C:$C,'community %'!$B$8)),"")</f>
        <v/>
      </c>
      <c r="I10" s="187" t="str">
        <f>IFERROR(SUM(SUMIFS('caseload data'!K:K,'caseload data'!$C:$C,'community %'!$B$8,'caseload data'!$D:$D,"PO",'caseload data'!$B:$B,{"licence","community"}))/SUM(SUMIFS('caseload data'!K:K,'caseload data'!$B:$B,{"licence","community"},'caseload data'!$C:$C,'community %'!$B$8)),"")</f>
        <v/>
      </c>
      <c r="J10" s="187" t="str">
        <f>IFERROR(SUM(SUMIFS('caseload data'!L:L,'caseload data'!$C:$C,'community %'!$B$8,'caseload data'!$D:$D,"PO",'caseload data'!$B:$B,{"licence","community"}))/SUM(SUMIFS('caseload data'!L:L,'caseload data'!$B:$B,{"licence","community"},'caseload data'!$C:$C,'community %'!$B$8)),"")</f>
        <v/>
      </c>
      <c r="K10" s="187" t="str">
        <f>IFERROR(SUM(SUMIFS('caseload data'!M:M,'caseload data'!$C:$C,'community %'!$B$8,'caseload data'!$D:$D,"PO",'caseload data'!$B:$B,{"licence","community"}))/SUM(SUMIFS('caseload data'!M:M,'caseload data'!$B:$B,{"licence","community"},'caseload data'!$C:$C,'community %'!$B$8)),"")</f>
        <v/>
      </c>
      <c r="L10" s="187" t="str">
        <f>IFERROR(SUM(SUMIFS('caseload data'!N:N,'caseload data'!$C:$C,'community %'!$B$8,'caseload data'!$D:$D,"PO",'caseload data'!$B:$B,{"licence","community"}))/SUM(SUMIFS('caseload data'!N:N,'caseload data'!$B:$B,{"licence","community"},'caseload data'!$C:$C,'community %'!$B$8)),"")</f>
        <v/>
      </c>
      <c r="M10" s="187" t="str">
        <f>IFERROR(SUM(SUMIFS('caseload data'!O:O,'caseload data'!$C:$C,'community %'!$B$8,'caseload data'!$D:$D,"PO",'caseload data'!$B:$B,{"licence","community"}))/SUM(SUMIFS('caseload data'!O:O,'caseload data'!$B:$B,{"licence","community"},'caseload data'!$C:$C,'community %'!$B$8)),"")</f>
        <v/>
      </c>
      <c r="N10" s="187" t="str">
        <f>IFERROR(SUM(SUMIFS('caseload data'!P:P,'caseload data'!$C:$C,'community %'!$B$8,'caseload data'!$D:$D,"PO",'caseload data'!$B:$B,{"licence","community"}))/SUM(SUMIFS('caseload data'!P:P,'caseload data'!$B:$B,{"licence","community"},'caseload data'!$C:$C,'community %'!$B$8)),"")</f>
        <v/>
      </c>
      <c r="O10" s="187" t="str">
        <f>IFERROR(SUM(SUMIFS('caseload data'!Q:Q,'caseload data'!$C:$C,'community %'!$B$8,'caseload data'!$D:$D,"PO",'caseload data'!$B:$B,{"licence","community"}))/SUM(SUMIFS('caseload data'!Q:Q,'caseload data'!$B:$B,{"licence","community"},'caseload data'!$C:$C,'community %'!$B$8)),"")</f>
        <v/>
      </c>
      <c r="P10" s="187" t="str">
        <f>IFERROR(SUM(SUMIFS('caseload data'!R:R,'caseload data'!$C:$C,'community %'!$B$8,'caseload data'!$D:$D,"PO",'caseload data'!$B:$B,{"licence","community"}))/SUM(SUMIFS('caseload data'!R:R,'caseload data'!$B:$B,{"licence","community"},'caseload data'!$C:$C,'community %'!$B$8)),"")</f>
        <v/>
      </c>
      <c r="Q10" s="187" t="str">
        <f>IFERROR(SUM(SUMIFS('caseload data'!S:S,'caseload data'!$C:$C,'community %'!$B$8,'caseload data'!$D:$D,"PO",'caseload data'!$B:$B,{"licence","community"}))/SUM(SUMIFS('caseload data'!S:S,'caseload data'!$B:$B,{"licence","community"},'caseload data'!$C:$C,'community %'!$B$8)),"")</f>
        <v/>
      </c>
      <c r="R10" s="187" t="str">
        <f>IFERROR(SUM(SUMIFS('caseload data'!T:T,'caseload data'!$C:$C,'community %'!$B$8,'caseload data'!$D:$D,"PO",'caseload data'!$B:$B,{"licence","community"}))/SUM(SUMIFS('caseload data'!T:T,'caseload data'!$B:$B,{"licence","community"},'caseload data'!$C:$C,'community %'!$B$8)),"")</f>
        <v/>
      </c>
      <c r="S10" s="76"/>
      <c r="T10" s="109" t="s">
        <v>1037</v>
      </c>
      <c r="U10" s="187" t="str">
        <f>IFERROR(SUM(SUMIFS('caseload data'!E:E,'caseload data'!$C:$C,'community %'!$T$8,'caseload data'!$D:$D,"PO",'caseload data'!$B:$B,{"licence","community"}))/SUM(SUMIFS('caseload data'!E:E,'caseload data'!$B:$B,{"licence","community"},'caseload data'!$C:$C,'community %'!$T$8)),"")</f>
        <v/>
      </c>
      <c r="V10" s="187" t="str">
        <f>IFERROR(SUM(SUMIFS('caseload data'!F:F,'caseload data'!$C:$C,'community %'!$T$8,'caseload data'!$D:$D,"PO",'caseload data'!$B:$B,{"licence","community"}))/SUM(SUMIFS('caseload data'!F:F,'caseload data'!$B:$B,{"licence","community"},'caseload data'!$C:$C,'community %'!$T$8)),"")</f>
        <v/>
      </c>
      <c r="W10" s="187" t="str">
        <f>IFERROR(SUM(SUMIFS('caseload data'!G:G,'caseload data'!$C:$C,'community %'!$T$8,'caseload data'!$D:$D,"PO",'caseload data'!$B:$B,{"licence","community"}))/SUM(SUMIFS('caseload data'!G:G,'caseload data'!$B:$B,{"licence","community"},'caseload data'!$C:$C,'community %'!$T$8)),"")</f>
        <v/>
      </c>
      <c r="X10" s="187" t="str">
        <f>IFERROR(SUM(SUMIFS('caseload data'!H:H,'caseload data'!$C:$C,'community %'!$T$8,'caseload data'!$D:$D,"PO",'caseload data'!$B:$B,{"licence","community"}))/SUM(SUMIFS('caseload data'!H:H,'caseload data'!$B:$B,{"licence","community"},'caseload data'!$C:$C,'community %'!$T$8)),"")</f>
        <v/>
      </c>
      <c r="Y10" s="187" t="str">
        <f>IFERROR(SUM(SUMIFS('caseload data'!I:I,'caseload data'!$C:$C,'community %'!$T$8,'caseload data'!$D:$D,"PO",'caseload data'!$B:$B,{"licence","community"}))/SUM(SUMIFS('caseload data'!I:I,'caseload data'!$B:$B,{"licence","community"},'caseload data'!$C:$C,'community %'!$T$8)),"")</f>
        <v/>
      </c>
      <c r="Z10" s="187" t="str">
        <f>IFERROR(SUM(SUMIFS('caseload data'!J:J,'caseload data'!$C:$C,'community %'!$T$8,'caseload data'!$D:$D,"PO",'caseload data'!$B:$B,{"licence","community"}))/SUM(SUMIFS('caseload data'!J:J,'caseload data'!$B:$B,{"licence","community"},'caseload data'!$C:$C,'community %'!$T$8)),"")</f>
        <v/>
      </c>
      <c r="AA10" s="187" t="str">
        <f>IFERROR(SUM(SUMIFS('caseload data'!K:K,'caseload data'!$C:$C,'community %'!$T$8,'caseload data'!$D:$D,"PO",'caseload data'!$B:$B,{"licence","community"}))/SUM(SUMIFS('caseload data'!K:K,'caseload data'!$B:$B,{"licence","community"},'caseload data'!$C:$C,'community %'!$T$8)),"")</f>
        <v/>
      </c>
      <c r="AB10" s="187" t="str">
        <f>IFERROR(SUM(SUMIFS('caseload data'!L:L,'caseload data'!$C:$C,'community %'!$T$8,'caseload data'!$D:$D,"PO",'caseload data'!$B:$B,{"licence","community"}))/SUM(SUMIFS('caseload data'!L:L,'caseload data'!$B:$B,{"licence","community"},'caseload data'!$C:$C,'community %'!$T$8)),"")</f>
        <v/>
      </c>
      <c r="AC10" s="187" t="str">
        <f>IFERROR(SUM(SUMIFS('caseload data'!M:M,'caseload data'!$C:$C,'community %'!$T$8,'caseload data'!$D:$D,"PO",'caseload data'!$B:$B,{"licence","community"}))/SUM(SUMIFS('caseload data'!M:M,'caseload data'!$B:$B,{"licence","community"},'caseload data'!$C:$C,'community %'!$T$8)),"")</f>
        <v/>
      </c>
      <c r="AD10" s="187" t="str">
        <f>IFERROR(SUM(SUMIFS('caseload data'!N:N,'caseload data'!$C:$C,'community %'!$T$8,'caseload data'!$D:$D,"PO",'caseload data'!$B:$B,{"licence","community"}))/SUM(SUMIFS('caseload data'!N:N,'caseload data'!$B:$B,{"licence","community"},'caseload data'!$C:$C,'community %'!$T$8)),"")</f>
        <v/>
      </c>
      <c r="AE10" s="187" t="str">
        <f>IFERROR(SUM(SUMIFS('caseload data'!O:O,'caseload data'!$C:$C,'community %'!$T$8,'caseload data'!$D:$D,"PO",'caseload data'!$B:$B,{"licence","community"}))/SUM(SUMIFS('caseload data'!O:O,'caseload data'!$B:$B,{"licence","community"},'caseload data'!$C:$C,'community %'!$T$8)),"")</f>
        <v/>
      </c>
      <c r="AF10" s="187" t="str">
        <f>IFERROR(SUM(SUMIFS('caseload data'!P:P,'caseload data'!$C:$C,'community %'!$T$8,'caseload data'!$D:$D,"PO",'caseload data'!$B:$B,{"licence","community"}))/SUM(SUMIFS('caseload data'!P:P,'caseload data'!$B:$B,{"licence","community"},'caseload data'!$C:$C,'community %'!$T$8)),"")</f>
        <v/>
      </c>
      <c r="AG10" s="187" t="str">
        <f>IFERROR(SUM(SUMIFS('caseload data'!Q:Q,'caseload data'!$C:$C,'community %'!$T$8,'caseload data'!$D:$D,"PO",'caseload data'!$B:$B,{"licence","community"}))/SUM(SUMIFS('caseload data'!Q:Q,'caseload data'!$B:$B,{"licence","community"},'caseload data'!$C:$C,'community %'!$T$8)),"")</f>
        <v/>
      </c>
      <c r="AH10" s="187" t="str">
        <f>IFERROR(SUM(SUMIFS('caseload data'!R:R,'caseload data'!$C:$C,'community %'!$T$8,'caseload data'!$D:$D,"PO",'caseload data'!$B:$B,{"licence","community"}))/SUM(SUMIFS('caseload data'!R:R,'caseload data'!$B:$B,{"licence","community"},'caseload data'!$C:$C,'community %'!$T$8)),"")</f>
        <v/>
      </c>
      <c r="AI10" s="187" t="str">
        <f>IFERROR(SUM(SUMIFS('caseload data'!S:S,'caseload data'!$C:$C,'community %'!$T$8,'caseload data'!$D:$D,"PO",'caseload data'!$B:$B,{"licence","community"}))/SUM(SUMIFS('caseload data'!S:S,'caseload data'!$B:$B,{"licence","community"},'caseload data'!$C:$C,'community %'!$T$8)),"")</f>
        <v/>
      </c>
      <c r="AJ10" s="187" t="str">
        <f>IFERROR(SUM(SUMIFS('caseload data'!T:T,'caseload data'!$C:$C,'community %'!$T$8,'caseload data'!$D:$D,"PO",'caseload data'!$B:$B,{"licence","community"}))/SUM(SUMIFS('caseload data'!T:T,'caseload data'!$B:$B,{"licence","community"},'caseload data'!$C:$C,'community %'!$T$8)),"")</f>
        <v/>
      </c>
    </row>
    <row r="11" spans="1:50" x14ac:dyDescent="0.15">
      <c r="B11" s="110" t="s">
        <v>1038</v>
      </c>
      <c r="C11" s="187" t="str">
        <f>IFERROR(SUM(SUMIFS('caseload data'!E:E,'caseload data'!$C:$C,'community %'!$B$8,'caseload data'!$D:$D,"PSO",'caseload data'!$B:$B,{"licence","community"}))/SUM(SUMIFS('caseload data'!E:E,'caseload data'!$B:$B,{"licence","community"},'caseload data'!$C:$C,'community %'!$B$8)),"")</f>
        <v/>
      </c>
      <c r="D11" s="187" t="str">
        <f>IFERROR(SUM(SUMIFS('caseload data'!F:F,'caseload data'!$C:$C,'community %'!$B$8,'caseload data'!$D:$D,"PSO",'caseload data'!$B:$B,{"licence","community"}))/SUM(SUMIFS('caseload data'!F:F,'caseload data'!$B:$B,{"licence","community"},'caseload data'!$C:$C,'community %'!$B$8)),"")</f>
        <v/>
      </c>
      <c r="E11" s="187" t="str">
        <f>IFERROR(SUM(SUMIFS('caseload data'!G:G,'caseload data'!$C:$C,'community %'!$B$8,'caseload data'!$D:$D,"PSO",'caseload data'!$B:$B,{"licence","community"}))/SUM(SUMIFS('caseload data'!G:G,'caseload data'!$B:$B,{"licence","community"},'caseload data'!$C:$C,'community %'!$B$8)),"")</f>
        <v/>
      </c>
      <c r="F11" s="187" t="str">
        <f>IFERROR(SUM(SUMIFS('caseload data'!H:H,'caseload data'!$C:$C,'community %'!$B$8,'caseload data'!$D:$D,"PSO",'caseload data'!$B:$B,{"licence","community"}))/SUM(SUMIFS('caseload data'!H:H,'caseload data'!$B:$B,{"licence","community"},'caseload data'!$C:$C,'community %'!$B$8)),"")</f>
        <v/>
      </c>
      <c r="G11" s="187" t="str">
        <f>IFERROR(SUM(SUMIFS('caseload data'!I:I,'caseload data'!$C:$C,'community %'!$B$8,'caseload data'!$D:$D,"PSO",'caseload data'!$B:$B,{"licence","community"}))/SUM(SUMIFS('caseload data'!I:I,'caseload data'!$B:$B,{"licence","community"},'caseload data'!$C:$C,'community %'!$B$8)),"")</f>
        <v/>
      </c>
      <c r="H11" s="187" t="str">
        <f>IFERROR(SUM(SUMIFS('caseload data'!J:J,'caseload data'!$C:$C,'community %'!$B$8,'caseload data'!$D:$D,"PSO",'caseload data'!$B:$B,{"licence","community"}))/SUM(SUMIFS('caseload data'!J:J,'caseload data'!$B:$B,{"licence","community"},'caseload data'!$C:$C,'community %'!$B$8)),"")</f>
        <v/>
      </c>
      <c r="I11" s="187" t="str">
        <f>IFERROR(SUM(SUMIFS('caseload data'!K:K,'caseload data'!$C:$C,'community %'!$B$8,'caseload data'!$D:$D,"PSO",'caseload data'!$B:$B,{"licence","community"}))/SUM(SUMIFS('caseload data'!K:K,'caseload data'!$B:$B,{"licence","community"},'caseload data'!$C:$C,'community %'!$B$8)),"")</f>
        <v/>
      </c>
      <c r="J11" s="187" t="str">
        <f>IFERROR(SUM(SUMIFS('caseload data'!L:L,'caseload data'!$C:$C,'community %'!$B$8,'caseload data'!$D:$D,"PSO",'caseload data'!$B:$B,{"licence","community"}))/SUM(SUMIFS('caseload data'!L:L,'caseload data'!$B:$B,{"licence","community"},'caseload data'!$C:$C,'community %'!$B$8)),"")</f>
        <v/>
      </c>
      <c r="K11" s="187" t="str">
        <f>IFERROR(SUM(SUMIFS('caseload data'!M:M,'caseload data'!$C:$C,'community %'!$B$8,'caseload data'!$D:$D,"PSO",'caseload data'!$B:$B,{"licence","community"}))/SUM(SUMIFS('caseload data'!M:M,'caseload data'!$B:$B,{"licence","community"},'caseload data'!$C:$C,'community %'!$B$8)),"")</f>
        <v/>
      </c>
      <c r="L11" s="187" t="str">
        <f>IFERROR(SUM(SUMIFS('caseload data'!N:N,'caseload data'!$C:$C,'community %'!$B$8,'caseload data'!$D:$D,"PSO",'caseload data'!$B:$B,{"licence","community"}))/SUM(SUMIFS('caseload data'!N:N,'caseload data'!$B:$B,{"licence","community"},'caseload data'!$C:$C,'community %'!$B$8)),"")</f>
        <v/>
      </c>
      <c r="M11" s="187" t="str">
        <f>IFERROR(SUM(SUMIFS('caseload data'!O:O,'caseload data'!$C:$C,'community %'!$B$8,'caseload data'!$D:$D,"PSO",'caseload data'!$B:$B,{"licence","community"}))/SUM(SUMIFS('caseload data'!O:O,'caseload data'!$B:$B,{"licence","community"},'caseload data'!$C:$C,'community %'!$B$8)),"")</f>
        <v/>
      </c>
      <c r="N11" s="187" t="str">
        <f>IFERROR(SUM(SUMIFS('caseload data'!P:P,'caseload data'!$C:$C,'community %'!$B$8,'caseload data'!$D:$D,"PSO",'caseload data'!$B:$B,{"licence","community"}))/SUM(SUMIFS('caseload data'!P:P,'caseload data'!$B:$B,{"licence","community"},'caseload data'!$C:$C,'community %'!$B$8)),"")</f>
        <v/>
      </c>
      <c r="O11" s="187" t="str">
        <f>IFERROR(SUM(SUMIFS('caseload data'!Q:Q,'caseload data'!$C:$C,'community %'!$B$8,'caseload data'!$D:$D,"PSO",'caseload data'!$B:$B,{"licence","community"}))/SUM(SUMIFS('caseload data'!Q:Q,'caseload data'!$B:$B,{"licence","community"},'caseload data'!$C:$C,'community %'!$B$8)),"")</f>
        <v/>
      </c>
      <c r="P11" s="187" t="str">
        <f>IFERROR(SUM(SUMIFS('caseload data'!R:R,'caseload data'!$C:$C,'community %'!$B$8,'caseload data'!$D:$D,"PSO",'caseload data'!$B:$B,{"licence","community"}))/SUM(SUMIFS('caseload data'!R:R,'caseload data'!$B:$B,{"licence","community"},'caseload data'!$C:$C,'community %'!$B$8)),"")</f>
        <v/>
      </c>
      <c r="Q11" s="187" t="str">
        <f>IFERROR(SUM(SUMIFS('caseload data'!S:S,'caseload data'!$C:$C,'community %'!$B$8,'caseload data'!$D:$D,"PSO",'caseload data'!$B:$B,{"licence","community"}))/SUM(SUMIFS('caseload data'!S:S,'caseload data'!$B:$B,{"licence","community"},'caseload data'!$C:$C,'community %'!$B$8)),"")</f>
        <v/>
      </c>
      <c r="R11" s="187" t="str">
        <f>IFERROR(SUM(SUMIFS('caseload data'!T:T,'caseload data'!$C:$C,'community %'!$B$8,'caseload data'!$D:$D,"PSO",'caseload data'!$B:$B,{"licence","community"}))/SUM(SUMIFS('caseload data'!T:T,'caseload data'!$B:$B,{"licence","community"},'caseload data'!$C:$C,'community %'!$B$8)),"")</f>
        <v/>
      </c>
      <c r="S11" s="76"/>
      <c r="T11" s="110" t="s">
        <v>1038</v>
      </c>
      <c r="U11" s="187" t="str">
        <f>IFERROR(SUM(SUMIFS('caseload data'!E:E,'caseload data'!$C:$C,'community %'!$T$8,'caseload data'!$D:$D,"PSO",'caseload data'!$B:$B,{"licence","community"}))/SUM(SUMIFS('caseload data'!E:E,'caseload data'!$B:$B,{"licence","community"},'caseload data'!$C:$C,'community %'!$T$8)),"")</f>
        <v/>
      </c>
      <c r="V11" s="187" t="str">
        <f>IFERROR(SUM(SUMIFS('caseload data'!F:F,'caseload data'!$C:$C,'community %'!$T$8,'caseload data'!$D:$D,"PSO",'caseload data'!$B:$B,{"licence","community"}))/SUM(SUMIFS('caseload data'!F:F,'caseload data'!$B:$B,{"licence","community"},'caseload data'!$C:$C,'community %'!$T$8)),"")</f>
        <v/>
      </c>
      <c r="W11" s="187" t="str">
        <f>IFERROR(SUM(SUMIFS('caseload data'!G:G,'caseload data'!$C:$C,'community %'!$T$8,'caseload data'!$D:$D,"PSO",'caseload data'!$B:$B,{"licence","community"}))/SUM(SUMIFS('caseload data'!G:G,'caseload data'!$B:$B,{"licence","community"},'caseload data'!$C:$C,'community %'!$T$8)),"")</f>
        <v/>
      </c>
      <c r="X11" s="187" t="str">
        <f>IFERROR(SUM(SUMIFS('caseload data'!H:H,'caseload data'!$C:$C,'community %'!$T$8,'caseload data'!$D:$D,"PSO",'caseload data'!$B:$B,{"licence","community"}))/SUM(SUMIFS('caseload data'!H:H,'caseload data'!$B:$B,{"licence","community"},'caseload data'!$C:$C,'community %'!$T$8)),"")</f>
        <v/>
      </c>
      <c r="Y11" s="187" t="str">
        <f>IFERROR(SUM(SUMIFS('caseload data'!I:I,'caseload data'!$C:$C,'community %'!$T$8,'caseload data'!$D:$D,"PSO",'caseload data'!$B:$B,{"licence","community"}))/SUM(SUMIFS('caseload data'!I:I,'caseload data'!$B:$B,{"licence","community"},'caseload data'!$C:$C,'community %'!$T$8)),"")</f>
        <v/>
      </c>
      <c r="Z11" s="187" t="str">
        <f>IFERROR(SUM(SUMIFS('caseload data'!J:J,'caseload data'!$C:$C,'community %'!$T$8,'caseload data'!$D:$D,"PSO",'caseload data'!$B:$B,{"licence","community"}))/SUM(SUMIFS('caseload data'!J:J,'caseload data'!$B:$B,{"licence","community"},'caseload data'!$C:$C,'community %'!$T$8)),"")</f>
        <v/>
      </c>
      <c r="AA11" s="187" t="str">
        <f>IFERROR(SUM(SUMIFS('caseload data'!K:K,'caseload data'!$C:$C,'community %'!$T$8,'caseload data'!$D:$D,"PSO",'caseload data'!$B:$B,{"licence","community"}))/SUM(SUMIFS('caseload data'!K:K,'caseload data'!$B:$B,{"licence","community"},'caseload data'!$C:$C,'community %'!$T$8)),"")</f>
        <v/>
      </c>
      <c r="AB11" s="187" t="str">
        <f>IFERROR(SUM(SUMIFS('caseload data'!L:L,'caseload data'!$C:$C,'community %'!$T$8,'caseload data'!$D:$D,"PSO",'caseload data'!$B:$B,{"licence","community"}))/SUM(SUMIFS('caseload data'!L:L,'caseload data'!$B:$B,{"licence","community"},'caseload data'!$C:$C,'community %'!$T$8)),"")</f>
        <v/>
      </c>
      <c r="AC11" s="187" t="str">
        <f>IFERROR(SUM(SUMIFS('caseload data'!M:M,'caseload data'!$C:$C,'community %'!$T$8,'caseload data'!$D:$D,"PSO",'caseload data'!$B:$B,{"licence","community"}))/SUM(SUMIFS('caseload data'!M:M,'caseload data'!$B:$B,{"licence","community"},'caseload data'!$C:$C,'community %'!$T$8)),"")</f>
        <v/>
      </c>
      <c r="AD11" s="187" t="str">
        <f>IFERROR(SUM(SUMIFS('caseload data'!N:N,'caseload data'!$C:$C,'community %'!$T$8,'caseload data'!$D:$D,"PSO",'caseload data'!$B:$B,{"licence","community"}))/SUM(SUMIFS('caseload data'!N:N,'caseload data'!$B:$B,{"licence","community"},'caseload data'!$C:$C,'community %'!$T$8)),"")</f>
        <v/>
      </c>
      <c r="AE11" s="187" t="str">
        <f>IFERROR(SUM(SUMIFS('caseload data'!O:O,'caseload data'!$C:$C,'community %'!$T$8,'caseload data'!$D:$D,"PSO",'caseload data'!$B:$B,{"licence","community"}))/SUM(SUMIFS('caseload data'!O:O,'caseload data'!$B:$B,{"licence","community"},'caseload data'!$C:$C,'community %'!$T$8)),"")</f>
        <v/>
      </c>
      <c r="AF11" s="187" t="str">
        <f>IFERROR(SUM(SUMIFS('caseload data'!P:P,'caseload data'!$C:$C,'community %'!$T$8,'caseload data'!$D:$D,"PSO",'caseload data'!$B:$B,{"licence","community"}))/SUM(SUMIFS('caseload data'!P:P,'caseload data'!$B:$B,{"licence","community"},'caseload data'!$C:$C,'community %'!$T$8)),"")</f>
        <v/>
      </c>
      <c r="AG11" s="187" t="str">
        <f>IFERROR(SUM(SUMIFS('caseload data'!Q:Q,'caseload data'!$C:$C,'community %'!$T$8,'caseload data'!$D:$D,"PSO",'caseload data'!$B:$B,{"licence","community"}))/SUM(SUMIFS('caseload data'!Q:Q,'caseload data'!$B:$B,{"licence","community"},'caseload data'!$C:$C,'community %'!$T$8)),"")</f>
        <v/>
      </c>
      <c r="AH11" s="187" t="str">
        <f>IFERROR(SUM(SUMIFS('caseload data'!R:R,'caseload data'!$C:$C,'community %'!$T$8,'caseload data'!$D:$D,"PSO",'caseload data'!$B:$B,{"licence","community"}))/SUM(SUMIFS('caseload data'!R:R,'caseload data'!$B:$B,{"licence","community"},'caseload data'!$C:$C,'community %'!$T$8)),"")</f>
        <v/>
      </c>
      <c r="AI11" s="187" t="str">
        <f>IFERROR(SUM(SUMIFS('caseload data'!S:S,'caseload data'!$C:$C,'community %'!$T$8,'caseload data'!$D:$D,"PSO",'caseload data'!$B:$B,{"licence","community"}))/SUM(SUMIFS('caseload data'!S:S,'caseload data'!$B:$B,{"licence","community"},'caseload data'!$C:$C,'community %'!$T$8)),"")</f>
        <v/>
      </c>
      <c r="AJ11" s="187" t="str">
        <f>IFERROR(SUM(SUMIFS('caseload data'!T:T,'caseload data'!$C:$C,'community %'!$T$8,'caseload data'!$D:$D,"PSO",'caseload data'!$B:$B,{"licence","community"}))/SUM(SUMIFS('caseload data'!T:T,'caseload data'!$B:$B,{"licence","community"},'caseload data'!$C:$C,'community %'!$T$8)),"")</f>
        <v/>
      </c>
    </row>
    <row r="12" spans="1:50" x14ac:dyDescent="0.15">
      <c r="B12" s="110" t="s">
        <v>1039</v>
      </c>
      <c r="C12" s="187" t="str">
        <f>IFERROR(SUM(SUMIFS('caseload data'!E:E,'caseload data'!$C:$C,'community %'!$B$8,'caseload data'!$D:$D,"TPO",'caseload data'!$B:$B,{"licence","community"}))/SUM(SUMIFS('caseload data'!E:E,'caseload data'!$B:$B,{"licence","community"},'caseload data'!$C:$C,'community %'!$B$8)),"")</f>
        <v/>
      </c>
      <c r="D12" s="187" t="str">
        <f>IFERROR(SUM(SUMIFS('caseload data'!F:F,'caseload data'!$C:$C,'community %'!$B$8,'caseload data'!$D:$D,"TPO",'caseload data'!$B:$B,{"licence","community"}))/SUM(SUMIFS('caseload data'!F:F,'caseload data'!$B:$B,{"licence","community"},'caseload data'!$C:$C,'community %'!$B$8)),"")</f>
        <v/>
      </c>
      <c r="E12" s="187" t="str">
        <f>IFERROR(SUM(SUMIFS('caseload data'!G:G,'caseload data'!$C:$C,'community %'!$B$8,'caseload data'!$D:$D,"TPO",'caseload data'!$B:$B,{"licence","community"}))/SUM(SUMIFS('caseload data'!G:G,'caseload data'!$B:$B,{"licence","community"},'caseload data'!$C:$C,'community %'!$B$8)),"")</f>
        <v/>
      </c>
      <c r="F12" s="187" t="str">
        <f>IFERROR(SUM(SUMIFS('caseload data'!H:H,'caseload data'!$C:$C,'community %'!$B$8,'caseload data'!$D:$D,"TPO",'caseload data'!$B:$B,{"licence","community"}))/SUM(SUMIFS('caseload data'!H:H,'caseload data'!$B:$B,{"licence","community"},'caseload data'!$C:$C,'community %'!$B$8)),"")</f>
        <v/>
      </c>
      <c r="G12" s="187" t="str">
        <f>IFERROR(SUM(SUMIFS('caseload data'!I:I,'caseload data'!$C:$C,'community %'!$B$8,'caseload data'!$D:$D,"TPO",'caseload data'!$B:$B,{"licence","community"}))/SUM(SUMIFS('caseload data'!I:I,'caseload data'!$B:$B,{"licence","community"},'caseload data'!$C:$C,'community %'!$B$8)),"")</f>
        <v/>
      </c>
      <c r="H12" s="187" t="str">
        <f>IFERROR(SUM(SUMIFS('caseload data'!J:J,'caseload data'!$C:$C,'community %'!$B$8,'caseload data'!$D:$D,"TPO",'caseload data'!$B:$B,{"licence","community"}))/SUM(SUMIFS('caseload data'!J:J,'caseload data'!$B:$B,{"licence","community"},'caseload data'!$C:$C,'community %'!$B$8)),"")</f>
        <v/>
      </c>
      <c r="I12" s="187" t="str">
        <f>IFERROR(SUM(SUMIFS('caseload data'!K:K,'caseload data'!$C:$C,'community %'!$B$8,'caseload data'!$D:$D,"TPO",'caseload data'!$B:$B,{"licence","community"}))/SUM(SUMIFS('caseload data'!K:K,'caseload data'!$B:$B,{"licence","community"},'caseload data'!$C:$C,'community %'!$B$8)),"")</f>
        <v/>
      </c>
      <c r="J12" s="187" t="str">
        <f>IFERROR(SUM(SUMIFS('caseload data'!L:L,'caseload data'!$C:$C,'community %'!$B$8,'caseload data'!$D:$D,"TPO",'caseload data'!$B:$B,{"licence","community"}))/SUM(SUMIFS('caseload data'!L:L,'caseload data'!$B:$B,{"licence","community"},'caseload data'!$C:$C,'community %'!$B$8)),"")</f>
        <v/>
      </c>
      <c r="K12" s="187" t="str">
        <f>IFERROR(SUM(SUMIFS('caseload data'!M:M,'caseload data'!$C:$C,'community %'!$B$8,'caseload data'!$D:$D,"TPO",'caseload data'!$B:$B,{"licence","community"}))/SUM(SUMIFS('caseload data'!M:M,'caseload data'!$B:$B,{"licence","community"},'caseload data'!$C:$C,'community %'!$B$8)),"")</f>
        <v/>
      </c>
      <c r="L12" s="187" t="str">
        <f>IFERROR(SUM(SUMIFS('caseload data'!N:N,'caseload data'!$C:$C,'community %'!$B$8,'caseload data'!$D:$D,"TPO",'caseload data'!$B:$B,{"licence","community"}))/SUM(SUMIFS('caseload data'!N:N,'caseload data'!$B:$B,{"licence","community"},'caseload data'!$C:$C,'community %'!$B$8)),"")</f>
        <v/>
      </c>
      <c r="M12" s="187" t="str">
        <f>IFERROR(SUM(SUMIFS('caseload data'!O:O,'caseload data'!$C:$C,'community %'!$B$8,'caseload data'!$D:$D,"TPO",'caseload data'!$B:$B,{"licence","community"}))/SUM(SUMIFS('caseload data'!O:O,'caseload data'!$B:$B,{"licence","community"},'caseload data'!$C:$C,'community %'!$B$8)),"")</f>
        <v/>
      </c>
      <c r="N12" s="187" t="str">
        <f>IFERROR(SUM(SUMIFS('caseload data'!P:P,'caseload data'!$C:$C,'community %'!$B$8,'caseload data'!$D:$D,"TPO",'caseload data'!$B:$B,{"licence","community"}))/SUM(SUMIFS('caseload data'!P:P,'caseload data'!$B:$B,{"licence","community"},'caseload data'!$C:$C,'community %'!$B$8)),"")</f>
        <v/>
      </c>
      <c r="O12" s="187" t="str">
        <f>IFERROR(SUM(SUMIFS('caseload data'!Q:Q,'caseload data'!$C:$C,'community %'!$B$8,'caseload data'!$D:$D,"TPO",'caseload data'!$B:$B,{"licence","community"}))/SUM(SUMIFS('caseload data'!Q:Q,'caseload data'!$B:$B,{"licence","community"},'caseload data'!$C:$C,'community %'!$B$8)),"")</f>
        <v/>
      </c>
      <c r="P12" s="187" t="str">
        <f>IFERROR(SUM(SUMIFS('caseload data'!R:R,'caseload data'!$C:$C,'community %'!$B$8,'caseload data'!$D:$D,"TPO",'caseload data'!$B:$B,{"licence","community"}))/SUM(SUMIFS('caseload data'!R:R,'caseload data'!$B:$B,{"licence","community"},'caseload data'!$C:$C,'community %'!$B$8)),"")</f>
        <v/>
      </c>
      <c r="Q12" s="187" t="str">
        <f>IFERROR(SUM(SUMIFS('caseload data'!S:S,'caseload data'!$C:$C,'community %'!$B$8,'caseload data'!$D:$D,"TPO",'caseload data'!$B:$B,{"licence","community"}))/SUM(SUMIFS('caseload data'!S:S,'caseload data'!$B:$B,{"licence","community"},'caseload data'!$C:$C,'community %'!$B$8)),"")</f>
        <v/>
      </c>
      <c r="R12" s="187" t="str">
        <f>IFERROR(SUM(SUMIFS('caseload data'!T:T,'caseload data'!$C:$C,'community %'!$B$8,'caseload data'!$D:$D,"TPO",'caseload data'!$B:$B,{"licence","community"}))/SUM(SUMIFS('caseload data'!T:T,'caseload data'!$B:$B,{"licence","community"},'caseload data'!$C:$C,'community %'!$B$8)),"")</f>
        <v/>
      </c>
      <c r="S12" s="76"/>
      <c r="T12" s="110" t="s">
        <v>1039</v>
      </c>
      <c r="U12" s="187" t="str">
        <f>IFERROR(SUM(SUMIFS('caseload data'!E:E,'caseload data'!$C:$C,'community %'!$T$8,'caseload data'!$D:$D,"TPO",'caseload data'!$B:$B,{"licence","community"}))/SUM(SUMIFS('caseload data'!E:E,'caseload data'!$B:$B,{"licence","community"},'caseload data'!$C:$C,'community %'!$T$8)),"")</f>
        <v/>
      </c>
      <c r="V12" s="187" t="str">
        <f>IFERROR(SUM(SUMIFS('caseload data'!F:F,'caseload data'!$C:$C,'community %'!$T$8,'caseload data'!$D:$D,"TPO",'caseload data'!$B:$B,{"licence","community"}))/SUM(SUMIFS('caseload data'!F:F,'caseload data'!$B:$B,{"licence","community"},'caseload data'!$C:$C,'community %'!$T$8)),"")</f>
        <v/>
      </c>
      <c r="W12" s="187" t="str">
        <f>IFERROR(SUM(SUMIFS('caseload data'!G:G,'caseload data'!$C:$C,'community %'!$T$8,'caseload data'!$D:$D,"TPO",'caseload data'!$B:$B,{"licence","community"}))/SUM(SUMIFS('caseload data'!G:G,'caseload data'!$B:$B,{"licence","community"},'caseload data'!$C:$C,'community %'!$T$8)),"")</f>
        <v/>
      </c>
      <c r="X12" s="187" t="str">
        <f>IFERROR(SUM(SUMIFS('caseload data'!H:H,'caseload data'!$C:$C,'community %'!$T$8,'caseload data'!$D:$D,"TPO",'caseload data'!$B:$B,{"licence","community"}))/SUM(SUMIFS('caseload data'!H:H,'caseload data'!$B:$B,{"licence","community"},'caseload data'!$C:$C,'community %'!$T$8)),"")</f>
        <v/>
      </c>
      <c r="Y12" s="187" t="str">
        <f>IFERROR(SUM(SUMIFS('caseload data'!I:I,'caseload data'!$C:$C,'community %'!$T$8,'caseload data'!$D:$D,"TPO",'caseload data'!$B:$B,{"licence","community"}))/SUM(SUMIFS('caseload data'!I:I,'caseload data'!$B:$B,{"licence","community"},'caseload data'!$C:$C,'community %'!$T$8)),"")</f>
        <v/>
      </c>
      <c r="Z12" s="187" t="str">
        <f>IFERROR(SUM(SUMIFS('caseload data'!J:J,'caseload data'!$C:$C,'community %'!$T$8,'caseload data'!$D:$D,"TPO",'caseload data'!$B:$B,{"licence","community"}))/SUM(SUMIFS('caseload data'!J:J,'caseload data'!$B:$B,{"licence","community"},'caseload data'!$C:$C,'community %'!$T$8)),"")</f>
        <v/>
      </c>
      <c r="AA12" s="187" t="str">
        <f>IFERROR(SUM(SUMIFS('caseload data'!K:K,'caseload data'!$C:$C,'community %'!$T$8,'caseload data'!$D:$D,"TPO",'caseload data'!$B:$B,{"licence","community"}))/SUM(SUMIFS('caseload data'!K:K,'caseload data'!$B:$B,{"licence","community"},'caseload data'!$C:$C,'community %'!$T$8)),"")</f>
        <v/>
      </c>
      <c r="AB12" s="187" t="str">
        <f>IFERROR(SUM(SUMIFS('caseload data'!L:L,'caseload data'!$C:$C,'community %'!$T$8,'caseload data'!$D:$D,"TPO",'caseload data'!$B:$B,{"licence","community"}))/SUM(SUMIFS('caseload data'!L:L,'caseload data'!$B:$B,{"licence","community"},'caseload data'!$C:$C,'community %'!$T$8)),"")</f>
        <v/>
      </c>
      <c r="AC12" s="187" t="str">
        <f>IFERROR(SUM(SUMIFS('caseload data'!M:M,'caseload data'!$C:$C,'community %'!$T$8,'caseload data'!$D:$D,"TPO",'caseload data'!$B:$B,{"licence","community"}))/SUM(SUMIFS('caseload data'!M:M,'caseload data'!$B:$B,{"licence","community"},'caseload data'!$C:$C,'community %'!$T$8)),"")</f>
        <v/>
      </c>
      <c r="AD12" s="187" t="str">
        <f>IFERROR(SUM(SUMIFS('caseload data'!N:N,'caseload data'!$C:$C,'community %'!$T$8,'caseload data'!$D:$D,"TPO",'caseload data'!$B:$B,{"licence","community"}))/SUM(SUMIFS('caseload data'!N:N,'caseload data'!$B:$B,{"licence","community"},'caseload data'!$C:$C,'community %'!$T$8)),"")</f>
        <v/>
      </c>
      <c r="AE12" s="187" t="str">
        <f>IFERROR(SUM(SUMIFS('caseload data'!O:O,'caseload data'!$C:$C,'community %'!$T$8,'caseload data'!$D:$D,"TPO",'caseload data'!$B:$B,{"licence","community"}))/SUM(SUMIFS('caseload data'!O:O,'caseload data'!$B:$B,{"licence","community"},'caseload data'!$C:$C,'community %'!$T$8)),"")</f>
        <v/>
      </c>
      <c r="AF12" s="187" t="str">
        <f>IFERROR(SUM(SUMIFS('caseload data'!P:P,'caseload data'!$C:$C,'community %'!$T$8,'caseload data'!$D:$D,"TPO",'caseload data'!$B:$B,{"licence","community"}))/SUM(SUMIFS('caseload data'!P:P,'caseload data'!$B:$B,{"licence","community"},'caseload data'!$C:$C,'community %'!$T$8)),"")</f>
        <v/>
      </c>
      <c r="AG12" s="187" t="str">
        <f>IFERROR(SUM(SUMIFS('caseload data'!Q:Q,'caseload data'!$C:$C,'community %'!$T$8,'caseload data'!$D:$D,"TPO",'caseload data'!$B:$B,{"licence","community"}))/SUM(SUMIFS('caseload data'!Q:Q,'caseload data'!$B:$B,{"licence","community"},'caseload data'!$C:$C,'community %'!$T$8)),"")</f>
        <v/>
      </c>
      <c r="AH12" s="187" t="str">
        <f>IFERROR(SUM(SUMIFS('caseload data'!R:R,'caseload data'!$C:$C,'community %'!$T$8,'caseload data'!$D:$D,"TPO",'caseload data'!$B:$B,{"licence","community"}))/SUM(SUMIFS('caseload data'!R:R,'caseload data'!$B:$B,{"licence","community"},'caseload data'!$C:$C,'community %'!$T$8)),"")</f>
        <v/>
      </c>
      <c r="AI12" s="187" t="str">
        <f>IFERROR(SUM(SUMIFS('caseload data'!S:S,'caseload data'!$C:$C,'community %'!$T$8,'caseload data'!$D:$D,"TPO",'caseload data'!$B:$B,{"licence","community"}))/SUM(SUMIFS('caseload data'!S:S,'caseload data'!$B:$B,{"licence","community"},'caseload data'!$C:$C,'community %'!$T$8)),"")</f>
        <v/>
      </c>
      <c r="AJ12" s="187" t="str">
        <f>IFERROR(SUM(SUMIFS('caseload data'!T:T,'caseload data'!$C:$C,'community %'!$T$8,'caseload data'!$D:$D,"TPO",'caseload data'!$B:$B,{"licence","community"}))/SUM(SUMIFS('caseload data'!T:T,'caseload data'!$B:$B,{"licence","community"},'caseload data'!$C:$C,'community %'!$T$8)),"")</f>
        <v/>
      </c>
    </row>
    <row r="13" spans="1:50" x14ac:dyDescent="0.15">
      <c r="B13" s="111" t="s">
        <v>1040</v>
      </c>
      <c r="C13" s="187" t="str">
        <f>IFERROR(SUM(SUMIFS('caseload data'!E:E,'caseload data'!$C:$C,'community %'!$B$8,'caseload data'!$D:$D,"SPO",'caseload data'!$B:$B,{"licence","community"}))/SUM(SUMIFS('caseload data'!E:E,'caseload data'!$B:$B,{"licence","community"},'caseload data'!$C:$C,'community %'!$B$8)),"")</f>
        <v/>
      </c>
      <c r="D13" s="187" t="str">
        <f>IFERROR(SUM(SUMIFS('caseload data'!F:F,'caseload data'!$C:$C,'community %'!$B$8,'caseload data'!$D:$D,"SPO",'caseload data'!$B:$B,{"licence","community"}))/SUM(SUMIFS('caseload data'!F:F,'caseload data'!$B:$B,{"licence","community"},'caseload data'!$C:$C,'community %'!$B$8)),"")</f>
        <v/>
      </c>
      <c r="E13" s="187" t="str">
        <f>IFERROR(SUM(SUMIFS('caseload data'!G:G,'caseload data'!$C:$C,'community %'!$B$8,'caseload data'!$D:$D,"SPO",'caseload data'!$B:$B,{"licence","community"}))/SUM(SUMIFS('caseload data'!G:G,'caseload data'!$B:$B,{"licence","community"},'caseload data'!$C:$C,'community %'!$B$8)),"")</f>
        <v/>
      </c>
      <c r="F13" s="187" t="str">
        <f>IFERROR(SUM(SUMIFS('caseload data'!H:H,'caseload data'!$C:$C,'community %'!$B$8,'caseload data'!$D:$D,"SPO",'caseload data'!$B:$B,{"licence","community"}))/SUM(SUMIFS('caseload data'!H:H,'caseload data'!$B:$B,{"licence","community"},'caseload data'!$C:$C,'community %'!$B$8)),"")</f>
        <v/>
      </c>
      <c r="G13" s="187" t="str">
        <f>IFERROR(SUM(SUMIFS('caseload data'!I:I,'caseload data'!$C:$C,'community %'!$B$8,'caseload data'!$D:$D,"SPO",'caseload data'!$B:$B,{"licence","community"}))/SUM(SUMIFS('caseload data'!I:I,'caseload data'!$B:$B,{"licence","community"},'caseload data'!$C:$C,'community %'!$B$8)),"")</f>
        <v/>
      </c>
      <c r="H13" s="187" t="str">
        <f>IFERROR(SUM(SUMIFS('caseload data'!J:J,'caseload data'!$C:$C,'community %'!$B$8,'caseload data'!$D:$D,"SPO",'caseload data'!$B:$B,{"licence","community"}))/SUM(SUMIFS('caseload data'!J:J,'caseload data'!$B:$B,{"licence","community"},'caseload data'!$C:$C,'community %'!$B$8)),"")</f>
        <v/>
      </c>
      <c r="I13" s="187" t="str">
        <f>IFERROR(SUM(SUMIFS('caseload data'!K:K,'caseload data'!$C:$C,'community %'!$B$8,'caseload data'!$D:$D,"SPO",'caseload data'!$B:$B,{"licence","community"}))/SUM(SUMIFS('caseload data'!K:K,'caseload data'!$B:$B,{"licence","community"},'caseload data'!$C:$C,'community %'!$B$8)),"")</f>
        <v/>
      </c>
      <c r="J13" s="187" t="str">
        <f>IFERROR(SUM(SUMIFS('caseload data'!L:L,'caseload data'!$C:$C,'community %'!$B$8,'caseload data'!$D:$D,"SPO",'caseload data'!$B:$B,{"licence","community"}))/SUM(SUMIFS('caseload data'!L:L,'caseload data'!$B:$B,{"licence","community"},'caseload data'!$C:$C,'community %'!$B$8)),"")</f>
        <v/>
      </c>
      <c r="K13" s="187" t="str">
        <f>IFERROR(SUM(SUMIFS('caseload data'!M:M,'caseload data'!$C:$C,'community %'!$B$8,'caseload data'!$D:$D,"SPO",'caseload data'!$B:$B,{"licence","community"}))/SUM(SUMIFS('caseload data'!M:M,'caseload data'!$B:$B,{"licence","community"},'caseload data'!$C:$C,'community %'!$B$8)),"")</f>
        <v/>
      </c>
      <c r="L13" s="187" t="str">
        <f>IFERROR(SUM(SUMIFS('caseload data'!N:N,'caseload data'!$C:$C,'community %'!$B$8,'caseload data'!$D:$D,"SPO",'caseload data'!$B:$B,{"licence","community"}))/SUM(SUMIFS('caseload data'!N:N,'caseload data'!$B:$B,{"licence","community"},'caseload data'!$C:$C,'community %'!$B$8)),"")</f>
        <v/>
      </c>
      <c r="M13" s="187" t="str">
        <f>IFERROR(SUM(SUMIFS('caseload data'!O:O,'caseload data'!$C:$C,'community %'!$B$8,'caseload data'!$D:$D,"SPO",'caseload data'!$B:$B,{"licence","community"}))/SUM(SUMIFS('caseload data'!O:O,'caseload data'!$B:$B,{"licence","community"},'caseload data'!$C:$C,'community %'!$B$8)),"")</f>
        <v/>
      </c>
      <c r="N13" s="187" t="str">
        <f>IFERROR(SUM(SUMIFS('caseload data'!P:P,'caseload data'!$C:$C,'community %'!$B$8,'caseload data'!$D:$D,"SPO",'caseload data'!$B:$B,{"licence","community"}))/SUM(SUMIFS('caseload data'!P:P,'caseload data'!$B:$B,{"licence","community"},'caseload data'!$C:$C,'community %'!$B$8)),"")</f>
        <v/>
      </c>
      <c r="O13" s="187" t="str">
        <f>IFERROR(SUM(SUMIFS('caseload data'!Q:Q,'caseload data'!$C:$C,'community %'!$B$8,'caseload data'!$D:$D,"SPO",'caseload data'!$B:$B,{"licence","community"}))/SUM(SUMIFS('caseload data'!Q:Q,'caseload data'!$B:$B,{"licence","community"},'caseload data'!$C:$C,'community %'!$B$8)),"")</f>
        <v/>
      </c>
      <c r="P13" s="187" t="str">
        <f>IFERROR(SUM(SUMIFS('caseload data'!R:R,'caseload data'!$C:$C,'community %'!$B$8,'caseload data'!$D:$D,"SPO",'caseload data'!$B:$B,{"licence","community"}))/SUM(SUMIFS('caseload data'!R:R,'caseload data'!$B:$B,{"licence","community"},'caseload data'!$C:$C,'community %'!$B$8)),"")</f>
        <v/>
      </c>
      <c r="Q13" s="187" t="str">
        <f>IFERROR(SUM(SUMIFS('caseload data'!S:S,'caseload data'!$C:$C,'community %'!$B$8,'caseload data'!$D:$D,"SPO",'caseload data'!$B:$B,{"licence","community"}))/SUM(SUMIFS('caseload data'!S:S,'caseload data'!$B:$B,{"licence","community"},'caseload data'!$C:$C,'community %'!$B$8)),"")</f>
        <v/>
      </c>
      <c r="R13" s="187" t="str">
        <f>IFERROR(SUM(SUMIFS('caseload data'!T:T,'caseload data'!$C:$C,'community %'!$B$8,'caseload data'!$D:$D,"SPO",'caseload data'!$B:$B,{"licence","community"}))/SUM(SUMIFS('caseload data'!T:T,'caseload data'!$B:$B,{"licence","community"},'caseload data'!$C:$C,'community %'!$B$8)),"")</f>
        <v/>
      </c>
      <c r="S13" s="76"/>
      <c r="T13" s="111" t="s">
        <v>1040</v>
      </c>
      <c r="U13" s="187" t="str">
        <f>IFERROR(SUM(SUMIFS('caseload data'!E:E,'caseload data'!$C:$C,'community %'!$T$8,'caseload data'!$D:$D,"SPO",'caseload data'!$B:$B,{"licence","community"}))/SUM(SUMIFS('caseload data'!E:E,'caseload data'!$B:$B,{"licence","community"},'caseload data'!$C:$C,'community %'!$T$8)),"")</f>
        <v/>
      </c>
      <c r="V13" s="187" t="str">
        <f>IFERROR(SUM(SUMIFS('caseload data'!F:F,'caseload data'!$C:$C,'community %'!$T$8,'caseload data'!$D:$D,"SPO",'caseload data'!$B:$B,{"licence","community"}))/SUM(SUMIFS('caseload data'!F:F,'caseload data'!$B:$B,{"licence","community"},'caseload data'!$C:$C,'community %'!$T$8)),"")</f>
        <v/>
      </c>
      <c r="W13" s="187" t="str">
        <f>IFERROR(SUM(SUMIFS('caseload data'!G:G,'caseload data'!$C:$C,'community %'!$T$8,'caseload data'!$D:$D,"SPO",'caseload data'!$B:$B,{"licence","community"}))/SUM(SUMIFS('caseload data'!G:G,'caseload data'!$B:$B,{"licence","community"},'caseload data'!$C:$C,'community %'!$T$8)),"")</f>
        <v/>
      </c>
      <c r="X13" s="187" t="str">
        <f>IFERROR(SUM(SUMIFS('caseload data'!H:H,'caseload data'!$C:$C,'community %'!$T$8,'caseload data'!$D:$D,"SPO",'caseload data'!$B:$B,{"licence","community"}))/SUM(SUMIFS('caseload data'!H:H,'caseload data'!$B:$B,{"licence","community"},'caseload data'!$C:$C,'community %'!$T$8)),"")</f>
        <v/>
      </c>
      <c r="Y13" s="187" t="str">
        <f>IFERROR(SUM(SUMIFS('caseload data'!I:I,'caseload data'!$C:$C,'community %'!$T$8,'caseload data'!$D:$D,"SPO",'caseload data'!$B:$B,{"licence","community"}))/SUM(SUMIFS('caseload data'!I:I,'caseload data'!$B:$B,{"licence","community"},'caseload data'!$C:$C,'community %'!$T$8)),"")</f>
        <v/>
      </c>
      <c r="Z13" s="187" t="str">
        <f>IFERROR(SUM(SUMIFS('caseload data'!J:J,'caseload data'!$C:$C,'community %'!$T$8,'caseload data'!$D:$D,"SPO",'caseload data'!$B:$B,{"licence","community"}))/SUM(SUMIFS('caseload data'!J:J,'caseload data'!$B:$B,{"licence","community"},'caseload data'!$C:$C,'community %'!$T$8)),"")</f>
        <v/>
      </c>
      <c r="AA13" s="187" t="str">
        <f>IFERROR(SUM(SUMIFS('caseload data'!K:K,'caseload data'!$C:$C,'community %'!$T$8,'caseload data'!$D:$D,"SPO",'caseload data'!$B:$B,{"licence","community"}))/SUM(SUMIFS('caseload data'!K:K,'caseload data'!$B:$B,{"licence","community"},'caseload data'!$C:$C,'community %'!$T$8)),"")</f>
        <v/>
      </c>
      <c r="AB13" s="187" t="str">
        <f>IFERROR(SUM(SUMIFS('caseload data'!L:L,'caseload data'!$C:$C,'community %'!$T$8,'caseload data'!$D:$D,"SPO",'caseload data'!$B:$B,{"licence","community"}))/SUM(SUMIFS('caseload data'!L:L,'caseload data'!$B:$B,{"licence","community"},'caseload data'!$C:$C,'community %'!$T$8)),"")</f>
        <v/>
      </c>
      <c r="AC13" s="187" t="str">
        <f>IFERROR(SUM(SUMIFS('caseload data'!M:M,'caseload data'!$C:$C,'community %'!$T$8,'caseload data'!$D:$D,"SPO",'caseload data'!$B:$B,{"licence","community"}))/SUM(SUMIFS('caseload data'!M:M,'caseload data'!$B:$B,{"licence","community"},'caseload data'!$C:$C,'community %'!$T$8)),"")</f>
        <v/>
      </c>
      <c r="AD13" s="187" t="str">
        <f>IFERROR(SUM(SUMIFS('caseload data'!N:N,'caseload data'!$C:$C,'community %'!$T$8,'caseload data'!$D:$D,"SPO",'caseload data'!$B:$B,{"licence","community"}))/SUM(SUMIFS('caseload data'!N:N,'caseload data'!$B:$B,{"licence","community"},'caseload data'!$C:$C,'community %'!$T$8)),"")</f>
        <v/>
      </c>
      <c r="AE13" s="187" t="str">
        <f>IFERROR(SUM(SUMIFS('caseload data'!O:O,'caseload data'!$C:$C,'community %'!$T$8,'caseload data'!$D:$D,"SPO",'caseload data'!$B:$B,{"licence","community"}))/SUM(SUMIFS('caseload data'!O:O,'caseload data'!$B:$B,{"licence","community"},'caseload data'!$C:$C,'community %'!$T$8)),"")</f>
        <v/>
      </c>
      <c r="AF13" s="187" t="str">
        <f>IFERROR(SUM(SUMIFS('caseload data'!P:P,'caseload data'!$C:$C,'community %'!$T$8,'caseload data'!$D:$D,"SPO",'caseload data'!$B:$B,{"licence","community"}))/SUM(SUMIFS('caseload data'!P:P,'caseload data'!$B:$B,{"licence","community"},'caseload data'!$C:$C,'community %'!$T$8)),"")</f>
        <v/>
      </c>
      <c r="AG13" s="187" t="str">
        <f>IFERROR(SUM(SUMIFS('caseload data'!Q:Q,'caseload data'!$C:$C,'community %'!$T$8,'caseload data'!$D:$D,"SPO",'caseload data'!$B:$B,{"licence","community"}))/SUM(SUMIFS('caseload data'!Q:Q,'caseload data'!$B:$B,{"licence","community"},'caseload data'!$C:$C,'community %'!$T$8)),"")</f>
        <v/>
      </c>
      <c r="AH13" s="187" t="str">
        <f>IFERROR(SUM(SUMIFS('caseload data'!R:R,'caseload data'!$C:$C,'community %'!$T$8,'caseload data'!$D:$D,"SPO",'caseload data'!$B:$B,{"licence","community"}))/SUM(SUMIFS('caseload data'!R:R,'caseload data'!$B:$B,{"licence","community"},'caseload data'!$C:$C,'community %'!$T$8)),"")</f>
        <v/>
      </c>
      <c r="AI13" s="187" t="str">
        <f>IFERROR(SUM(SUMIFS('caseload data'!S:S,'caseload data'!$C:$C,'community %'!$T$8,'caseload data'!$D:$D,"SPO",'caseload data'!$B:$B,{"licence","community"}))/SUM(SUMIFS('caseload data'!S:S,'caseload data'!$B:$B,{"licence","community"},'caseload data'!$C:$C,'community %'!$T$8)),"")</f>
        <v/>
      </c>
      <c r="AJ13" s="187" t="str">
        <f>IFERROR(SUM(SUMIFS('caseload data'!T:T,'caseload data'!$C:$C,'community %'!$T$8,'caseload data'!$D:$D,"SPO",'caseload data'!$B:$B,{"licence","community"}))/SUM(SUMIFS('caseload data'!T:T,'caseload data'!$B:$B,{"licence","community"},'caseload data'!$C:$C,'community %'!$T$8)),"")</f>
        <v/>
      </c>
    </row>
    <row r="14" spans="1:50" x14ac:dyDescent="0.15">
      <c r="B14" s="104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104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</row>
    <row r="15" spans="1:50" ht="41.25" customHeight="1" x14ac:dyDescent="0.15">
      <c r="B15" s="162" t="str">
        <f>HLOOKUP($B$5,Region_Table,4,0)</f>
        <v>Barking and Dagenham and Havering</v>
      </c>
      <c r="C15" s="333" t="s">
        <v>1269</v>
      </c>
      <c r="D15" s="334"/>
      <c r="E15" s="334"/>
      <c r="F15" s="334"/>
      <c r="G15" s="334"/>
      <c r="H15" s="334"/>
      <c r="I15" s="334"/>
      <c r="J15" s="334"/>
      <c r="K15" s="334"/>
      <c r="L15" s="334"/>
      <c r="M15" s="343"/>
      <c r="N15" s="343"/>
      <c r="O15" s="344"/>
      <c r="P15" s="337" cm="1">
        <f t="array" ref="P15">SUM(SUMIFS('caseload data'!V:V,'caseload data'!B:B,{"licence","community"},'caseload data'!$C:$C,B15))</f>
        <v>0</v>
      </c>
      <c r="Q15" s="345"/>
      <c r="R15" s="346"/>
      <c r="S15" s="76"/>
      <c r="T15" s="162" t="str">
        <f>HLOOKUP($B$5,Region_Table,5,0)</f>
        <v>Brent - N07</v>
      </c>
      <c r="U15" s="333" t="s">
        <v>1269</v>
      </c>
      <c r="V15" s="334"/>
      <c r="W15" s="334"/>
      <c r="X15" s="334"/>
      <c r="Y15" s="334"/>
      <c r="Z15" s="334"/>
      <c r="AA15" s="334"/>
      <c r="AB15" s="334"/>
      <c r="AC15" s="334"/>
      <c r="AD15" s="334"/>
      <c r="AE15" s="343"/>
      <c r="AF15" s="343"/>
      <c r="AG15" s="344"/>
      <c r="AH15" s="337" cm="1">
        <f t="array" ref="AH15">SUM(SUMIFS('caseload data'!V:V,'caseload data'!B:B,{"licence","community"},'caseload data'!$C:$C,T15))</f>
        <v>0</v>
      </c>
      <c r="AI15" s="345"/>
      <c r="AJ15" s="346"/>
    </row>
    <row r="16" spans="1:50" x14ac:dyDescent="0.15">
      <c r="B16" s="108" t="s">
        <v>1199</v>
      </c>
      <c r="C16" s="42" t="s">
        <v>1019</v>
      </c>
      <c r="D16" s="42" t="s">
        <v>1020</v>
      </c>
      <c r="E16" s="42" t="s">
        <v>1021</v>
      </c>
      <c r="F16" s="42" t="s">
        <v>1022</v>
      </c>
      <c r="G16" s="42" t="s">
        <v>1023</v>
      </c>
      <c r="H16" s="42" t="s">
        <v>1024</v>
      </c>
      <c r="I16" s="42" t="s">
        <v>1025</v>
      </c>
      <c r="J16" s="42" t="s">
        <v>1026</v>
      </c>
      <c r="K16" s="42" t="s">
        <v>1027</v>
      </c>
      <c r="L16" s="42" t="s">
        <v>1028</v>
      </c>
      <c r="M16" s="42" t="s">
        <v>1029</v>
      </c>
      <c r="N16" s="42" t="s">
        <v>1030</v>
      </c>
      <c r="O16" s="42" t="s">
        <v>1031</v>
      </c>
      <c r="P16" s="42" t="s">
        <v>1032</v>
      </c>
      <c r="Q16" s="42" t="s">
        <v>1033</v>
      </c>
      <c r="R16" s="42" t="s">
        <v>1034</v>
      </c>
      <c r="S16" s="76"/>
      <c r="T16" s="108" t="s">
        <v>1199</v>
      </c>
      <c r="U16" s="42" t="s">
        <v>1019</v>
      </c>
      <c r="V16" s="42" t="s">
        <v>1020</v>
      </c>
      <c r="W16" s="42" t="s">
        <v>1021</v>
      </c>
      <c r="X16" s="42" t="s">
        <v>1022</v>
      </c>
      <c r="Y16" s="42" t="s">
        <v>1023</v>
      </c>
      <c r="Z16" s="42" t="s">
        <v>1024</v>
      </c>
      <c r="AA16" s="42" t="s">
        <v>1025</v>
      </c>
      <c r="AB16" s="42" t="s">
        <v>1026</v>
      </c>
      <c r="AC16" s="42" t="s">
        <v>1027</v>
      </c>
      <c r="AD16" s="42" t="s">
        <v>1028</v>
      </c>
      <c r="AE16" s="42" t="s">
        <v>1029</v>
      </c>
      <c r="AF16" s="42" t="s">
        <v>1030</v>
      </c>
      <c r="AG16" s="42" t="s">
        <v>1031</v>
      </c>
      <c r="AH16" s="42" t="s">
        <v>1032</v>
      </c>
      <c r="AI16" s="42" t="s">
        <v>1033</v>
      </c>
      <c r="AJ16" s="42" t="s">
        <v>1034</v>
      </c>
    </row>
    <row r="17" spans="2:36" x14ac:dyDescent="0.15">
      <c r="B17" s="109" t="s">
        <v>1037</v>
      </c>
      <c r="C17" s="187" t="str">
        <f>IFERROR(SUM(SUMIFS('caseload data'!E:E,'caseload data'!$C:$C,'community %'!$B$15,'caseload data'!$D:$D,"PO",'caseload data'!$B:$B,{"licence","community"}))/SUM(SUMIFS('caseload data'!E:E,'caseload data'!$B:$B,{"licence","community"},'caseload data'!$C:$C,'community %'!$B$15)),"")</f>
        <v/>
      </c>
      <c r="D17" s="187" t="str">
        <f>IFERROR(SUM(SUMIFS('caseload data'!F:F,'caseload data'!$C:$C,'community %'!$B$15,'caseload data'!$D:$D,"PO",'caseload data'!$B:$B,{"licence","community"}))/SUM(SUMIFS('caseload data'!F:F,'caseload data'!$B:$B,{"licence","community"},'caseload data'!$C:$C,'community %'!$B$15)),"")</f>
        <v/>
      </c>
      <c r="E17" s="187" t="str">
        <f>IFERROR(SUM(SUMIFS('caseload data'!G:G,'caseload data'!$C:$C,'community %'!$B$15,'caseload data'!$D:$D,"PO",'caseload data'!$B:$B,{"licence","community"}))/SUM(SUMIFS('caseload data'!G:G,'caseload data'!$B:$B,{"licence","community"},'caseload data'!$C:$C,'community %'!$B$15)),"")</f>
        <v/>
      </c>
      <c r="F17" s="187" t="str">
        <f>IFERROR(SUM(SUMIFS('caseload data'!H:H,'caseload data'!$C:$C,'community %'!$B$15,'caseload data'!$D:$D,"PO",'caseload data'!$B:$B,{"licence","community"}))/SUM(SUMIFS('caseload data'!H:H,'caseload data'!$B:$B,{"licence","community"},'caseload data'!$C:$C,'community %'!$B$15)),"")</f>
        <v/>
      </c>
      <c r="G17" s="187" t="str">
        <f>IFERROR(SUM(SUMIFS('caseload data'!I:I,'caseload data'!$C:$C,'community %'!$B$15,'caseload data'!$D:$D,"PO",'caseload data'!$B:$B,{"licence","community"}))/SUM(SUMIFS('caseload data'!I:I,'caseload data'!$B:$B,{"licence","community"},'caseload data'!$C:$C,'community %'!$B$15)),"")</f>
        <v/>
      </c>
      <c r="H17" s="187" t="str">
        <f>IFERROR(SUM(SUMIFS('caseload data'!J:J,'caseload data'!$C:$C,'community %'!$B$15,'caseload data'!$D:$D,"PO",'caseload data'!$B:$B,{"licence","community"}))/SUM(SUMIFS('caseload data'!J:J,'caseload data'!$B:$B,{"licence","community"},'caseload data'!$C:$C,'community %'!$B$15)),"")</f>
        <v/>
      </c>
      <c r="I17" s="187" t="str">
        <f>IFERROR(SUM(SUMIFS('caseload data'!K:K,'caseload data'!$C:$C,'community %'!$B$15,'caseload data'!$D:$D,"PO",'caseload data'!$B:$B,{"licence","community"}))/SUM(SUMIFS('caseload data'!K:K,'caseload data'!$B:$B,{"licence","community"},'caseload data'!$C:$C,'community %'!$B$15)),"")</f>
        <v/>
      </c>
      <c r="J17" s="187" t="str">
        <f>IFERROR(SUM(SUMIFS('caseload data'!L:L,'caseload data'!$C:$C,'community %'!$B$15,'caseload data'!$D:$D,"PO",'caseload data'!$B:$B,{"licence","community"}))/SUM(SUMIFS('caseload data'!L:L,'caseload data'!$B:$B,{"licence","community"},'caseload data'!$C:$C,'community %'!$B$15)),"")</f>
        <v/>
      </c>
      <c r="K17" s="187" t="str">
        <f>IFERROR(SUM(SUMIFS('caseload data'!M:M,'caseload data'!$C:$C,'community %'!$B$15,'caseload data'!$D:$D,"PO",'caseload data'!$B:$B,{"licence","community"}))/SUM(SUMIFS('caseload data'!M:M,'caseload data'!$B:$B,{"licence","community"},'caseload data'!$C:$C,'community %'!$B$15)),"")</f>
        <v/>
      </c>
      <c r="L17" s="187" t="str">
        <f>IFERROR(SUM(SUMIFS('caseload data'!N:N,'caseload data'!$C:$C,'community %'!$B$15,'caseload data'!$D:$D,"PO",'caseload data'!$B:$B,{"licence","community"}))/SUM(SUMIFS('caseload data'!N:N,'caseload data'!$B:$B,{"licence","community"},'caseload data'!$C:$C,'community %'!$B$15)),"")</f>
        <v/>
      </c>
      <c r="M17" s="187" t="str">
        <f>IFERROR(SUM(SUMIFS('caseload data'!O:O,'caseload data'!$C:$C,'community %'!$B$15,'caseload data'!$D:$D,"PO",'caseload data'!$B:$B,{"licence","community"}))/SUM(SUMIFS('caseload data'!O:O,'caseload data'!$B:$B,{"licence","community"},'caseload data'!$C:$C,'community %'!$B$15)),"")</f>
        <v/>
      </c>
      <c r="N17" s="187" t="str">
        <f>IFERROR(SUM(SUMIFS('caseload data'!P:P,'caseload data'!$C:$C,'community %'!$B$15,'caseload data'!$D:$D,"PO",'caseload data'!$B:$B,{"licence","community"}))/SUM(SUMIFS('caseload data'!P:P,'caseload data'!$B:$B,{"licence","community"},'caseload data'!$C:$C,'community %'!$B$15)),"")</f>
        <v/>
      </c>
      <c r="O17" s="187" t="str">
        <f>IFERROR(SUM(SUMIFS('caseload data'!Q:Q,'caseload data'!$C:$C,'community %'!$B$15,'caseload data'!$D:$D,"PO",'caseload data'!$B:$B,{"licence","community"}))/SUM(SUMIFS('caseload data'!Q:Q,'caseload data'!$B:$B,{"licence","community"},'caseload data'!$C:$C,'community %'!$B$15)),"")</f>
        <v/>
      </c>
      <c r="P17" s="187" t="str">
        <f>IFERROR(SUM(SUMIFS('caseload data'!R:R,'caseload data'!$C:$C,'community %'!$B$15,'caseload data'!$D:$D,"PO",'caseload data'!$B:$B,{"licence","community"}))/SUM(SUMIFS('caseload data'!R:R,'caseload data'!$B:$B,{"licence","community"},'caseload data'!$C:$C,'community %'!$B$15)),"")</f>
        <v/>
      </c>
      <c r="Q17" s="187" t="str">
        <f>IFERROR(SUM(SUMIFS('caseload data'!S:S,'caseload data'!$C:$C,'community %'!$B$15,'caseload data'!$D:$D,"PO",'caseload data'!$B:$B,{"licence","community"}))/SUM(SUMIFS('caseload data'!S:S,'caseload data'!$B:$B,{"licence","community"},'caseload data'!$C:$C,'community %'!$B$15)),"")</f>
        <v/>
      </c>
      <c r="R17" s="187" t="str">
        <f>IFERROR(SUM(SUMIFS('caseload data'!T:T,'caseload data'!$C:$C,'community %'!$B$15,'caseload data'!$D:$D,"PO",'caseload data'!$B:$B,{"licence","community"}))/SUM(SUMIFS('caseload data'!T:T,'caseload data'!$B:$B,{"licence","community"},'caseload data'!$C:$C,'community %'!$B$15)),"")</f>
        <v/>
      </c>
      <c r="S17" s="76"/>
      <c r="T17" s="109" t="s">
        <v>1037</v>
      </c>
      <c r="U17" s="187" t="str">
        <f>IFERROR(SUM(SUMIFS('caseload data'!E:E,'caseload data'!$C:$C,'community %'!$T$15,'caseload data'!$D:$D,"PO",'caseload data'!$B:$B,{"licence","community"}))/SUM(SUMIFS('caseload data'!E:E,'caseload data'!$B:$B,{"licence","community"},'caseload data'!$C:$C,'community %'!$T$15)),"")</f>
        <v/>
      </c>
      <c r="V17" s="187" t="str">
        <f>IFERROR(SUM(SUMIFS('caseload data'!F:F,'caseload data'!$C:$C,'community %'!$T$15,'caseload data'!$D:$D,"PO",'caseload data'!$B:$B,{"licence","community"}))/SUM(SUMIFS('caseload data'!F:F,'caseload data'!$B:$B,{"licence","community"},'caseload data'!$C:$C,'community %'!$T$15)),"")</f>
        <v/>
      </c>
      <c r="W17" s="187" t="str">
        <f>IFERROR(SUM(SUMIFS('caseload data'!G:G,'caseload data'!$C:$C,'community %'!$T$15,'caseload data'!$D:$D,"PO",'caseload data'!$B:$B,{"licence","community"}))/SUM(SUMIFS('caseload data'!G:G,'caseload data'!$B:$B,{"licence","community"},'caseload data'!$C:$C,'community %'!$T$15)),"")</f>
        <v/>
      </c>
      <c r="X17" s="187" t="str">
        <f>IFERROR(SUM(SUMIFS('caseload data'!H:H,'caseload data'!$C:$C,'community %'!$T$15,'caseload data'!$D:$D,"PO",'caseload data'!$B:$B,{"licence","community"}))/SUM(SUMIFS('caseload data'!H:H,'caseload data'!$B:$B,{"licence","community"},'caseload data'!$C:$C,'community %'!$T$15)),"")</f>
        <v/>
      </c>
      <c r="Y17" s="187" t="str">
        <f>IFERROR(SUM(SUMIFS('caseload data'!I:I,'caseload data'!$C:$C,'community %'!$T$15,'caseload data'!$D:$D,"PO",'caseload data'!$B:$B,{"licence","community"}))/SUM(SUMIFS('caseload data'!I:I,'caseload data'!$B:$B,{"licence","community"},'caseload data'!$C:$C,'community %'!$T$15)),"")</f>
        <v/>
      </c>
      <c r="Z17" s="187" t="str">
        <f>IFERROR(SUM(SUMIFS('caseload data'!J:J,'caseload data'!$C:$C,'community %'!$T$15,'caseload data'!$D:$D,"PO",'caseload data'!$B:$B,{"licence","community"}))/SUM(SUMIFS('caseload data'!J:J,'caseload data'!$B:$B,{"licence","community"},'caseload data'!$C:$C,'community %'!$T$15)),"")</f>
        <v/>
      </c>
      <c r="AA17" s="187" t="str">
        <f>IFERROR(SUM(SUMIFS('caseload data'!K:K,'caseload data'!$C:$C,'community %'!$T$15,'caseload data'!$D:$D,"PO",'caseload data'!$B:$B,{"licence","community"}))/SUM(SUMIFS('caseload data'!K:K,'caseload data'!$B:$B,{"licence","community"},'caseload data'!$C:$C,'community %'!$T$15)),"")</f>
        <v/>
      </c>
      <c r="AB17" s="187" t="str">
        <f>IFERROR(SUM(SUMIFS('caseload data'!L:L,'caseload data'!$C:$C,'community %'!$T$15,'caseload data'!$D:$D,"PO",'caseload data'!$B:$B,{"licence","community"}))/SUM(SUMIFS('caseload data'!L:L,'caseload data'!$B:$B,{"licence","community"},'caseload data'!$C:$C,'community %'!$T$15)),"")</f>
        <v/>
      </c>
      <c r="AC17" s="187" t="str">
        <f>IFERROR(SUM(SUMIFS('caseload data'!M:M,'caseload data'!$C:$C,'community %'!$T$15,'caseload data'!$D:$D,"PO",'caseload data'!$B:$B,{"licence","community"}))/SUM(SUMIFS('caseload data'!M:M,'caseload data'!$B:$B,{"licence","community"},'caseload data'!$C:$C,'community %'!$T$15)),"")</f>
        <v/>
      </c>
      <c r="AD17" s="187" t="str">
        <f>IFERROR(SUM(SUMIFS('caseload data'!N:N,'caseload data'!$C:$C,'community %'!$T$15,'caseload data'!$D:$D,"PO",'caseload data'!$B:$B,{"licence","community"}))/SUM(SUMIFS('caseload data'!N:N,'caseload data'!$B:$B,{"licence","community"},'caseload data'!$C:$C,'community %'!$T$15)),"")</f>
        <v/>
      </c>
      <c r="AE17" s="187" t="str">
        <f>IFERROR(SUM(SUMIFS('caseload data'!O:O,'caseload data'!$C:$C,'community %'!$T$15,'caseload data'!$D:$D,"PO",'caseload data'!$B:$B,{"licence","community"}))/SUM(SUMIFS('caseload data'!O:O,'caseload data'!$B:$B,{"licence","community"},'caseload data'!$C:$C,'community %'!$T$15)),"")</f>
        <v/>
      </c>
      <c r="AF17" s="187" t="str">
        <f>IFERROR(SUM(SUMIFS('caseload data'!P:P,'caseload data'!$C:$C,'community %'!$T$15,'caseload data'!$D:$D,"PO",'caseload data'!$B:$B,{"licence","community"}))/SUM(SUMIFS('caseload data'!P:P,'caseload data'!$B:$B,{"licence","community"},'caseload data'!$C:$C,'community %'!$T$15)),"")</f>
        <v/>
      </c>
      <c r="AG17" s="187" t="str">
        <f>IFERROR(SUM(SUMIFS('caseload data'!Q:Q,'caseload data'!$C:$C,'community %'!$T$15,'caseload data'!$D:$D,"PO",'caseload data'!$B:$B,{"licence","community"}))/SUM(SUMIFS('caseload data'!Q:Q,'caseload data'!$B:$B,{"licence","community"},'caseload data'!$C:$C,'community %'!$T$15)),"")</f>
        <v/>
      </c>
      <c r="AH17" s="187" t="str">
        <f>IFERROR(SUM(SUMIFS('caseload data'!R:R,'caseload data'!$C:$C,'community %'!$T$15,'caseload data'!$D:$D,"PO",'caseload data'!$B:$B,{"licence","community"}))/SUM(SUMIFS('caseload data'!R:R,'caseload data'!$B:$B,{"licence","community"},'caseload data'!$C:$C,'community %'!$T$15)),"")</f>
        <v/>
      </c>
      <c r="AI17" s="187" t="str">
        <f>IFERROR(SUM(SUMIFS('caseload data'!S:S,'caseload data'!$C:$C,'community %'!$T$15,'caseload data'!$D:$D,"PO",'caseload data'!$B:$B,{"licence","community"}))/SUM(SUMIFS('caseload data'!S:S,'caseload data'!$B:$B,{"licence","community"},'caseload data'!$C:$C,'community %'!$T$15)),"")</f>
        <v/>
      </c>
      <c r="AJ17" s="187" t="str">
        <f>IFERROR(SUM(SUMIFS('caseload data'!T:T,'caseload data'!$C:$C,'community %'!$T$15,'caseload data'!$D:$D,"PO",'caseload data'!$B:$B,{"licence","community"}))/SUM(SUMIFS('caseload data'!T:T,'caseload data'!$B:$B,{"licence","community"},'caseload data'!$C:$C,'community %'!$T$15)),"")</f>
        <v/>
      </c>
    </row>
    <row r="18" spans="2:36" x14ac:dyDescent="0.15">
      <c r="B18" s="110" t="s">
        <v>1038</v>
      </c>
      <c r="C18" s="187" t="str">
        <f>IFERROR(SUM(SUMIFS('caseload data'!E:E,'caseload data'!$C:$C,'community %'!$B$15,'caseload data'!$D:$D,"PSO",'caseload data'!$B:$B,{"licence","community"}))/SUM(SUMIFS('caseload data'!E:E,'caseload data'!$B:$B,{"licence","community"},'caseload data'!$C:$C,'community %'!$B$15)),"")</f>
        <v/>
      </c>
      <c r="D18" s="187" t="str">
        <f>IFERROR(SUM(SUMIFS('caseload data'!F:F,'caseload data'!$C:$C,'community %'!$B$15,'caseload data'!$D:$D,"PSO",'caseload data'!$B:$B,{"licence","community"}))/SUM(SUMIFS('caseload data'!F:F,'caseload data'!$B:$B,{"licence","community"},'caseload data'!$C:$C,'community %'!$B$15)),"")</f>
        <v/>
      </c>
      <c r="E18" s="187" t="str">
        <f>IFERROR(SUM(SUMIFS('caseload data'!G:G,'caseload data'!$C:$C,'community %'!$B$15,'caseload data'!$D:$D,"PSO",'caseload data'!$B:$B,{"licence","community"}))/SUM(SUMIFS('caseload data'!G:G,'caseload data'!$B:$B,{"licence","community"},'caseload data'!$C:$C,'community %'!$B$15)),"")</f>
        <v/>
      </c>
      <c r="F18" s="187" t="str">
        <f>IFERROR(SUM(SUMIFS('caseload data'!H:H,'caseload data'!$C:$C,'community %'!$B$15,'caseload data'!$D:$D,"PSO",'caseload data'!$B:$B,{"licence","community"}))/SUM(SUMIFS('caseload data'!H:H,'caseload data'!$B:$B,{"licence","community"},'caseload data'!$C:$C,'community %'!$B$15)),"")</f>
        <v/>
      </c>
      <c r="G18" s="187" t="str">
        <f>IFERROR(SUM(SUMIFS('caseload data'!I:I,'caseload data'!$C:$C,'community %'!$B$15,'caseload data'!$D:$D,"PSO",'caseload data'!$B:$B,{"licence","community"}))/SUM(SUMIFS('caseload data'!I:I,'caseload data'!$B:$B,{"licence","community"},'caseload data'!$C:$C,'community %'!$B$15)),"")</f>
        <v/>
      </c>
      <c r="H18" s="187" t="str">
        <f>IFERROR(SUM(SUMIFS('caseload data'!J:J,'caseload data'!$C:$C,'community %'!$B$15,'caseload data'!$D:$D,"PSO",'caseload data'!$B:$B,{"licence","community"}))/SUM(SUMIFS('caseload data'!J:J,'caseload data'!$B:$B,{"licence","community"},'caseload data'!$C:$C,'community %'!$B$15)),"")</f>
        <v/>
      </c>
      <c r="I18" s="187" t="str">
        <f>IFERROR(SUM(SUMIFS('caseload data'!K:K,'caseload data'!$C:$C,'community %'!$B$15,'caseload data'!$D:$D,"PSO",'caseload data'!$B:$B,{"licence","community"}))/SUM(SUMIFS('caseload data'!K:K,'caseload data'!$B:$B,{"licence","community"},'caseload data'!$C:$C,'community %'!$B$15)),"")</f>
        <v/>
      </c>
      <c r="J18" s="187" t="str">
        <f>IFERROR(SUM(SUMIFS('caseload data'!L:L,'caseload data'!$C:$C,'community %'!$B$15,'caseload data'!$D:$D,"PSO",'caseload data'!$B:$B,{"licence","community"}))/SUM(SUMIFS('caseload data'!L:L,'caseload data'!$B:$B,{"licence","community"},'caseload data'!$C:$C,'community %'!$B$15)),"")</f>
        <v/>
      </c>
      <c r="K18" s="187" t="str">
        <f>IFERROR(SUM(SUMIFS('caseload data'!M:M,'caseload data'!$C:$C,'community %'!$B$15,'caseload data'!$D:$D,"PSO",'caseload data'!$B:$B,{"licence","community"}))/SUM(SUMIFS('caseload data'!M:M,'caseload data'!$B:$B,{"licence","community"},'caseload data'!$C:$C,'community %'!$B$15)),"")</f>
        <v/>
      </c>
      <c r="L18" s="187" t="str">
        <f>IFERROR(SUM(SUMIFS('caseload data'!N:N,'caseload data'!$C:$C,'community %'!$B$15,'caseload data'!$D:$D,"PSO",'caseload data'!$B:$B,{"licence","community"}))/SUM(SUMIFS('caseload data'!N:N,'caseload data'!$B:$B,{"licence","community"},'caseload data'!$C:$C,'community %'!$B$15)),"")</f>
        <v/>
      </c>
      <c r="M18" s="187" t="str">
        <f>IFERROR(SUM(SUMIFS('caseload data'!O:O,'caseload data'!$C:$C,'community %'!$B$15,'caseload data'!$D:$D,"PSO",'caseload data'!$B:$B,{"licence","community"}))/SUM(SUMIFS('caseload data'!O:O,'caseload data'!$B:$B,{"licence","community"},'caseload data'!$C:$C,'community %'!$B$15)),"")</f>
        <v/>
      </c>
      <c r="N18" s="187" t="str">
        <f>IFERROR(SUM(SUMIFS('caseload data'!P:P,'caseload data'!$C:$C,'community %'!$B$15,'caseload data'!$D:$D,"PSO",'caseload data'!$B:$B,{"licence","community"}))/SUM(SUMIFS('caseload data'!P:P,'caseload data'!$B:$B,{"licence","community"},'caseload data'!$C:$C,'community %'!$B$15)),"")</f>
        <v/>
      </c>
      <c r="O18" s="187" t="str">
        <f>IFERROR(SUM(SUMIFS('caseload data'!Q:Q,'caseload data'!$C:$C,'community %'!$B$15,'caseload data'!$D:$D,"PSO",'caseload data'!$B:$B,{"licence","community"}))/SUM(SUMIFS('caseload data'!Q:Q,'caseload data'!$B:$B,{"licence","community"},'caseload data'!$C:$C,'community %'!$B$15)),"")</f>
        <v/>
      </c>
      <c r="P18" s="187" t="str">
        <f>IFERROR(SUM(SUMIFS('caseload data'!R:R,'caseload data'!$C:$C,'community %'!$B$15,'caseload data'!$D:$D,"PSO",'caseload data'!$B:$B,{"licence","community"}))/SUM(SUMIFS('caseload data'!R:R,'caseload data'!$B:$B,{"licence","community"},'caseload data'!$C:$C,'community %'!$B$15)),"")</f>
        <v/>
      </c>
      <c r="Q18" s="187" t="str">
        <f>IFERROR(SUM(SUMIFS('caseload data'!S:S,'caseload data'!$C:$C,'community %'!$B$15,'caseload data'!$D:$D,"PSO",'caseload data'!$B:$B,{"licence","community"}))/SUM(SUMIFS('caseload data'!S:S,'caseload data'!$B:$B,{"licence","community"},'caseload data'!$C:$C,'community %'!$B$15)),"")</f>
        <v/>
      </c>
      <c r="R18" s="187" t="str">
        <f>IFERROR(SUM(SUMIFS('caseload data'!T:T,'caseload data'!$C:$C,'community %'!$B$15,'caseload data'!$D:$D,"PSO",'caseload data'!$B:$B,{"licence","community"}))/SUM(SUMIFS('caseload data'!T:T,'caseload data'!$B:$B,{"licence","community"},'caseload data'!$C:$C,'community %'!$B$15)),"")</f>
        <v/>
      </c>
      <c r="S18" s="76"/>
      <c r="T18" s="110" t="s">
        <v>1038</v>
      </c>
      <c r="U18" s="187" t="str">
        <f>IFERROR(SUM(SUMIFS('caseload data'!E:E,'caseload data'!$C:$C,'community %'!$T$15,'caseload data'!$D:$D,"PSO",'caseload data'!$B:$B,{"licence","community"}))/SUM(SUMIFS('caseload data'!E:E,'caseload data'!$B:$B,{"licence","community"},'caseload data'!$C:$C,'community %'!$T$15)),"")</f>
        <v/>
      </c>
      <c r="V18" s="187" t="str">
        <f>IFERROR(SUM(SUMIFS('caseload data'!F:F,'caseload data'!$C:$C,'community %'!$T$15,'caseload data'!$D:$D,"PSO",'caseload data'!$B:$B,{"licence","community"}))/SUM(SUMIFS('caseload data'!F:F,'caseload data'!$B:$B,{"licence","community"},'caseload data'!$C:$C,'community %'!$T$15)),"")</f>
        <v/>
      </c>
      <c r="W18" s="187" t="str">
        <f>IFERROR(SUM(SUMIFS('caseload data'!G:G,'caseload data'!$C:$C,'community %'!$T$15,'caseload data'!$D:$D,"PSO",'caseload data'!$B:$B,{"licence","community"}))/SUM(SUMIFS('caseload data'!G:G,'caseload data'!$B:$B,{"licence","community"},'caseload data'!$C:$C,'community %'!$T$15)),"")</f>
        <v/>
      </c>
      <c r="X18" s="187" t="str">
        <f>IFERROR(SUM(SUMIFS('caseload data'!H:H,'caseload data'!$C:$C,'community %'!$T$15,'caseload data'!$D:$D,"PSO",'caseload data'!$B:$B,{"licence","community"}))/SUM(SUMIFS('caseload data'!H:H,'caseload data'!$B:$B,{"licence","community"},'caseload data'!$C:$C,'community %'!$T$15)),"")</f>
        <v/>
      </c>
      <c r="Y18" s="187" t="str">
        <f>IFERROR(SUM(SUMIFS('caseload data'!I:I,'caseload data'!$C:$C,'community %'!$T$15,'caseload data'!$D:$D,"PSO",'caseload data'!$B:$B,{"licence","community"}))/SUM(SUMIFS('caseload data'!I:I,'caseload data'!$B:$B,{"licence","community"},'caseload data'!$C:$C,'community %'!$T$15)),"")</f>
        <v/>
      </c>
      <c r="Z18" s="187" t="str">
        <f>IFERROR(SUM(SUMIFS('caseload data'!J:J,'caseload data'!$C:$C,'community %'!$T$15,'caseload data'!$D:$D,"PSO",'caseload data'!$B:$B,{"licence","community"}))/SUM(SUMIFS('caseload data'!J:J,'caseload data'!$B:$B,{"licence","community"},'caseload data'!$C:$C,'community %'!$T$15)),"")</f>
        <v/>
      </c>
      <c r="AA18" s="187" t="str">
        <f>IFERROR(SUM(SUMIFS('caseload data'!K:K,'caseload data'!$C:$C,'community %'!$T$15,'caseload data'!$D:$D,"PSO",'caseload data'!$B:$B,{"licence","community"}))/SUM(SUMIFS('caseload data'!K:K,'caseload data'!$B:$B,{"licence","community"},'caseload data'!$C:$C,'community %'!$T$15)),"")</f>
        <v/>
      </c>
      <c r="AB18" s="187" t="str">
        <f>IFERROR(SUM(SUMIFS('caseload data'!L:L,'caseload data'!$C:$C,'community %'!$T$15,'caseload data'!$D:$D,"PSO",'caseload data'!$B:$B,{"licence","community"}))/SUM(SUMIFS('caseload data'!L:L,'caseload data'!$B:$B,{"licence","community"},'caseload data'!$C:$C,'community %'!$T$15)),"")</f>
        <v/>
      </c>
      <c r="AC18" s="187" t="str">
        <f>IFERROR(SUM(SUMIFS('caseload data'!M:M,'caseload data'!$C:$C,'community %'!$T$15,'caseload data'!$D:$D,"PSO",'caseload data'!$B:$B,{"licence","community"}))/SUM(SUMIFS('caseload data'!M:M,'caseload data'!$B:$B,{"licence","community"},'caseload data'!$C:$C,'community %'!$T$15)),"")</f>
        <v/>
      </c>
      <c r="AD18" s="187" t="str">
        <f>IFERROR(SUM(SUMIFS('caseload data'!N:N,'caseload data'!$C:$C,'community %'!$T$15,'caseload data'!$D:$D,"PSO",'caseload data'!$B:$B,{"licence","community"}))/SUM(SUMIFS('caseload data'!N:N,'caseload data'!$B:$B,{"licence","community"},'caseload data'!$C:$C,'community %'!$T$15)),"")</f>
        <v/>
      </c>
      <c r="AE18" s="187" t="str">
        <f>IFERROR(SUM(SUMIFS('caseload data'!O:O,'caseload data'!$C:$C,'community %'!$T$15,'caseload data'!$D:$D,"PSO",'caseload data'!$B:$B,{"licence","community"}))/SUM(SUMIFS('caseload data'!O:O,'caseload data'!$B:$B,{"licence","community"},'caseload data'!$C:$C,'community %'!$T$15)),"")</f>
        <v/>
      </c>
      <c r="AF18" s="187" t="str">
        <f>IFERROR(SUM(SUMIFS('caseload data'!P:P,'caseload data'!$C:$C,'community %'!$T$15,'caseload data'!$D:$D,"PSO",'caseload data'!$B:$B,{"licence","community"}))/SUM(SUMIFS('caseload data'!P:P,'caseload data'!$B:$B,{"licence","community"},'caseload data'!$C:$C,'community %'!$T$15)),"")</f>
        <v/>
      </c>
      <c r="AG18" s="187" t="str">
        <f>IFERROR(SUM(SUMIFS('caseload data'!Q:Q,'caseload data'!$C:$C,'community %'!$T$15,'caseload data'!$D:$D,"PSO",'caseload data'!$B:$B,{"licence","community"}))/SUM(SUMIFS('caseload data'!Q:Q,'caseload data'!$B:$B,{"licence","community"},'caseload data'!$C:$C,'community %'!$T$15)),"")</f>
        <v/>
      </c>
      <c r="AH18" s="187" t="str">
        <f>IFERROR(SUM(SUMIFS('caseload data'!R:R,'caseload data'!$C:$C,'community %'!$T$15,'caseload data'!$D:$D,"PSO",'caseload data'!$B:$B,{"licence","community"}))/SUM(SUMIFS('caseload data'!R:R,'caseload data'!$B:$B,{"licence","community"},'caseload data'!$C:$C,'community %'!$T$15)),"")</f>
        <v/>
      </c>
      <c r="AI18" s="187" t="str">
        <f>IFERROR(SUM(SUMIFS('caseload data'!S:S,'caseload data'!$C:$C,'community %'!$T$15,'caseload data'!$D:$D,"PSO",'caseload data'!$B:$B,{"licence","community"}))/SUM(SUMIFS('caseload data'!S:S,'caseload data'!$B:$B,{"licence","community"},'caseload data'!$C:$C,'community %'!$T$15)),"")</f>
        <v/>
      </c>
      <c r="AJ18" s="187" t="str">
        <f>IFERROR(SUM(SUMIFS('caseload data'!T:T,'caseload data'!$C:$C,'community %'!$T$15,'caseload data'!$D:$D,"PSO",'caseload data'!$B:$B,{"licence","community"}))/SUM(SUMIFS('caseload data'!T:T,'caseload data'!$B:$B,{"licence","community"},'caseload data'!$C:$C,'community %'!$T$15)),"")</f>
        <v/>
      </c>
    </row>
    <row r="19" spans="2:36" x14ac:dyDescent="0.15">
      <c r="B19" s="110" t="s">
        <v>1039</v>
      </c>
      <c r="C19" s="187" t="str">
        <f>IFERROR(SUM(SUMIFS('caseload data'!E:E,'caseload data'!$C:$C,'community %'!$B$15,'caseload data'!$D:$D,"TPO",'caseload data'!$B:$B,{"licence","community"}))/SUM(SUMIFS('caseload data'!E:E,'caseload data'!$B:$B,{"licence","community"},'caseload data'!$C:$C,'community %'!$B$15)),"")</f>
        <v/>
      </c>
      <c r="D19" s="187" t="str">
        <f>IFERROR(SUM(SUMIFS('caseload data'!F:F,'caseload data'!$C:$C,'community %'!$B$15,'caseload data'!$D:$D,"TPO",'caseload data'!$B:$B,{"licence","community"}))/SUM(SUMIFS('caseload data'!F:F,'caseload data'!$B:$B,{"licence","community"},'caseload data'!$C:$C,'community %'!$B$15)),"")</f>
        <v/>
      </c>
      <c r="E19" s="187" t="str">
        <f>IFERROR(SUM(SUMIFS('caseload data'!G:G,'caseload data'!$C:$C,'community %'!$B$15,'caseload data'!$D:$D,"TPO",'caseload data'!$B:$B,{"licence","community"}))/SUM(SUMIFS('caseload data'!G:G,'caseload data'!$B:$B,{"licence","community"},'caseload data'!$C:$C,'community %'!$B$15)),"")</f>
        <v/>
      </c>
      <c r="F19" s="187" t="str">
        <f>IFERROR(SUM(SUMIFS('caseload data'!H:H,'caseload data'!$C:$C,'community %'!$B$15,'caseload data'!$D:$D,"TPO",'caseload data'!$B:$B,{"licence","community"}))/SUM(SUMIFS('caseload data'!H:H,'caseload data'!$B:$B,{"licence","community"},'caseload data'!$C:$C,'community %'!$B$15)),"")</f>
        <v/>
      </c>
      <c r="G19" s="187" t="str">
        <f>IFERROR(SUM(SUMIFS('caseload data'!I:I,'caseload data'!$C:$C,'community %'!$B$15,'caseload data'!$D:$D,"TPO",'caseload data'!$B:$B,{"licence","community"}))/SUM(SUMIFS('caseload data'!I:I,'caseload data'!$B:$B,{"licence","community"},'caseload data'!$C:$C,'community %'!$B$15)),"")</f>
        <v/>
      </c>
      <c r="H19" s="187" t="str">
        <f>IFERROR(SUM(SUMIFS('caseload data'!J:J,'caseload data'!$C:$C,'community %'!$B$15,'caseload data'!$D:$D,"TPO",'caseload data'!$B:$B,{"licence","community"}))/SUM(SUMIFS('caseload data'!J:J,'caseload data'!$B:$B,{"licence","community"},'caseload data'!$C:$C,'community %'!$B$15)),"")</f>
        <v/>
      </c>
      <c r="I19" s="187" t="str">
        <f>IFERROR(SUM(SUMIFS('caseload data'!K:K,'caseload data'!$C:$C,'community %'!$B$15,'caseload data'!$D:$D,"TPO",'caseload data'!$B:$B,{"licence","community"}))/SUM(SUMIFS('caseload data'!K:K,'caseload data'!$B:$B,{"licence","community"},'caseload data'!$C:$C,'community %'!$B$15)),"")</f>
        <v/>
      </c>
      <c r="J19" s="187" t="str">
        <f>IFERROR(SUM(SUMIFS('caseload data'!L:L,'caseload data'!$C:$C,'community %'!$B$15,'caseload data'!$D:$D,"TPO",'caseload data'!$B:$B,{"licence","community"}))/SUM(SUMIFS('caseload data'!L:L,'caseload data'!$B:$B,{"licence","community"},'caseload data'!$C:$C,'community %'!$B$15)),"")</f>
        <v/>
      </c>
      <c r="K19" s="187" t="str">
        <f>IFERROR(SUM(SUMIFS('caseload data'!M:M,'caseload data'!$C:$C,'community %'!$B$15,'caseload data'!$D:$D,"TPO",'caseload data'!$B:$B,{"licence","community"}))/SUM(SUMIFS('caseload data'!M:M,'caseload data'!$B:$B,{"licence","community"},'caseload data'!$C:$C,'community %'!$B$15)),"")</f>
        <v/>
      </c>
      <c r="L19" s="187" t="str">
        <f>IFERROR(SUM(SUMIFS('caseload data'!N:N,'caseload data'!$C:$C,'community %'!$B$15,'caseload data'!$D:$D,"TPO",'caseload data'!$B:$B,{"licence","community"}))/SUM(SUMIFS('caseload data'!N:N,'caseload data'!$B:$B,{"licence","community"},'caseload data'!$C:$C,'community %'!$B$15)),"")</f>
        <v/>
      </c>
      <c r="M19" s="187" t="str">
        <f>IFERROR(SUM(SUMIFS('caseload data'!O:O,'caseload data'!$C:$C,'community %'!$B$15,'caseload data'!$D:$D,"TPO",'caseload data'!$B:$B,{"licence","community"}))/SUM(SUMIFS('caseload data'!O:O,'caseload data'!$B:$B,{"licence","community"},'caseload data'!$C:$C,'community %'!$B$15)),"")</f>
        <v/>
      </c>
      <c r="N19" s="187" t="str">
        <f>IFERROR(SUM(SUMIFS('caseload data'!P:P,'caseload data'!$C:$C,'community %'!$B$15,'caseload data'!$D:$D,"TPO",'caseload data'!$B:$B,{"licence","community"}))/SUM(SUMIFS('caseload data'!P:P,'caseload data'!$B:$B,{"licence","community"},'caseload data'!$C:$C,'community %'!$B$15)),"")</f>
        <v/>
      </c>
      <c r="O19" s="187" t="str">
        <f>IFERROR(SUM(SUMIFS('caseload data'!Q:Q,'caseload data'!$C:$C,'community %'!$B$15,'caseload data'!$D:$D,"TPO",'caseload data'!$B:$B,{"licence","community"}))/SUM(SUMIFS('caseload data'!Q:Q,'caseload data'!$B:$B,{"licence","community"},'caseload data'!$C:$C,'community %'!$B$15)),"")</f>
        <v/>
      </c>
      <c r="P19" s="187" t="str">
        <f>IFERROR(SUM(SUMIFS('caseload data'!R:R,'caseload data'!$C:$C,'community %'!$B$15,'caseload data'!$D:$D,"TPO",'caseload data'!$B:$B,{"licence","community"}))/SUM(SUMIFS('caseload data'!R:R,'caseload data'!$B:$B,{"licence","community"},'caseload data'!$C:$C,'community %'!$B$15)),"")</f>
        <v/>
      </c>
      <c r="Q19" s="187" t="str">
        <f>IFERROR(SUM(SUMIFS('caseload data'!S:S,'caseload data'!$C:$C,'community %'!$B$15,'caseload data'!$D:$D,"TPO",'caseload data'!$B:$B,{"licence","community"}))/SUM(SUMIFS('caseload data'!S:S,'caseload data'!$B:$B,{"licence","community"},'caseload data'!$C:$C,'community %'!$B$15)),"")</f>
        <v/>
      </c>
      <c r="R19" s="187" t="str">
        <f>IFERROR(SUM(SUMIFS('caseload data'!T:T,'caseload data'!$C:$C,'community %'!$B$15,'caseload data'!$D:$D,"TPO",'caseload data'!$B:$B,{"licence","community"}))/SUM(SUMIFS('caseload data'!T:T,'caseload data'!$B:$B,{"licence","community"},'caseload data'!$C:$C,'community %'!$B$15)),"")</f>
        <v/>
      </c>
      <c r="S19" s="76"/>
      <c r="T19" s="110" t="s">
        <v>1039</v>
      </c>
      <c r="U19" s="187" t="str">
        <f>IFERROR(SUM(SUMIFS('caseload data'!E:E,'caseload data'!$C:$C,'community %'!$T$15,'caseload data'!$D:$D,"TPO",'caseload data'!$B:$B,{"licence","community"}))/SUM(SUMIFS('caseload data'!E:E,'caseload data'!$B:$B,{"licence","community"},'caseload data'!$C:$C,'community %'!$T$15)),"")</f>
        <v/>
      </c>
      <c r="V19" s="187" t="str">
        <f>IFERROR(SUM(SUMIFS('caseload data'!F:F,'caseload data'!$C:$C,'community %'!$T$15,'caseload data'!$D:$D,"TPO",'caseload data'!$B:$B,{"licence","community"}))/SUM(SUMIFS('caseload data'!F:F,'caseload data'!$B:$B,{"licence","community"},'caseload data'!$C:$C,'community %'!$T$15)),"")</f>
        <v/>
      </c>
      <c r="W19" s="187" t="str">
        <f>IFERROR(SUM(SUMIFS('caseload data'!G:G,'caseload data'!$C:$C,'community %'!$T$15,'caseload data'!$D:$D,"TPO",'caseload data'!$B:$B,{"licence","community"}))/SUM(SUMIFS('caseload data'!G:G,'caseload data'!$B:$B,{"licence","community"},'caseload data'!$C:$C,'community %'!$T$15)),"")</f>
        <v/>
      </c>
      <c r="X19" s="187" t="str">
        <f>IFERROR(SUM(SUMIFS('caseload data'!H:H,'caseload data'!$C:$C,'community %'!$T$15,'caseload data'!$D:$D,"TPO",'caseload data'!$B:$B,{"licence","community"}))/SUM(SUMIFS('caseload data'!H:H,'caseload data'!$B:$B,{"licence","community"},'caseload data'!$C:$C,'community %'!$T$15)),"")</f>
        <v/>
      </c>
      <c r="Y19" s="187" t="str">
        <f>IFERROR(SUM(SUMIFS('caseload data'!I:I,'caseload data'!$C:$C,'community %'!$T$15,'caseload data'!$D:$D,"TPO",'caseload data'!$B:$B,{"licence","community"}))/SUM(SUMIFS('caseload data'!I:I,'caseload data'!$B:$B,{"licence","community"},'caseload data'!$C:$C,'community %'!$T$15)),"")</f>
        <v/>
      </c>
      <c r="Z19" s="187" t="str">
        <f>IFERROR(SUM(SUMIFS('caseload data'!J:J,'caseload data'!$C:$C,'community %'!$T$15,'caseload data'!$D:$D,"TPO",'caseload data'!$B:$B,{"licence","community"}))/SUM(SUMIFS('caseload data'!J:J,'caseload data'!$B:$B,{"licence","community"},'caseload data'!$C:$C,'community %'!$T$15)),"")</f>
        <v/>
      </c>
      <c r="AA19" s="187" t="str">
        <f>IFERROR(SUM(SUMIFS('caseload data'!K:K,'caseload data'!$C:$C,'community %'!$T$15,'caseload data'!$D:$D,"TPO",'caseload data'!$B:$B,{"licence","community"}))/SUM(SUMIFS('caseload data'!K:K,'caseload data'!$B:$B,{"licence","community"},'caseload data'!$C:$C,'community %'!$T$15)),"")</f>
        <v/>
      </c>
      <c r="AB19" s="187" t="str">
        <f>IFERROR(SUM(SUMIFS('caseload data'!L:L,'caseload data'!$C:$C,'community %'!$T$15,'caseload data'!$D:$D,"TPO",'caseload data'!$B:$B,{"licence","community"}))/SUM(SUMIFS('caseload data'!L:L,'caseload data'!$B:$B,{"licence","community"},'caseload data'!$C:$C,'community %'!$T$15)),"")</f>
        <v/>
      </c>
      <c r="AC19" s="187" t="str">
        <f>IFERROR(SUM(SUMIFS('caseload data'!M:M,'caseload data'!$C:$C,'community %'!$T$15,'caseload data'!$D:$D,"TPO",'caseload data'!$B:$B,{"licence","community"}))/SUM(SUMIFS('caseload data'!M:M,'caseload data'!$B:$B,{"licence","community"},'caseload data'!$C:$C,'community %'!$T$15)),"")</f>
        <v/>
      </c>
      <c r="AD19" s="187" t="str">
        <f>IFERROR(SUM(SUMIFS('caseload data'!N:N,'caseload data'!$C:$C,'community %'!$T$15,'caseload data'!$D:$D,"TPO",'caseload data'!$B:$B,{"licence","community"}))/SUM(SUMIFS('caseload data'!N:N,'caseload data'!$B:$B,{"licence","community"},'caseload data'!$C:$C,'community %'!$T$15)),"")</f>
        <v/>
      </c>
      <c r="AE19" s="187" t="str">
        <f>IFERROR(SUM(SUMIFS('caseload data'!O:O,'caseload data'!$C:$C,'community %'!$T$15,'caseload data'!$D:$D,"TPO",'caseload data'!$B:$B,{"licence","community"}))/SUM(SUMIFS('caseload data'!O:O,'caseload data'!$B:$B,{"licence","community"},'caseload data'!$C:$C,'community %'!$T$15)),"")</f>
        <v/>
      </c>
      <c r="AF19" s="187" t="str">
        <f>IFERROR(SUM(SUMIFS('caseload data'!P:P,'caseload data'!$C:$C,'community %'!$T$15,'caseload data'!$D:$D,"TPO",'caseload data'!$B:$B,{"licence","community"}))/SUM(SUMIFS('caseload data'!P:P,'caseload data'!$B:$B,{"licence","community"},'caseload data'!$C:$C,'community %'!$T$15)),"")</f>
        <v/>
      </c>
      <c r="AG19" s="187" t="str">
        <f>IFERROR(SUM(SUMIFS('caseload data'!Q:Q,'caseload data'!$C:$C,'community %'!$T$15,'caseload data'!$D:$D,"TPO",'caseload data'!$B:$B,{"licence","community"}))/SUM(SUMIFS('caseload data'!Q:Q,'caseload data'!$B:$B,{"licence","community"},'caseload data'!$C:$C,'community %'!$T$15)),"")</f>
        <v/>
      </c>
      <c r="AH19" s="187" t="str">
        <f>IFERROR(SUM(SUMIFS('caseload data'!R:R,'caseload data'!$C:$C,'community %'!$T$15,'caseload data'!$D:$D,"TPO",'caseload data'!$B:$B,{"licence","community"}))/SUM(SUMIFS('caseload data'!R:R,'caseload data'!$B:$B,{"licence","community"},'caseload data'!$C:$C,'community %'!$T$15)),"")</f>
        <v/>
      </c>
      <c r="AI19" s="187" t="str">
        <f>IFERROR(SUM(SUMIFS('caseload data'!S:S,'caseload data'!$C:$C,'community %'!$T$15,'caseload data'!$D:$D,"TPO",'caseload data'!$B:$B,{"licence","community"}))/SUM(SUMIFS('caseload data'!S:S,'caseload data'!$B:$B,{"licence","community"},'caseload data'!$C:$C,'community %'!$T$15)),"")</f>
        <v/>
      </c>
      <c r="AJ19" s="187" t="str">
        <f>IFERROR(SUM(SUMIFS('caseload data'!T:T,'caseload data'!$C:$C,'community %'!$T$15,'caseload data'!$D:$D,"TPO",'caseload data'!$B:$B,{"licence","community"}))/SUM(SUMIFS('caseload data'!T:T,'caseload data'!$B:$B,{"licence","community"},'caseload data'!$C:$C,'community %'!$T$15)),"")</f>
        <v/>
      </c>
    </row>
    <row r="20" spans="2:36" x14ac:dyDescent="0.15">
      <c r="B20" s="111" t="s">
        <v>1040</v>
      </c>
      <c r="C20" s="187" t="str">
        <f>IFERROR(SUM(SUMIFS('caseload data'!E:E,'caseload data'!$C:$C,'community %'!$B$15,'caseload data'!$D:$D,"SPO",'caseload data'!$B:$B,{"licence","community"}))/SUM(SUMIFS('caseload data'!E:E,'caseload data'!$B:$B,{"licence","community"},'caseload data'!$C:$C,'community %'!$B$15)),"")</f>
        <v/>
      </c>
      <c r="D20" s="187" t="str">
        <f>IFERROR(SUM(SUMIFS('caseload data'!F:F,'caseload data'!$C:$C,'community %'!$B$15,'caseload data'!$D:$D,"SPO",'caseload data'!$B:$B,{"licence","community"}))/SUM(SUMIFS('caseload data'!F:F,'caseload data'!$B:$B,{"licence","community"},'caseload data'!$C:$C,'community %'!$B$15)),"")</f>
        <v/>
      </c>
      <c r="E20" s="187" t="str">
        <f>IFERROR(SUM(SUMIFS('caseload data'!G:G,'caseload data'!$C:$C,'community %'!$B$15,'caseload data'!$D:$D,"SPO",'caseload data'!$B:$B,{"licence","community"}))/SUM(SUMIFS('caseload data'!G:G,'caseload data'!$B:$B,{"licence","community"},'caseload data'!$C:$C,'community %'!$B$15)),"")</f>
        <v/>
      </c>
      <c r="F20" s="187" t="str">
        <f>IFERROR(SUM(SUMIFS('caseload data'!H:H,'caseload data'!$C:$C,'community %'!$B$15,'caseload data'!$D:$D,"SPO",'caseload data'!$B:$B,{"licence","community"}))/SUM(SUMIFS('caseload data'!H:H,'caseload data'!$B:$B,{"licence","community"},'caseload data'!$C:$C,'community %'!$B$15)),"")</f>
        <v/>
      </c>
      <c r="G20" s="187" t="str">
        <f>IFERROR(SUM(SUMIFS('caseload data'!I:I,'caseload data'!$C:$C,'community %'!$B$15,'caseload data'!$D:$D,"SPO",'caseload data'!$B:$B,{"licence","community"}))/SUM(SUMIFS('caseload data'!I:I,'caseload data'!$B:$B,{"licence","community"},'caseload data'!$C:$C,'community %'!$B$15)),"")</f>
        <v/>
      </c>
      <c r="H20" s="187" t="str">
        <f>IFERROR(SUM(SUMIFS('caseload data'!J:J,'caseload data'!$C:$C,'community %'!$B$15,'caseload data'!$D:$D,"SPO",'caseload data'!$B:$B,{"licence","community"}))/SUM(SUMIFS('caseload data'!J:J,'caseload data'!$B:$B,{"licence","community"},'caseload data'!$C:$C,'community %'!$B$15)),"")</f>
        <v/>
      </c>
      <c r="I20" s="187" t="str">
        <f>IFERROR(SUM(SUMIFS('caseload data'!K:K,'caseload data'!$C:$C,'community %'!$B$15,'caseload data'!$D:$D,"SPO",'caseload data'!$B:$B,{"licence","community"}))/SUM(SUMIFS('caseload data'!K:K,'caseload data'!$B:$B,{"licence","community"},'caseload data'!$C:$C,'community %'!$B$15)),"")</f>
        <v/>
      </c>
      <c r="J20" s="187" t="str">
        <f>IFERROR(SUM(SUMIFS('caseload data'!L:L,'caseload data'!$C:$C,'community %'!$B$15,'caseload data'!$D:$D,"SPO",'caseload data'!$B:$B,{"licence","community"}))/SUM(SUMIFS('caseload data'!L:L,'caseload data'!$B:$B,{"licence","community"},'caseload data'!$C:$C,'community %'!$B$15)),"")</f>
        <v/>
      </c>
      <c r="K20" s="187" t="str">
        <f>IFERROR(SUM(SUMIFS('caseload data'!M:M,'caseload data'!$C:$C,'community %'!$B$15,'caseload data'!$D:$D,"SPO",'caseload data'!$B:$B,{"licence","community"}))/SUM(SUMIFS('caseload data'!M:M,'caseload data'!$B:$B,{"licence","community"},'caseload data'!$C:$C,'community %'!$B$15)),"")</f>
        <v/>
      </c>
      <c r="L20" s="187" t="str">
        <f>IFERROR(SUM(SUMIFS('caseload data'!N:N,'caseload data'!$C:$C,'community %'!$B$15,'caseload data'!$D:$D,"SPO",'caseload data'!$B:$B,{"licence","community"}))/SUM(SUMIFS('caseload data'!N:N,'caseload data'!$B:$B,{"licence","community"},'caseload data'!$C:$C,'community %'!$B$15)),"")</f>
        <v/>
      </c>
      <c r="M20" s="187" t="str">
        <f>IFERROR(SUM(SUMIFS('caseload data'!O:O,'caseload data'!$C:$C,'community %'!$B$15,'caseload data'!$D:$D,"SPO",'caseload data'!$B:$B,{"licence","community"}))/SUM(SUMIFS('caseload data'!O:O,'caseload data'!$B:$B,{"licence","community"},'caseload data'!$C:$C,'community %'!$B$15)),"")</f>
        <v/>
      </c>
      <c r="N20" s="187" t="str">
        <f>IFERROR(SUM(SUMIFS('caseload data'!P:P,'caseload data'!$C:$C,'community %'!$B$15,'caseload data'!$D:$D,"SPO",'caseload data'!$B:$B,{"licence","community"}))/SUM(SUMIFS('caseload data'!P:P,'caseload data'!$B:$B,{"licence","community"},'caseload data'!$C:$C,'community %'!$B$15)),"")</f>
        <v/>
      </c>
      <c r="O20" s="187" t="str">
        <f>IFERROR(SUM(SUMIFS('caseload data'!Q:Q,'caseload data'!$C:$C,'community %'!$B$15,'caseload data'!$D:$D,"SPO",'caseload data'!$B:$B,{"licence","community"}))/SUM(SUMIFS('caseload data'!Q:Q,'caseload data'!$B:$B,{"licence","community"},'caseload data'!$C:$C,'community %'!$B$15)),"")</f>
        <v/>
      </c>
      <c r="P20" s="187" t="str">
        <f>IFERROR(SUM(SUMIFS('caseload data'!R:R,'caseload data'!$C:$C,'community %'!$B$15,'caseload data'!$D:$D,"SPO",'caseload data'!$B:$B,{"licence","community"}))/SUM(SUMIFS('caseload data'!R:R,'caseload data'!$B:$B,{"licence","community"},'caseload data'!$C:$C,'community %'!$B$15)),"")</f>
        <v/>
      </c>
      <c r="Q20" s="187" t="str">
        <f>IFERROR(SUM(SUMIFS('caseload data'!S:S,'caseload data'!$C:$C,'community %'!$B$15,'caseload data'!$D:$D,"SPO",'caseload data'!$B:$B,{"licence","community"}))/SUM(SUMIFS('caseload data'!S:S,'caseload data'!$B:$B,{"licence","community"},'caseload data'!$C:$C,'community %'!$B$15)),"")</f>
        <v/>
      </c>
      <c r="R20" s="187" t="str">
        <f>IFERROR(SUM(SUMIFS('caseload data'!T:T,'caseload data'!$C:$C,'community %'!$B$15,'caseload data'!$D:$D,"SPO",'caseload data'!$B:$B,{"licence","community"}))/SUM(SUMIFS('caseload data'!T:T,'caseload data'!$B:$B,{"licence","community"},'caseload data'!$C:$C,'community %'!$B$15)),"")</f>
        <v/>
      </c>
      <c r="S20" s="76"/>
      <c r="T20" s="111" t="s">
        <v>1040</v>
      </c>
      <c r="U20" s="187" t="str">
        <f>IFERROR(SUM(SUMIFS('caseload data'!E:E,'caseload data'!$C:$C,'community %'!$T$15,'caseload data'!$D:$D,"SPO",'caseload data'!$B:$B,{"licence","community"}))/SUM(SUMIFS('caseload data'!E:E,'caseload data'!$B:$B,{"licence","community"},'caseload data'!$C:$C,'community %'!$T$15)),"")</f>
        <v/>
      </c>
      <c r="V20" s="187" t="str">
        <f>IFERROR(SUM(SUMIFS('caseload data'!F:F,'caseload data'!$C:$C,'community %'!$T$15,'caseload data'!$D:$D,"SPO",'caseload data'!$B:$B,{"licence","community"}))/SUM(SUMIFS('caseload data'!F:F,'caseload data'!$B:$B,{"licence","community"},'caseload data'!$C:$C,'community %'!$T$15)),"")</f>
        <v/>
      </c>
      <c r="W20" s="187" t="str">
        <f>IFERROR(SUM(SUMIFS('caseload data'!G:G,'caseload data'!$C:$C,'community %'!$T$15,'caseload data'!$D:$D,"SPO",'caseload data'!$B:$B,{"licence","community"}))/SUM(SUMIFS('caseload data'!G:G,'caseload data'!$B:$B,{"licence","community"},'caseload data'!$C:$C,'community %'!$T$15)),"")</f>
        <v/>
      </c>
      <c r="X20" s="187" t="str">
        <f>IFERROR(SUM(SUMIFS('caseload data'!H:H,'caseload data'!$C:$C,'community %'!$T$15,'caseload data'!$D:$D,"SPO",'caseload data'!$B:$B,{"licence","community"}))/SUM(SUMIFS('caseload data'!H:H,'caseload data'!$B:$B,{"licence","community"},'caseload data'!$C:$C,'community %'!$T$15)),"")</f>
        <v/>
      </c>
      <c r="Y20" s="187" t="str">
        <f>IFERROR(SUM(SUMIFS('caseload data'!I:I,'caseload data'!$C:$C,'community %'!$T$15,'caseload data'!$D:$D,"SPO",'caseload data'!$B:$B,{"licence","community"}))/SUM(SUMIFS('caseload data'!I:I,'caseload data'!$B:$B,{"licence","community"},'caseload data'!$C:$C,'community %'!$T$15)),"")</f>
        <v/>
      </c>
      <c r="Z20" s="187" t="str">
        <f>IFERROR(SUM(SUMIFS('caseload data'!J:J,'caseload data'!$C:$C,'community %'!$T$15,'caseload data'!$D:$D,"SPO",'caseload data'!$B:$B,{"licence","community"}))/SUM(SUMIFS('caseload data'!J:J,'caseload data'!$B:$B,{"licence","community"},'caseload data'!$C:$C,'community %'!$T$15)),"")</f>
        <v/>
      </c>
      <c r="AA20" s="187" t="str">
        <f>IFERROR(SUM(SUMIFS('caseload data'!K:K,'caseload data'!$C:$C,'community %'!$T$15,'caseload data'!$D:$D,"SPO",'caseload data'!$B:$B,{"licence","community"}))/SUM(SUMIFS('caseload data'!K:K,'caseload data'!$B:$B,{"licence","community"},'caseload data'!$C:$C,'community %'!$T$15)),"")</f>
        <v/>
      </c>
      <c r="AB20" s="187" t="str">
        <f>IFERROR(SUM(SUMIFS('caseload data'!L:L,'caseload data'!$C:$C,'community %'!$T$15,'caseload data'!$D:$D,"SPO",'caseload data'!$B:$B,{"licence","community"}))/SUM(SUMIFS('caseload data'!L:L,'caseload data'!$B:$B,{"licence","community"},'caseload data'!$C:$C,'community %'!$T$15)),"")</f>
        <v/>
      </c>
      <c r="AC20" s="187" t="str">
        <f>IFERROR(SUM(SUMIFS('caseload data'!M:M,'caseload data'!$C:$C,'community %'!$T$15,'caseload data'!$D:$D,"SPO",'caseload data'!$B:$B,{"licence","community"}))/SUM(SUMIFS('caseload data'!M:M,'caseload data'!$B:$B,{"licence","community"},'caseload data'!$C:$C,'community %'!$T$15)),"")</f>
        <v/>
      </c>
      <c r="AD20" s="187" t="str">
        <f>IFERROR(SUM(SUMIFS('caseload data'!N:N,'caseload data'!$C:$C,'community %'!$T$15,'caseload data'!$D:$D,"SPO",'caseload data'!$B:$B,{"licence","community"}))/SUM(SUMIFS('caseload data'!N:N,'caseload data'!$B:$B,{"licence","community"},'caseload data'!$C:$C,'community %'!$T$15)),"")</f>
        <v/>
      </c>
      <c r="AE20" s="187" t="str">
        <f>IFERROR(SUM(SUMIFS('caseload data'!O:O,'caseload data'!$C:$C,'community %'!$T$15,'caseload data'!$D:$D,"SPO",'caseload data'!$B:$B,{"licence","community"}))/SUM(SUMIFS('caseload data'!O:O,'caseload data'!$B:$B,{"licence","community"},'caseload data'!$C:$C,'community %'!$T$15)),"")</f>
        <v/>
      </c>
      <c r="AF20" s="187" t="str">
        <f>IFERROR(SUM(SUMIFS('caseload data'!P:P,'caseload data'!$C:$C,'community %'!$T$15,'caseload data'!$D:$D,"SPO",'caseload data'!$B:$B,{"licence","community"}))/SUM(SUMIFS('caseload data'!P:P,'caseload data'!$B:$B,{"licence","community"},'caseload data'!$C:$C,'community %'!$T$15)),"")</f>
        <v/>
      </c>
      <c r="AG20" s="187" t="str">
        <f>IFERROR(SUM(SUMIFS('caseload data'!Q:Q,'caseload data'!$C:$C,'community %'!$T$15,'caseload data'!$D:$D,"SPO",'caseload data'!$B:$B,{"licence","community"}))/SUM(SUMIFS('caseload data'!Q:Q,'caseload data'!$B:$B,{"licence","community"},'caseload data'!$C:$C,'community %'!$T$15)),"")</f>
        <v/>
      </c>
      <c r="AH20" s="187" t="str">
        <f>IFERROR(SUM(SUMIFS('caseload data'!R:R,'caseload data'!$C:$C,'community %'!$T$15,'caseload data'!$D:$D,"SPO",'caseload data'!$B:$B,{"licence","community"}))/SUM(SUMIFS('caseload data'!R:R,'caseload data'!$B:$B,{"licence","community"},'caseload data'!$C:$C,'community %'!$T$15)),"")</f>
        <v/>
      </c>
      <c r="AI20" s="187" t="str">
        <f>IFERROR(SUM(SUMIFS('caseload data'!S:S,'caseload data'!$C:$C,'community %'!$T$15,'caseload data'!$D:$D,"SPO",'caseload data'!$B:$B,{"licence","community"}))/SUM(SUMIFS('caseload data'!S:S,'caseload data'!$B:$B,{"licence","community"},'caseload data'!$C:$C,'community %'!$T$15)),"")</f>
        <v/>
      </c>
      <c r="AJ20" s="187" t="str">
        <f>IFERROR(SUM(SUMIFS('caseload data'!T:T,'caseload data'!$C:$C,'community %'!$T$15,'caseload data'!$D:$D,"SPO",'caseload data'!$B:$B,{"licence","community"}))/SUM(SUMIFS('caseload data'!T:T,'caseload data'!$B:$B,{"licence","community"},'caseload data'!$C:$C,'community %'!$T$15)),"")</f>
        <v/>
      </c>
    </row>
    <row r="21" spans="2:36" x14ac:dyDescent="0.15">
      <c r="B21" s="10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04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</row>
    <row r="22" spans="2:36" ht="48" customHeight="1" x14ac:dyDescent="0.15">
      <c r="B22" s="162" t="str">
        <f>HLOOKUP($B$5,Region_Table,6,0)</f>
        <v>Camden, Islington</v>
      </c>
      <c r="C22" s="333" t="s">
        <v>1269</v>
      </c>
      <c r="D22" s="334"/>
      <c r="E22" s="334"/>
      <c r="F22" s="334"/>
      <c r="G22" s="334"/>
      <c r="H22" s="334"/>
      <c r="I22" s="334"/>
      <c r="J22" s="334"/>
      <c r="K22" s="334"/>
      <c r="L22" s="334"/>
      <c r="M22" s="343"/>
      <c r="N22" s="343"/>
      <c r="O22" s="344"/>
      <c r="P22" s="337" cm="1">
        <f t="array" ref="P22">SUM(SUMIFS('caseload data'!V:V,'caseload data'!B:B,{"licence","community"},'caseload data'!$C:$C,B22))</f>
        <v>0</v>
      </c>
      <c r="Q22" s="345"/>
      <c r="R22" s="346"/>
      <c r="S22" s="76"/>
      <c r="T22" s="162" t="str">
        <f>HLOOKUP($B$5,Region_Table,7,0)</f>
        <v>Community Integration</v>
      </c>
      <c r="U22" s="333" t="s">
        <v>1269</v>
      </c>
      <c r="V22" s="334"/>
      <c r="W22" s="334"/>
      <c r="X22" s="334"/>
      <c r="Y22" s="334"/>
      <c r="Z22" s="334"/>
      <c r="AA22" s="334"/>
      <c r="AB22" s="334"/>
      <c r="AC22" s="334"/>
      <c r="AD22" s="334"/>
      <c r="AE22" s="343"/>
      <c r="AF22" s="343"/>
      <c r="AG22" s="344"/>
      <c r="AH22" s="337" cm="1">
        <f t="array" ref="AH22">SUM(SUMIFS('caseload data'!V:V,'caseload data'!B:B,{"licence","community"},'caseload data'!$C:$C,T22))</f>
        <v>0</v>
      </c>
      <c r="AI22" s="345"/>
      <c r="AJ22" s="346"/>
    </row>
    <row r="23" spans="2:36" x14ac:dyDescent="0.15">
      <c r="B23" s="108" t="s">
        <v>1199</v>
      </c>
      <c r="C23" s="42" t="s">
        <v>1019</v>
      </c>
      <c r="D23" s="42" t="s">
        <v>1020</v>
      </c>
      <c r="E23" s="42" t="s">
        <v>1021</v>
      </c>
      <c r="F23" s="42" t="s">
        <v>1022</v>
      </c>
      <c r="G23" s="42" t="s">
        <v>1023</v>
      </c>
      <c r="H23" s="42" t="s">
        <v>1024</v>
      </c>
      <c r="I23" s="42" t="s">
        <v>1025</v>
      </c>
      <c r="J23" s="42" t="s">
        <v>1026</v>
      </c>
      <c r="K23" s="42" t="s">
        <v>1027</v>
      </c>
      <c r="L23" s="42" t="s">
        <v>1028</v>
      </c>
      <c r="M23" s="42" t="s">
        <v>1029</v>
      </c>
      <c r="N23" s="42" t="s">
        <v>1030</v>
      </c>
      <c r="O23" s="42" t="s">
        <v>1031</v>
      </c>
      <c r="P23" s="42" t="s">
        <v>1032</v>
      </c>
      <c r="Q23" s="42" t="s">
        <v>1033</v>
      </c>
      <c r="R23" s="42" t="s">
        <v>1034</v>
      </c>
      <c r="S23" s="76"/>
      <c r="T23" s="108" t="s">
        <v>1199</v>
      </c>
      <c r="U23" s="42" t="s">
        <v>1019</v>
      </c>
      <c r="V23" s="42" t="s">
        <v>1020</v>
      </c>
      <c r="W23" s="42" t="s">
        <v>1021</v>
      </c>
      <c r="X23" s="42" t="s">
        <v>1022</v>
      </c>
      <c r="Y23" s="42" t="s">
        <v>1023</v>
      </c>
      <c r="Z23" s="42" t="s">
        <v>1024</v>
      </c>
      <c r="AA23" s="42" t="s">
        <v>1025</v>
      </c>
      <c r="AB23" s="42" t="s">
        <v>1026</v>
      </c>
      <c r="AC23" s="42" t="s">
        <v>1027</v>
      </c>
      <c r="AD23" s="42" t="s">
        <v>1028</v>
      </c>
      <c r="AE23" s="42" t="s">
        <v>1029</v>
      </c>
      <c r="AF23" s="42" t="s">
        <v>1030</v>
      </c>
      <c r="AG23" s="42" t="s">
        <v>1031</v>
      </c>
      <c r="AH23" s="42" t="s">
        <v>1032</v>
      </c>
      <c r="AI23" s="42" t="s">
        <v>1033</v>
      </c>
      <c r="AJ23" s="42" t="s">
        <v>1034</v>
      </c>
    </row>
    <row r="24" spans="2:36" x14ac:dyDescent="0.15">
      <c r="B24" s="109" t="s">
        <v>1037</v>
      </c>
      <c r="C24" s="187" t="str">
        <f>IFERROR(SUM(SUMIFS('caseload data'!E:E,'caseload data'!$C:$C,'community %'!$B$22,'caseload data'!$D:$D,"PO",'caseload data'!$B:$B,{"licence","community"}))/SUM(SUMIFS('caseload data'!E:E,'caseload data'!$B:$B,{"licence","community"},'caseload data'!$C:$C,'community %'!$B$22)),"")</f>
        <v/>
      </c>
      <c r="D24" s="187" t="str">
        <f>IFERROR(SUM(SUMIFS('caseload data'!F:F,'caseload data'!$C:$C,'community %'!$B$22,'caseload data'!$D:$D,"PO",'caseload data'!$B:$B,{"licence","community"}))/SUM(SUMIFS('caseload data'!F:F,'caseload data'!$B:$B,{"licence","community"},'caseload data'!$C:$C,'community %'!$B$22)),"")</f>
        <v/>
      </c>
      <c r="E24" s="187" t="str">
        <f>IFERROR(SUM(SUMIFS('caseload data'!G:G,'caseload data'!$C:$C,'community %'!$B$22,'caseload data'!$D:$D,"PO",'caseload data'!$B:$B,{"licence","community"}))/SUM(SUMIFS('caseload data'!G:G,'caseload data'!$B:$B,{"licence","community"},'caseload data'!$C:$C,'community %'!$B$22)),"")</f>
        <v/>
      </c>
      <c r="F24" s="187" t="str">
        <f>IFERROR(SUM(SUMIFS('caseload data'!H:H,'caseload data'!$C:$C,'community %'!$B$22,'caseload data'!$D:$D,"PO",'caseload data'!$B:$B,{"licence","community"}))/SUM(SUMIFS('caseload data'!H:H,'caseload data'!$B:$B,{"licence","community"},'caseload data'!$C:$C,'community %'!$B$22)),"")</f>
        <v/>
      </c>
      <c r="G24" s="187" t="str">
        <f>IFERROR(SUM(SUMIFS('caseload data'!I:I,'caseload data'!$C:$C,'community %'!$B$22,'caseload data'!$D:$D,"PO",'caseload data'!$B:$B,{"licence","community"}))/SUM(SUMIFS('caseload data'!I:I,'caseload data'!$B:$B,{"licence","community"},'caseload data'!$C:$C,'community %'!$B$22)),"")</f>
        <v/>
      </c>
      <c r="H24" s="187" t="str">
        <f>IFERROR(SUM(SUMIFS('caseload data'!J:J,'caseload data'!$C:$C,'community %'!$B$22,'caseload data'!$D:$D,"PO",'caseload data'!$B:$B,{"licence","community"}))/SUM(SUMIFS('caseload data'!J:J,'caseload data'!$B:$B,{"licence","community"},'caseload data'!$C:$C,'community %'!$B$22)),"")</f>
        <v/>
      </c>
      <c r="I24" s="187" t="str">
        <f>IFERROR(SUM(SUMIFS('caseload data'!K:K,'caseload data'!$C:$C,'community %'!$B$22,'caseload data'!$D:$D,"PO",'caseload data'!$B:$B,{"licence","community"}))/SUM(SUMIFS('caseload data'!K:K,'caseload data'!$B:$B,{"licence","community"},'caseload data'!$C:$C,'community %'!$B$22)),"")</f>
        <v/>
      </c>
      <c r="J24" s="187" t="str">
        <f>IFERROR(SUM(SUMIFS('caseload data'!L:L,'caseload data'!$C:$C,'community %'!$B$22,'caseload data'!$D:$D,"PO",'caseload data'!$B:$B,{"licence","community"}))/SUM(SUMIFS('caseload data'!L:L,'caseload data'!$B:$B,{"licence","community"},'caseload data'!$C:$C,'community %'!$B$22)),"")</f>
        <v/>
      </c>
      <c r="K24" s="187" t="str">
        <f>IFERROR(SUM(SUMIFS('caseload data'!M:M,'caseload data'!$C:$C,'community %'!$B$22,'caseload data'!$D:$D,"PO",'caseload data'!$B:$B,{"licence","community"}))/SUM(SUMIFS('caseload data'!M:M,'caseload data'!$B:$B,{"licence","community"},'caseload data'!$C:$C,'community %'!$B$22)),"")</f>
        <v/>
      </c>
      <c r="L24" s="187" t="str">
        <f>IFERROR(SUM(SUMIFS('caseload data'!N:N,'caseload data'!$C:$C,'community %'!$B$22,'caseload data'!$D:$D,"PO",'caseload data'!$B:$B,{"licence","community"}))/SUM(SUMIFS('caseload data'!N:N,'caseload data'!$B:$B,{"licence","community"},'caseload data'!$C:$C,'community %'!$B$22)),"")</f>
        <v/>
      </c>
      <c r="M24" s="187" t="str">
        <f>IFERROR(SUM(SUMIFS('caseload data'!O:O,'caseload data'!$C:$C,'community %'!$B$22,'caseload data'!$D:$D,"PO",'caseload data'!$B:$B,{"licence","community"}))/SUM(SUMIFS('caseload data'!O:O,'caseload data'!$B:$B,{"licence","community"},'caseload data'!$C:$C,'community %'!$B$22)),"")</f>
        <v/>
      </c>
      <c r="N24" s="187" t="str">
        <f>IFERROR(SUM(SUMIFS('caseload data'!P:P,'caseload data'!$C:$C,'community %'!$B$22,'caseload data'!$D:$D,"PO",'caseload data'!$B:$B,{"licence","community"}))/SUM(SUMIFS('caseload data'!P:P,'caseload data'!$B:$B,{"licence","community"},'caseload data'!$C:$C,'community %'!$B$22)),"")</f>
        <v/>
      </c>
      <c r="O24" s="187" t="str">
        <f>IFERROR(SUM(SUMIFS('caseload data'!Q:Q,'caseload data'!$C:$C,'community %'!$B$22,'caseload data'!$D:$D,"PO",'caseload data'!$B:$B,{"licence","community"}))/SUM(SUMIFS('caseload data'!Q:Q,'caseload data'!$B:$B,{"licence","community"},'caseload data'!$C:$C,'community %'!$B$22)),"")</f>
        <v/>
      </c>
      <c r="P24" s="187" t="str">
        <f>IFERROR(SUM(SUMIFS('caseload data'!R:R,'caseload data'!$C:$C,'community %'!$B$22,'caseload data'!$D:$D,"PO",'caseload data'!$B:$B,{"licence","community"}))/SUM(SUMIFS('caseload data'!R:R,'caseload data'!$B:$B,{"licence","community"},'caseload data'!$C:$C,'community %'!$B$22)),"")</f>
        <v/>
      </c>
      <c r="Q24" s="187" t="str">
        <f>IFERROR(SUM(SUMIFS('caseload data'!S:S,'caseload data'!$C:$C,'community %'!$B$22,'caseload data'!$D:$D,"PO",'caseload data'!$B:$B,{"licence","community"}))/SUM(SUMIFS('caseload data'!S:S,'caseload data'!$B:$B,{"licence","community"},'caseload data'!$C:$C,'community %'!$B$22)),"")</f>
        <v/>
      </c>
      <c r="R24" s="187" t="str">
        <f>IFERROR(SUM(SUMIFS('caseload data'!T:T,'caseload data'!$C:$C,'community %'!$B$22,'caseload data'!$D:$D,"PO",'caseload data'!$B:$B,{"licence","community"}))/SUM(SUMIFS('caseload data'!T:T,'caseload data'!$B:$B,{"licence","community"},'caseload data'!$C:$C,'community %'!$B$22)),"")</f>
        <v/>
      </c>
      <c r="S24" s="76"/>
      <c r="T24" s="109" t="s">
        <v>1037</v>
      </c>
      <c r="U24" s="187" t="str">
        <f>IFERROR(SUM(SUMIFS('caseload data'!E:E,'caseload data'!$C:$C,'community %'!$T$22,'caseload data'!$D:$D,"PO",'caseload data'!$B:$B,{"licence","community"}))/SUM(SUMIFS('caseload data'!E:E,'caseload data'!$B:$B,{"licence","community"},'caseload data'!$C:$C,'community %'!$T$22)),"")</f>
        <v/>
      </c>
      <c r="V24" s="187" t="str">
        <f>IFERROR(SUM(SUMIFS('caseload data'!F:F,'caseload data'!$C:$C,'community %'!$T$22,'caseload data'!$D:$D,"PO",'caseload data'!$B:$B,{"licence","community"}))/SUM(SUMIFS('caseload data'!F:F,'caseload data'!$B:$B,{"licence","community"},'caseload data'!$C:$C,'community %'!$T$22)),"")</f>
        <v/>
      </c>
      <c r="W24" s="187" t="str">
        <f>IFERROR(SUM(SUMIFS('caseload data'!G:G,'caseload data'!$C:$C,'community %'!$T$22,'caseload data'!$D:$D,"PO",'caseload data'!$B:$B,{"licence","community"}))/SUM(SUMIFS('caseload data'!G:G,'caseload data'!$B:$B,{"licence","community"},'caseload data'!$C:$C,'community %'!$T$22)),"")</f>
        <v/>
      </c>
      <c r="X24" s="187" t="str">
        <f>IFERROR(SUM(SUMIFS('caseload data'!H:H,'caseload data'!$C:$C,'community %'!$T$22,'caseload data'!$D:$D,"PO",'caseload data'!$B:$B,{"licence","community"}))/SUM(SUMIFS('caseload data'!H:H,'caseload data'!$B:$B,{"licence","community"},'caseload data'!$C:$C,'community %'!$T$22)),"")</f>
        <v/>
      </c>
      <c r="Y24" s="187" t="str">
        <f>IFERROR(SUM(SUMIFS('caseload data'!I:I,'caseload data'!$C:$C,'community %'!$T$22,'caseload data'!$D:$D,"PO",'caseload data'!$B:$B,{"licence","community"}))/SUM(SUMIFS('caseload data'!I:I,'caseload data'!$B:$B,{"licence","community"},'caseload data'!$C:$C,'community %'!$T$22)),"")</f>
        <v/>
      </c>
      <c r="Z24" s="187" t="str">
        <f>IFERROR(SUM(SUMIFS('caseload data'!J:J,'caseload data'!$C:$C,'community %'!$T$22,'caseload data'!$D:$D,"PO",'caseload data'!$B:$B,{"licence","community"}))/SUM(SUMIFS('caseload data'!J:J,'caseload data'!$B:$B,{"licence","community"},'caseload data'!$C:$C,'community %'!$T$22)),"")</f>
        <v/>
      </c>
      <c r="AA24" s="187" t="str">
        <f>IFERROR(SUM(SUMIFS('caseload data'!K:K,'caseload data'!$C:$C,'community %'!$T$22,'caseload data'!$D:$D,"PO",'caseload data'!$B:$B,{"licence","community"}))/SUM(SUMIFS('caseload data'!K:K,'caseload data'!$B:$B,{"licence","community"},'caseload data'!$C:$C,'community %'!$T$22)),"")</f>
        <v/>
      </c>
      <c r="AB24" s="187" t="str">
        <f>IFERROR(SUM(SUMIFS('caseload data'!L:L,'caseload data'!$C:$C,'community %'!$T$22,'caseload data'!$D:$D,"PO",'caseload data'!$B:$B,{"licence","community"}))/SUM(SUMIFS('caseload data'!L:L,'caseload data'!$B:$B,{"licence","community"},'caseload data'!$C:$C,'community %'!$T$22)),"")</f>
        <v/>
      </c>
      <c r="AC24" s="187" t="str">
        <f>IFERROR(SUM(SUMIFS('caseload data'!M:M,'caseload data'!$C:$C,'community %'!$T$22,'caseload data'!$D:$D,"PO",'caseload data'!$B:$B,{"licence","community"}))/SUM(SUMIFS('caseload data'!M:M,'caseload data'!$B:$B,{"licence","community"},'caseload data'!$C:$C,'community %'!$T$22)),"")</f>
        <v/>
      </c>
      <c r="AD24" s="187" t="str">
        <f>IFERROR(SUM(SUMIFS('caseload data'!N:N,'caseload data'!$C:$C,'community %'!$T$22,'caseload data'!$D:$D,"PO",'caseload data'!$B:$B,{"licence","community"}))/SUM(SUMIFS('caseload data'!N:N,'caseload data'!$B:$B,{"licence","community"},'caseload data'!$C:$C,'community %'!$T$22)),"")</f>
        <v/>
      </c>
      <c r="AE24" s="187" t="str">
        <f>IFERROR(SUM(SUMIFS('caseload data'!O:O,'caseload data'!$C:$C,'community %'!$T$22,'caseload data'!$D:$D,"PO",'caseload data'!$B:$B,{"licence","community"}))/SUM(SUMIFS('caseload data'!O:O,'caseload data'!$B:$B,{"licence","community"},'caseload data'!$C:$C,'community %'!$T$22)),"")</f>
        <v/>
      </c>
      <c r="AF24" s="187" t="str">
        <f>IFERROR(SUM(SUMIFS('caseload data'!P:P,'caseload data'!$C:$C,'community %'!$T$22,'caseload data'!$D:$D,"PO",'caseload data'!$B:$B,{"licence","community"}))/SUM(SUMIFS('caseload data'!P:P,'caseload data'!$B:$B,{"licence","community"},'caseload data'!$C:$C,'community %'!$T$22)),"")</f>
        <v/>
      </c>
      <c r="AG24" s="187" t="str">
        <f>IFERROR(SUM(SUMIFS('caseload data'!Q:Q,'caseload data'!$C:$C,'community %'!$T$22,'caseload data'!$D:$D,"PO",'caseload data'!$B:$B,{"licence","community"}))/SUM(SUMIFS('caseload data'!Q:Q,'caseload data'!$B:$B,{"licence","community"},'caseload data'!$C:$C,'community %'!$T$22)),"")</f>
        <v/>
      </c>
      <c r="AH24" s="187" t="str">
        <f>IFERROR(SUM(SUMIFS('caseload data'!R:R,'caseload data'!$C:$C,'community %'!$T$22,'caseload data'!$D:$D,"PO",'caseload data'!$B:$B,{"licence","community"}))/SUM(SUMIFS('caseload data'!R:R,'caseload data'!$B:$B,{"licence","community"},'caseload data'!$C:$C,'community %'!$T$22)),"")</f>
        <v/>
      </c>
      <c r="AI24" s="187" t="str">
        <f>IFERROR(SUM(SUMIFS('caseload data'!S:S,'caseload data'!$C:$C,'community %'!$T$22,'caseload data'!$D:$D,"PO",'caseload data'!$B:$B,{"licence","community"}))/SUM(SUMIFS('caseload data'!S:S,'caseload data'!$B:$B,{"licence","community"},'caseload data'!$C:$C,'community %'!$T$22)),"")</f>
        <v/>
      </c>
      <c r="AJ24" s="187" t="str">
        <f>IFERROR(SUM(SUMIFS('caseload data'!T:T,'caseload data'!$C:$C,'community %'!$T$22,'caseload data'!$D:$D,"PO",'caseload data'!$B:$B,{"licence","community"}))/SUM(SUMIFS('caseload data'!T:T,'caseload data'!$B:$B,{"licence","community"},'caseload data'!$C:$C,'community %'!$T$22)),"")</f>
        <v/>
      </c>
    </row>
    <row r="25" spans="2:36" x14ac:dyDescent="0.15">
      <c r="B25" s="110" t="s">
        <v>1038</v>
      </c>
      <c r="C25" s="187" t="str">
        <f>IFERROR(SUM(SUMIFS('caseload data'!E:E,'caseload data'!$C:$C,'community %'!$B$22,'caseload data'!$D:$D,"PSO",'caseload data'!$B:$B,{"licence","community"}))/SUM(SUMIFS('caseload data'!E:E,'caseload data'!$B:$B,{"licence","community"},'caseload data'!$C:$C,'community %'!$B$22)),"")</f>
        <v/>
      </c>
      <c r="D25" s="187" t="str">
        <f>IFERROR(SUM(SUMIFS('caseload data'!F:F,'caseload data'!$C:$C,'community %'!$B$22,'caseload data'!$D:$D,"PSO",'caseload data'!$B:$B,{"licence","community"}))/SUM(SUMIFS('caseload data'!F:F,'caseload data'!$B:$B,{"licence","community"},'caseload data'!$C:$C,'community %'!$B$22)),"")</f>
        <v/>
      </c>
      <c r="E25" s="187" t="str">
        <f>IFERROR(SUM(SUMIFS('caseload data'!G:G,'caseload data'!$C:$C,'community %'!$B$22,'caseload data'!$D:$D,"PSO",'caseload data'!$B:$B,{"licence","community"}))/SUM(SUMIFS('caseload data'!G:G,'caseload data'!$B:$B,{"licence","community"},'caseload data'!$C:$C,'community %'!$B$22)),"")</f>
        <v/>
      </c>
      <c r="F25" s="187" t="str">
        <f>IFERROR(SUM(SUMIFS('caseload data'!H:H,'caseload data'!$C:$C,'community %'!$B$22,'caseload data'!$D:$D,"PSO",'caseload data'!$B:$B,{"licence","community"}))/SUM(SUMIFS('caseload data'!H:H,'caseload data'!$B:$B,{"licence","community"},'caseload data'!$C:$C,'community %'!$B$22)),"")</f>
        <v/>
      </c>
      <c r="G25" s="187" t="str">
        <f>IFERROR(SUM(SUMIFS('caseload data'!I:I,'caseload data'!$C:$C,'community %'!$B$22,'caseload data'!$D:$D,"PSO",'caseload data'!$B:$B,{"licence","community"}))/SUM(SUMIFS('caseload data'!I:I,'caseload data'!$B:$B,{"licence","community"},'caseload data'!$C:$C,'community %'!$B$22)),"")</f>
        <v/>
      </c>
      <c r="H25" s="187" t="str">
        <f>IFERROR(SUM(SUMIFS('caseload data'!J:J,'caseload data'!$C:$C,'community %'!$B$22,'caseload data'!$D:$D,"PSO",'caseload data'!$B:$B,{"licence","community"}))/SUM(SUMIFS('caseload data'!J:J,'caseload data'!$B:$B,{"licence","community"},'caseload data'!$C:$C,'community %'!$B$22)),"")</f>
        <v/>
      </c>
      <c r="I25" s="187" t="str">
        <f>IFERROR(SUM(SUMIFS('caseload data'!K:K,'caseload data'!$C:$C,'community %'!$B$22,'caseload data'!$D:$D,"PSO",'caseload data'!$B:$B,{"licence","community"}))/SUM(SUMIFS('caseload data'!K:K,'caseload data'!$B:$B,{"licence","community"},'caseload data'!$C:$C,'community %'!$B$22)),"")</f>
        <v/>
      </c>
      <c r="J25" s="187" t="str">
        <f>IFERROR(SUM(SUMIFS('caseload data'!L:L,'caseload data'!$C:$C,'community %'!$B$22,'caseload data'!$D:$D,"PSO",'caseload data'!$B:$B,{"licence","community"}))/SUM(SUMIFS('caseload data'!L:L,'caseload data'!$B:$B,{"licence","community"},'caseload data'!$C:$C,'community %'!$B$22)),"")</f>
        <v/>
      </c>
      <c r="K25" s="187" t="str">
        <f>IFERROR(SUM(SUMIFS('caseload data'!M:M,'caseload data'!$C:$C,'community %'!$B$22,'caseload data'!$D:$D,"PSO",'caseload data'!$B:$B,{"licence","community"}))/SUM(SUMIFS('caseload data'!M:M,'caseload data'!$B:$B,{"licence","community"},'caseload data'!$C:$C,'community %'!$B$22)),"")</f>
        <v/>
      </c>
      <c r="L25" s="187" t="str">
        <f>IFERROR(SUM(SUMIFS('caseload data'!N:N,'caseload data'!$C:$C,'community %'!$B$22,'caseload data'!$D:$D,"PSO",'caseload data'!$B:$B,{"licence","community"}))/SUM(SUMIFS('caseload data'!N:N,'caseload data'!$B:$B,{"licence","community"},'caseload data'!$C:$C,'community %'!$B$22)),"")</f>
        <v/>
      </c>
      <c r="M25" s="187" t="str">
        <f>IFERROR(SUM(SUMIFS('caseload data'!O:O,'caseload data'!$C:$C,'community %'!$B$22,'caseload data'!$D:$D,"PSO",'caseload data'!$B:$B,{"licence","community"}))/SUM(SUMIFS('caseload data'!O:O,'caseload data'!$B:$B,{"licence","community"},'caseload data'!$C:$C,'community %'!$B$22)),"")</f>
        <v/>
      </c>
      <c r="N25" s="187" t="str">
        <f>IFERROR(SUM(SUMIFS('caseload data'!P:P,'caseload data'!$C:$C,'community %'!$B$22,'caseload data'!$D:$D,"PSO",'caseload data'!$B:$B,{"licence","community"}))/SUM(SUMIFS('caseload data'!P:P,'caseload data'!$B:$B,{"licence","community"},'caseload data'!$C:$C,'community %'!$B$22)),"")</f>
        <v/>
      </c>
      <c r="O25" s="187" t="str">
        <f>IFERROR(SUM(SUMIFS('caseload data'!Q:Q,'caseload data'!$C:$C,'community %'!$B$22,'caseload data'!$D:$D,"PSO",'caseload data'!$B:$B,{"licence","community"}))/SUM(SUMIFS('caseload data'!Q:Q,'caseload data'!$B:$B,{"licence","community"},'caseload data'!$C:$C,'community %'!$B$22)),"")</f>
        <v/>
      </c>
      <c r="P25" s="187" t="str">
        <f>IFERROR(SUM(SUMIFS('caseload data'!R:R,'caseload data'!$C:$C,'community %'!$B$22,'caseload data'!$D:$D,"PSO",'caseload data'!$B:$B,{"licence","community"}))/SUM(SUMIFS('caseload data'!R:R,'caseload data'!$B:$B,{"licence","community"},'caseload data'!$C:$C,'community %'!$B$22)),"")</f>
        <v/>
      </c>
      <c r="Q25" s="187" t="str">
        <f>IFERROR(SUM(SUMIFS('caseload data'!S:S,'caseload data'!$C:$C,'community %'!$B$22,'caseload data'!$D:$D,"PSO",'caseload data'!$B:$B,{"licence","community"}))/SUM(SUMIFS('caseload data'!S:S,'caseload data'!$B:$B,{"licence","community"},'caseload data'!$C:$C,'community %'!$B$22)),"")</f>
        <v/>
      </c>
      <c r="R25" s="187" t="str">
        <f>IFERROR(SUM(SUMIFS('caseload data'!T:T,'caseload data'!$C:$C,'community %'!$B$22,'caseload data'!$D:$D,"PSO",'caseload data'!$B:$B,{"licence","community"}))/SUM(SUMIFS('caseload data'!T:T,'caseload data'!$B:$B,{"licence","community"},'caseload data'!$C:$C,'community %'!$B$22)),"")</f>
        <v/>
      </c>
      <c r="S25" s="76"/>
      <c r="T25" s="110" t="s">
        <v>1038</v>
      </c>
      <c r="U25" s="187" t="str">
        <f>IFERROR(SUM(SUMIFS('caseload data'!E:E,'caseload data'!$C:$C,'community %'!$T$22,'caseload data'!$D:$D,"PSO",'caseload data'!$B:$B,{"licence","community"}))/SUM(SUMIFS('caseload data'!E:E,'caseload data'!$B:$B,{"licence","community"},'caseload data'!$C:$C,'community %'!$T$22)),"")</f>
        <v/>
      </c>
      <c r="V25" s="187" t="str">
        <f>IFERROR(SUM(SUMIFS('caseload data'!F:F,'caseload data'!$C:$C,'community %'!$T$22,'caseload data'!$D:$D,"PSO",'caseload data'!$B:$B,{"licence","community"}))/SUM(SUMIFS('caseload data'!F:F,'caseload data'!$B:$B,{"licence","community"},'caseload data'!$C:$C,'community %'!$T$22)),"")</f>
        <v/>
      </c>
      <c r="W25" s="187" t="str">
        <f>IFERROR(SUM(SUMIFS('caseload data'!G:G,'caseload data'!$C:$C,'community %'!$T$22,'caseload data'!$D:$D,"PSO",'caseload data'!$B:$B,{"licence","community"}))/SUM(SUMIFS('caseload data'!G:G,'caseload data'!$B:$B,{"licence","community"},'caseload data'!$C:$C,'community %'!$T$22)),"")</f>
        <v/>
      </c>
      <c r="X25" s="187" t="str">
        <f>IFERROR(SUM(SUMIFS('caseload data'!H:H,'caseload data'!$C:$C,'community %'!$T$22,'caseload data'!$D:$D,"PSO",'caseload data'!$B:$B,{"licence","community"}))/SUM(SUMIFS('caseload data'!H:H,'caseload data'!$B:$B,{"licence","community"},'caseload data'!$C:$C,'community %'!$T$22)),"")</f>
        <v/>
      </c>
      <c r="Y25" s="187" t="str">
        <f>IFERROR(SUM(SUMIFS('caseload data'!I:I,'caseload data'!$C:$C,'community %'!$T$22,'caseload data'!$D:$D,"PSO",'caseload data'!$B:$B,{"licence","community"}))/SUM(SUMIFS('caseload data'!I:I,'caseload data'!$B:$B,{"licence","community"},'caseload data'!$C:$C,'community %'!$T$22)),"")</f>
        <v/>
      </c>
      <c r="Z25" s="187" t="str">
        <f>IFERROR(SUM(SUMIFS('caseload data'!J:J,'caseload data'!$C:$C,'community %'!$T$22,'caseload data'!$D:$D,"PSO",'caseload data'!$B:$B,{"licence","community"}))/SUM(SUMIFS('caseload data'!J:J,'caseload data'!$B:$B,{"licence","community"},'caseload data'!$C:$C,'community %'!$T$22)),"")</f>
        <v/>
      </c>
      <c r="AA25" s="187" t="str">
        <f>IFERROR(SUM(SUMIFS('caseload data'!K:K,'caseload data'!$C:$C,'community %'!$T$22,'caseload data'!$D:$D,"PSO",'caseload data'!$B:$B,{"licence","community"}))/SUM(SUMIFS('caseload data'!K:K,'caseload data'!$B:$B,{"licence","community"},'caseload data'!$C:$C,'community %'!$T$22)),"")</f>
        <v/>
      </c>
      <c r="AB25" s="187" t="str">
        <f>IFERROR(SUM(SUMIFS('caseload data'!L:L,'caseload data'!$C:$C,'community %'!$T$22,'caseload data'!$D:$D,"PSO",'caseload data'!$B:$B,{"licence","community"}))/SUM(SUMIFS('caseload data'!L:L,'caseload data'!$B:$B,{"licence","community"},'caseload data'!$C:$C,'community %'!$T$22)),"")</f>
        <v/>
      </c>
      <c r="AC25" s="187" t="str">
        <f>IFERROR(SUM(SUMIFS('caseload data'!M:M,'caseload data'!$C:$C,'community %'!$T$22,'caseload data'!$D:$D,"PSO",'caseload data'!$B:$B,{"licence","community"}))/SUM(SUMIFS('caseload data'!M:M,'caseload data'!$B:$B,{"licence","community"},'caseload data'!$C:$C,'community %'!$T$22)),"")</f>
        <v/>
      </c>
      <c r="AD25" s="187" t="str">
        <f>IFERROR(SUM(SUMIFS('caseload data'!N:N,'caseload data'!$C:$C,'community %'!$T$22,'caseload data'!$D:$D,"PSO",'caseload data'!$B:$B,{"licence","community"}))/SUM(SUMIFS('caseload data'!N:N,'caseload data'!$B:$B,{"licence","community"},'caseload data'!$C:$C,'community %'!$T$22)),"")</f>
        <v/>
      </c>
      <c r="AE25" s="187" t="str">
        <f>IFERROR(SUM(SUMIFS('caseload data'!O:O,'caseload data'!$C:$C,'community %'!$T$22,'caseload data'!$D:$D,"PSO",'caseload data'!$B:$B,{"licence","community"}))/SUM(SUMIFS('caseload data'!O:O,'caseload data'!$B:$B,{"licence","community"},'caseload data'!$C:$C,'community %'!$T$22)),"")</f>
        <v/>
      </c>
      <c r="AF25" s="187" t="str">
        <f>IFERROR(SUM(SUMIFS('caseload data'!P:P,'caseload data'!$C:$C,'community %'!$T$22,'caseload data'!$D:$D,"PSO",'caseload data'!$B:$B,{"licence","community"}))/SUM(SUMIFS('caseload data'!P:P,'caseload data'!$B:$B,{"licence","community"},'caseload data'!$C:$C,'community %'!$T$22)),"")</f>
        <v/>
      </c>
      <c r="AG25" s="187" t="str">
        <f>IFERROR(SUM(SUMIFS('caseload data'!Q:Q,'caseload data'!$C:$C,'community %'!$T$22,'caseload data'!$D:$D,"PSO",'caseload data'!$B:$B,{"licence","community"}))/SUM(SUMIFS('caseload data'!Q:Q,'caseload data'!$B:$B,{"licence","community"},'caseload data'!$C:$C,'community %'!$T$22)),"")</f>
        <v/>
      </c>
      <c r="AH25" s="187" t="str">
        <f>IFERROR(SUM(SUMIFS('caseload data'!R:R,'caseload data'!$C:$C,'community %'!$T$22,'caseload data'!$D:$D,"PSO",'caseload data'!$B:$B,{"licence","community"}))/SUM(SUMIFS('caseload data'!R:R,'caseload data'!$B:$B,{"licence","community"},'caseload data'!$C:$C,'community %'!$T$22)),"")</f>
        <v/>
      </c>
      <c r="AI25" s="187" t="str">
        <f>IFERROR(SUM(SUMIFS('caseload data'!S:S,'caseload data'!$C:$C,'community %'!$T$22,'caseload data'!$D:$D,"PSO",'caseload data'!$B:$B,{"licence","community"}))/SUM(SUMIFS('caseload data'!S:S,'caseload data'!$B:$B,{"licence","community"},'caseload data'!$C:$C,'community %'!$T$22)),"")</f>
        <v/>
      </c>
      <c r="AJ25" s="187" t="str">
        <f>IFERROR(SUM(SUMIFS('caseload data'!T:T,'caseload data'!$C:$C,'community %'!$T$22,'caseload data'!$D:$D,"PSO",'caseload data'!$B:$B,{"licence","community"}))/SUM(SUMIFS('caseload data'!T:T,'caseload data'!$B:$B,{"licence","community"},'caseload data'!$C:$C,'community %'!$T$22)),"")</f>
        <v/>
      </c>
    </row>
    <row r="26" spans="2:36" x14ac:dyDescent="0.15">
      <c r="B26" s="110" t="s">
        <v>1039</v>
      </c>
      <c r="C26" s="187" t="str">
        <f>IFERROR(SUM(SUMIFS('caseload data'!E:E,'caseload data'!$C:$C,'community %'!$B$22,'caseload data'!$D:$D,"TPO",'caseload data'!$B:$B,{"licence","community"}))/SUM(SUMIFS('caseload data'!E:E,'caseload data'!$B:$B,{"licence","community"},'caseload data'!$C:$C,'community %'!$B$22)),"")</f>
        <v/>
      </c>
      <c r="D26" s="187" t="str">
        <f>IFERROR(SUM(SUMIFS('caseload data'!F:F,'caseload data'!$C:$C,'community %'!$B$22,'caseload data'!$D:$D,"TPO",'caseload data'!$B:$B,{"licence","community"}))/SUM(SUMIFS('caseload data'!F:F,'caseload data'!$B:$B,{"licence","community"},'caseload data'!$C:$C,'community %'!$B$22)),"")</f>
        <v/>
      </c>
      <c r="E26" s="187" t="str">
        <f>IFERROR(SUM(SUMIFS('caseload data'!G:G,'caseload data'!$C:$C,'community %'!$B$22,'caseload data'!$D:$D,"TPO",'caseload data'!$B:$B,{"licence","community"}))/SUM(SUMIFS('caseload data'!G:G,'caseload data'!$B:$B,{"licence","community"},'caseload data'!$C:$C,'community %'!$B$22)),"")</f>
        <v/>
      </c>
      <c r="F26" s="187" t="str">
        <f>IFERROR(SUM(SUMIFS('caseload data'!H:H,'caseload data'!$C:$C,'community %'!$B$22,'caseload data'!$D:$D,"TPO",'caseload data'!$B:$B,{"licence","community"}))/SUM(SUMIFS('caseload data'!H:H,'caseload data'!$B:$B,{"licence","community"},'caseload data'!$C:$C,'community %'!$B$22)),"")</f>
        <v/>
      </c>
      <c r="G26" s="187" t="str">
        <f>IFERROR(SUM(SUMIFS('caseload data'!I:I,'caseload data'!$C:$C,'community %'!$B$22,'caseload data'!$D:$D,"TPO",'caseload data'!$B:$B,{"licence","community"}))/SUM(SUMIFS('caseload data'!I:I,'caseload data'!$B:$B,{"licence","community"},'caseload data'!$C:$C,'community %'!$B$22)),"")</f>
        <v/>
      </c>
      <c r="H26" s="187" t="str">
        <f>IFERROR(SUM(SUMIFS('caseload data'!J:J,'caseload data'!$C:$C,'community %'!$B$22,'caseload data'!$D:$D,"TPO",'caseload data'!$B:$B,{"licence","community"}))/SUM(SUMIFS('caseload data'!J:J,'caseload data'!$B:$B,{"licence","community"},'caseload data'!$C:$C,'community %'!$B$22)),"")</f>
        <v/>
      </c>
      <c r="I26" s="187" t="str">
        <f>IFERROR(SUM(SUMIFS('caseload data'!K:K,'caseload data'!$C:$C,'community %'!$B$22,'caseload data'!$D:$D,"TPO",'caseload data'!$B:$B,{"licence","community"}))/SUM(SUMIFS('caseload data'!K:K,'caseload data'!$B:$B,{"licence","community"},'caseload data'!$C:$C,'community %'!$B$22)),"")</f>
        <v/>
      </c>
      <c r="J26" s="187" t="str">
        <f>IFERROR(SUM(SUMIFS('caseload data'!L:L,'caseload data'!$C:$C,'community %'!$B$22,'caseload data'!$D:$D,"TPO",'caseload data'!$B:$B,{"licence","community"}))/SUM(SUMIFS('caseload data'!L:L,'caseload data'!$B:$B,{"licence","community"},'caseload data'!$C:$C,'community %'!$B$22)),"")</f>
        <v/>
      </c>
      <c r="K26" s="187" t="str">
        <f>IFERROR(SUM(SUMIFS('caseload data'!M:M,'caseload data'!$C:$C,'community %'!$B$22,'caseload data'!$D:$D,"TPO",'caseload data'!$B:$B,{"licence","community"}))/SUM(SUMIFS('caseload data'!M:M,'caseload data'!$B:$B,{"licence","community"},'caseload data'!$C:$C,'community %'!$B$22)),"")</f>
        <v/>
      </c>
      <c r="L26" s="187" t="str">
        <f>IFERROR(SUM(SUMIFS('caseload data'!N:N,'caseload data'!$C:$C,'community %'!$B$22,'caseload data'!$D:$D,"TPO",'caseload data'!$B:$B,{"licence","community"}))/SUM(SUMIFS('caseload data'!N:N,'caseload data'!$B:$B,{"licence","community"},'caseload data'!$C:$C,'community %'!$B$22)),"")</f>
        <v/>
      </c>
      <c r="M26" s="187" t="str">
        <f>IFERROR(SUM(SUMIFS('caseload data'!O:O,'caseload data'!$C:$C,'community %'!$B$22,'caseload data'!$D:$D,"TPO",'caseload data'!$B:$B,{"licence","community"}))/SUM(SUMIFS('caseload data'!O:O,'caseload data'!$B:$B,{"licence","community"},'caseload data'!$C:$C,'community %'!$B$22)),"")</f>
        <v/>
      </c>
      <c r="N26" s="187" t="str">
        <f>IFERROR(SUM(SUMIFS('caseload data'!P:P,'caseload data'!$C:$C,'community %'!$B$22,'caseload data'!$D:$D,"TPO",'caseload data'!$B:$B,{"licence","community"}))/SUM(SUMIFS('caseload data'!P:P,'caseload data'!$B:$B,{"licence","community"},'caseload data'!$C:$C,'community %'!$B$22)),"")</f>
        <v/>
      </c>
      <c r="O26" s="187" t="str">
        <f>IFERROR(SUM(SUMIFS('caseload data'!Q:Q,'caseload data'!$C:$C,'community %'!$B$22,'caseload data'!$D:$D,"TPO",'caseload data'!$B:$B,{"licence","community"}))/SUM(SUMIFS('caseload data'!Q:Q,'caseload data'!$B:$B,{"licence","community"},'caseload data'!$C:$C,'community %'!$B$22)),"")</f>
        <v/>
      </c>
      <c r="P26" s="187" t="str">
        <f>IFERROR(SUM(SUMIFS('caseload data'!R:R,'caseload data'!$C:$C,'community %'!$B$22,'caseload data'!$D:$D,"TPO",'caseload data'!$B:$B,{"licence","community"}))/SUM(SUMIFS('caseload data'!R:R,'caseload data'!$B:$B,{"licence","community"},'caseload data'!$C:$C,'community %'!$B$22)),"")</f>
        <v/>
      </c>
      <c r="Q26" s="187" t="str">
        <f>IFERROR(SUM(SUMIFS('caseload data'!S:S,'caseload data'!$C:$C,'community %'!$B$22,'caseload data'!$D:$D,"TPO",'caseload data'!$B:$B,{"licence","community"}))/SUM(SUMIFS('caseload data'!S:S,'caseload data'!$B:$B,{"licence","community"},'caseload data'!$C:$C,'community %'!$B$22)),"")</f>
        <v/>
      </c>
      <c r="R26" s="187" t="str">
        <f>IFERROR(SUM(SUMIFS('caseload data'!T:T,'caseload data'!$C:$C,'community %'!$B$22,'caseload data'!$D:$D,"TPO",'caseload data'!$B:$B,{"licence","community"}))/SUM(SUMIFS('caseload data'!T:T,'caseload data'!$B:$B,{"licence","community"},'caseload data'!$C:$C,'community %'!$B$22)),"")</f>
        <v/>
      </c>
      <c r="S26" s="76"/>
      <c r="T26" s="110" t="s">
        <v>1039</v>
      </c>
      <c r="U26" s="187" t="str">
        <f>IFERROR(SUM(SUMIFS('caseload data'!E:E,'caseload data'!$C:$C,'community %'!$T$22,'caseload data'!$D:$D,"TPO",'caseload data'!$B:$B,{"licence","community"}))/SUM(SUMIFS('caseload data'!E:E,'caseload data'!$B:$B,{"licence","community"},'caseload data'!$C:$C,'community %'!$T$22)),"")</f>
        <v/>
      </c>
      <c r="V26" s="187" t="str">
        <f>IFERROR(SUM(SUMIFS('caseload data'!F:F,'caseload data'!$C:$C,'community %'!$T$22,'caseload data'!$D:$D,"TPO",'caseload data'!$B:$B,{"licence","community"}))/SUM(SUMIFS('caseload data'!F:F,'caseload data'!$B:$B,{"licence","community"},'caseload data'!$C:$C,'community %'!$T$22)),"")</f>
        <v/>
      </c>
      <c r="W26" s="187" t="str">
        <f>IFERROR(SUM(SUMIFS('caseload data'!G:G,'caseload data'!$C:$C,'community %'!$T$22,'caseload data'!$D:$D,"TPO",'caseload data'!$B:$B,{"licence","community"}))/SUM(SUMIFS('caseload data'!G:G,'caseload data'!$B:$B,{"licence","community"},'caseload data'!$C:$C,'community %'!$T$22)),"")</f>
        <v/>
      </c>
      <c r="X26" s="187" t="str">
        <f>IFERROR(SUM(SUMIFS('caseload data'!H:H,'caseload data'!$C:$C,'community %'!$T$22,'caseload data'!$D:$D,"TPO",'caseload data'!$B:$B,{"licence","community"}))/SUM(SUMIFS('caseload data'!H:H,'caseload data'!$B:$B,{"licence","community"},'caseload data'!$C:$C,'community %'!$T$22)),"")</f>
        <v/>
      </c>
      <c r="Y26" s="187" t="str">
        <f>IFERROR(SUM(SUMIFS('caseload data'!I:I,'caseload data'!$C:$C,'community %'!$T$22,'caseload data'!$D:$D,"TPO",'caseload data'!$B:$B,{"licence","community"}))/SUM(SUMIFS('caseload data'!I:I,'caseload data'!$B:$B,{"licence","community"},'caseload data'!$C:$C,'community %'!$T$22)),"")</f>
        <v/>
      </c>
      <c r="Z26" s="187" t="str">
        <f>IFERROR(SUM(SUMIFS('caseload data'!J:J,'caseload data'!$C:$C,'community %'!$T$22,'caseload data'!$D:$D,"TPO",'caseload data'!$B:$B,{"licence","community"}))/SUM(SUMIFS('caseload data'!J:J,'caseload data'!$B:$B,{"licence","community"},'caseload data'!$C:$C,'community %'!$T$22)),"")</f>
        <v/>
      </c>
      <c r="AA26" s="187" t="str">
        <f>IFERROR(SUM(SUMIFS('caseload data'!K:K,'caseload data'!$C:$C,'community %'!$T$22,'caseload data'!$D:$D,"TPO",'caseload data'!$B:$B,{"licence","community"}))/SUM(SUMIFS('caseload data'!K:K,'caseload data'!$B:$B,{"licence","community"},'caseload data'!$C:$C,'community %'!$T$22)),"")</f>
        <v/>
      </c>
      <c r="AB26" s="187" t="str">
        <f>IFERROR(SUM(SUMIFS('caseload data'!L:L,'caseload data'!$C:$C,'community %'!$T$22,'caseload data'!$D:$D,"TPO",'caseload data'!$B:$B,{"licence","community"}))/SUM(SUMIFS('caseload data'!L:L,'caseload data'!$B:$B,{"licence","community"},'caseload data'!$C:$C,'community %'!$T$22)),"")</f>
        <v/>
      </c>
      <c r="AC26" s="187" t="str">
        <f>IFERROR(SUM(SUMIFS('caseload data'!M:M,'caseload data'!$C:$C,'community %'!$T$22,'caseload data'!$D:$D,"TPO",'caseload data'!$B:$B,{"licence","community"}))/SUM(SUMIFS('caseload data'!M:M,'caseload data'!$B:$B,{"licence","community"},'caseload data'!$C:$C,'community %'!$T$22)),"")</f>
        <v/>
      </c>
      <c r="AD26" s="187" t="str">
        <f>IFERROR(SUM(SUMIFS('caseload data'!N:N,'caseload data'!$C:$C,'community %'!$T$22,'caseload data'!$D:$D,"TPO",'caseload data'!$B:$B,{"licence","community"}))/SUM(SUMIFS('caseload data'!N:N,'caseload data'!$B:$B,{"licence","community"},'caseload data'!$C:$C,'community %'!$T$22)),"")</f>
        <v/>
      </c>
      <c r="AE26" s="187" t="str">
        <f>IFERROR(SUM(SUMIFS('caseload data'!O:O,'caseload data'!$C:$C,'community %'!$T$22,'caseload data'!$D:$D,"TPO",'caseload data'!$B:$B,{"licence","community"}))/SUM(SUMIFS('caseload data'!O:O,'caseload data'!$B:$B,{"licence","community"},'caseload data'!$C:$C,'community %'!$T$22)),"")</f>
        <v/>
      </c>
      <c r="AF26" s="187" t="str">
        <f>IFERROR(SUM(SUMIFS('caseload data'!P:P,'caseload data'!$C:$C,'community %'!$T$22,'caseload data'!$D:$D,"TPO",'caseload data'!$B:$B,{"licence","community"}))/SUM(SUMIFS('caseload data'!P:P,'caseload data'!$B:$B,{"licence","community"},'caseload data'!$C:$C,'community %'!$T$22)),"")</f>
        <v/>
      </c>
      <c r="AG26" s="187" t="str">
        <f>IFERROR(SUM(SUMIFS('caseload data'!Q:Q,'caseload data'!$C:$C,'community %'!$T$22,'caseload data'!$D:$D,"TPO",'caseload data'!$B:$B,{"licence","community"}))/SUM(SUMIFS('caseload data'!Q:Q,'caseload data'!$B:$B,{"licence","community"},'caseload data'!$C:$C,'community %'!$T$22)),"")</f>
        <v/>
      </c>
      <c r="AH26" s="187" t="str">
        <f>IFERROR(SUM(SUMIFS('caseload data'!R:R,'caseload data'!$C:$C,'community %'!$T$22,'caseload data'!$D:$D,"TPO",'caseload data'!$B:$B,{"licence","community"}))/SUM(SUMIFS('caseload data'!R:R,'caseload data'!$B:$B,{"licence","community"},'caseload data'!$C:$C,'community %'!$T$22)),"")</f>
        <v/>
      </c>
      <c r="AI26" s="187" t="str">
        <f>IFERROR(SUM(SUMIFS('caseload data'!S:S,'caseload data'!$C:$C,'community %'!$T$22,'caseload data'!$D:$D,"TPO",'caseload data'!$B:$B,{"licence","community"}))/SUM(SUMIFS('caseload data'!S:S,'caseload data'!$B:$B,{"licence","community"},'caseload data'!$C:$C,'community %'!$T$22)),"")</f>
        <v/>
      </c>
      <c r="AJ26" s="187" t="str">
        <f>IFERROR(SUM(SUMIFS('caseload data'!T:T,'caseload data'!$C:$C,'community %'!$T$22,'caseload data'!$D:$D,"TPO",'caseload data'!$B:$B,{"licence","community"}))/SUM(SUMIFS('caseload data'!T:T,'caseload data'!$B:$B,{"licence","community"},'caseload data'!$C:$C,'community %'!$T$22)),"")</f>
        <v/>
      </c>
    </row>
    <row r="27" spans="2:36" x14ac:dyDescent="0.15">
      <c r="B27" s="111" t="s">
        <v>1040</v>
      </c>
      <c r="C27" s="187" t="str">
        <f>IFERROR(SUM(SUMIFS('caseload data'!E:E,'caseload data'!$C:$C,'community %'!$B$22,'caseload data'!$D:$D,"SPO",'caseload data'!$B:$B,{"licence","community"}))/SUM(SUMIFS('caseload data'!E:E,'caseload data'!$B:$B,{"licence","community"},'caseload data'!$C:$C,'community %'!$B$22)),"")</f>
        <v/>
      </c>
      <c r="D27" s="187" t="str">
        <f>IFERROR(SUM(SUMIFS('caseload data'!F:F,'caseload data'!$C:$C,'community %'!$B$22,'caseload data'!$D:$D,"SPO",'caseload data'!$B:$B,{"licence","community"}))/SUM(SUMIFS('caseload data'!F:F,'caseload data'!$B:$B,{"licence","community"},'caseload data'!$C:$C,'community %'!$B$22)),"")</f>
        <v/>
      </c>
      <c r="E27" s="187" t="str">
        <f>IFERROR(SUM(SUMIFS('caseload data'!G:G,'caseload data'!$C:$C,'community %'!$B$22,'caseload data'!$D:$D,"SPO",'caseload data'!$B:$B,{"licence","community"}))/SUM(SUMIFS('caseload data'!G:G,'caseload data'!$B:$B,{"licence","community"},'caseload data'!$C:$C,'community %'!$B$22)),"")</f>
        <v/>
      </c>
      <c r="F27" s="187" t="str">
        <f>IFERROR(SUM(SUMIFS('caseload data'!H:H,'caseload data'!$C:$C,'community %'!$B$22,'caseload data'!$D:$D,"SPO",'caseload data'!$B:$B,{"licence","community"}))/SUM(SUMIFS('caseload data'!H:H,'caseload data'!$B:$B,{"licence","community"},'caseload data'!$C:$C,'community %'!$B$22)),"")</f>
        <v/>
      </c>
      <c r="G27" s="187" t="str">
        <f>IFERROR(SUM(SUMIFS('caseload data'!I:I,'caseload data'!$C:$C,'community %'!$B$22,'caseload data'!$D:$D,"SPO",'caseload data'!$B:$B,{"licence","community"}))/SUM(SUMIFS('caseload data'!I:I,'caseload data'!$B:$B,{"licence","community"},'caseload data'!$C:$C,'community %'!$B$22)),"")</f>
        <v/>
      </c>
      <c r="H27" s="187" t="str">
        <f>IFERROR(SUM(SUMIFS('caseload data'!J:J,'caseload data'!$C:$C,'community %'!$B$22,'caseload data'!$D:$D,"SPO",'caseload data'!$B:$B,{"licence","community"}))/SUM(SUMIFS('caseload data'!J:J,'caseload data'!$B:$B,{"licence","community"},'caseload data'!$C:$C,'community %'!$B$22)),"")</f>
        <v/>
      </c>
      <c r="I27" s="187" t="str">
        <f>IFERROR(SUM(SUMIFS('caseload data'!K:K,'caseload data'!$C:$C,'community %'!$B$22,'caseload data'!$D:$D,"SPO",'caseload data'!$B:$B,{"licence","community"}))/SUM(SUMIFS('caseload data'!K:K,'caseload data'!$B:$B,{"licence","community"},'caseload data'!$C:$C,'community %'!$B$22)),"")</f>
        <v/>
      </c>
      <c r="J27" s="187" t="str">
        <f>IFERROR(SUM(SUMIFS('caseload data'!L:L,'caseload data'!$C:$C,'community %'!$B$22,'caseload data'!$D:$D,"SPO",'caseload data'!$B:$B,{"licence","community"}))/SUM(SUMIFS('caseload data'!L:L,'caseload data'!$B:$B,{"licence","community"},'caseload data'!$C:$C,'community %'!$B$22)),"")</f>
        <v/>
      </c>
      <c r="K27" s="187" t="str">
        <f>IFERROR(SUM(SUMIFS('caseload data'!M:M,'caseload data'!$C:$C,'community %'!$B$22,'caseload data'!$D:$D,"SPO",'caseload data'!$B:$B,{"licence","community"}))/SUM(SUMIFS('caseload data'!M:M,'caseload data'!$B:$B,{"licence","community"},'caseload data'!$C:$C,'community %'!$B$22)),"")</f>
        <v/>
      </c>
      <c r="L27" s="187" t="str">
        <f>IFERROR(SUM(SUMIFS('caseload data'!N:N,'caseload data'!$C:$C,'community %'!$B$22,'caseload data'!$D:$D,"SPO",'caseload data'!$B:$B,{"licence","community"}))/SUM(SUMIFS('caseload data'!N:N,'caseload data'!$B:$B,{"licence","community"},'caseload data'!$C:$C,'community %'!$B$22)),"")</f>
        <v/>
      </c>
      <c r="M27" s="187" t="str">
        <f>IFERROR(SUM(SUMIFS('caseload data'!O:O,'caseload data'!$C:$C,'community %'!$B$22,'caseload data'!$D:$D,"SPO",'caseload data'!$B:$B,{"licence","community"}))/SUM(SUMIFS('caseload data'!O:O,'caseload data'!$B:$B,{"licence","community"},'caseload data'!$C:$C,'community %'!$B$22)),"")</f>
        <v/>
      </c>
      <c r="N27" s="187" t="str">
        <f>IFERROR(SUM(SUMIFS('caseload data'!P:P,'caseload data'!$C:$C,'community %'!$B$22,'caseload data'!$D:$D,"SPO",'caseload data'!$B:$B,{"licence","community"}))/SUM(SUMIFS('caseload data'!P:P,'caseload data'!$B:$B,{"licence","community"},'caseload data'!$C:$C,'community %'!$B$22)),"")</f>
        <v/>
      </c>
      <c r="O27" s="187" t="str">
        <f>IFERROR(SUM(SUMIFS('caseload data'!Q:Q,'caseload data'!$C:$C,'community %'!$B$22,'caseload data'!$D:$D,"SPO",'caseload data'!$B:$B,{"licence","community"}))/SUM(SUMIFS('caseload data'!Q:Q,'caseload data'!$B:$B,{"licence","community"},'caseload data'!$C:$C,'community %'!$B$22)),"")</f>
        <v/>
      </c>
      <c r="P27" s="187" t="str">
        <f>IFERROR(SUM(SUMIFS('caseload data'!R:R,'caseload data'!$C:$C,'community %'!$B$22,'caseload data'!$D:$D,"SPO",'caseload data'!$B:$B,{"licence","community"}))/SUM(SUMIFS('caseload data'!R:R,'caseload data'!$B:$B,{"licence","community"},'caseload data'!$C:$C,'community %'!$B$22)),"")</f>
        <v/>
      </c>
      <c r="Q27" s="187" t="str">
        <f>IFERROR(SUM(SUMIFS('caseload data'!S:S,'caseload data'!$C:$C,'community %'!$B$22,'caseload data'!$D:$D,"SPO",'caseload data'!$B:$B,{"licence","community"}))/SUM(SUMIFS('caseload data'!S:S,'caseload data'!$B:$B,{"licence","community"},'caseload data'!$C:$C,'community %'!$B$22)),"")</f>
        <v/>
      </c>
      <c r="R27" s="187" t="str">
        <f>IFERROR(SUM(SUMIFS('caseload data'!T:T,'caseload data'!$C:$C,'community %'!$B$22,'caseload data'!$D:$D,"SPO",'caseload data'!$B:$B,{"licence","community"}))/SUM(SUMIFS('caseload data'!T:T,'caseload data'!$B:$B,{"licence","community"},'caseload data'!$C:$C,'community %'!$B$22)),"")</f>
        <v/>
      </c>
      <c r="S27" s="76"/>
      <c r="T27" s="111" t="s">
        <v>1040</v>
      </c>
      <c r="U27" s="187" t="str">
        <f>IFERROR(SUM(SUMIFS('caseload data'!E:E,'caseload data'!$C:$C,'community %'!$T$22,'caseload data'!$D:$D,"SPO",'caseload data'!$B:$B,{"licence","community"}))/SUM(SUMIFS('caseload data'!E:E,'caseload data'!$B:$B,{"licence","community"},'caseload data'!$C:$C,'community %'!$T$22)),"")</f>
        <v/>
      </c>
      <c r="V27" s="187" t="str">
        <f>IFERROR(SUM(SUMIFS('caseload data'!F:F,'caseload data'!$C:$C,'community %'!$T$22,'caseload data'!$D:$D,"SPO",'caseload data'!$B:$B,{"licence","community"}))/SUM(SUMIFS('caseload data'!F:F,'caseload data'!$B:$B,{"licence","community"},'caseload data'!$C:$C,'community %'!$T$22)),"")</f>
        <v/>
      </c>
      <c r="W27" s="187" t="str">
        <f>IFERROR(SUM(SUMIFS('caseload data'!G:G,'caseload data'!$C:$C,'community %'!$T$22,'caseload data'!$D:$D,"SPO",'caseload data'!$B:$B,{"licence","community"}))/SUM(SUMIFS('caseload data'!G:G,'caseload data'!$B:$B,{"licence","community"},'caseload data'!$C:$C,'community %'!$T$22)),"")</f>
        <v/>
      </c>
      <c r="X27" s="187" t="str">
        <f>IFERROR(SUM(SUMIFS('caseload data'!H:H,'caseload data'!$C:$C,'community %'!$T$22,'caseload data'!$D:$D,"SPO",'caseload data'!$B:$B,{"licence","community"}))/SUM(SUMIFS('caseload data'!H:H,'caseload data'!$B:$B,{"licence","community"},'caseload data'!$C:$C,'community %'!$T$22)),"")</f>
        <v/>
      </c>
      <c r="Y27" s="187" t="str">
        <f>IFERROR(SUM(SUMIFS('caseload data'!I:I,'caseload data'!$C:$C,'community %'!$T$22,'caseload data'!$D:$D,"SPO",'caseload data'!$B:$B,{"licence","community"}))/SUM(SUMIFS('caseload data'!I:I,'caseload data'!$B:$B,{"licence","community"},'caseload data'!$C:$C,'community %'!$T$22)),"")</f>
        <v/>
      </c>
      <c r="Z27" s="187" t="str">
        <f>IFERROR(SUM(SUMIFS('caseload data'!J:J,'caseload data'!$C:$C,'community %'!$T$22,'caseload data'!$D:$D,"SPO",'caseload data'!$B:$B,{"licence","community"}))/SUM(SUMIFS('caseload data'!J:J,'caseload data'!$B:$B,{"licence","community"},'caseload data'!$C:$C,'community %'!$T$22)),"")</f>
        <v/>
      </c>
      <c r="AA27" s="187" t="str">
        <f>IFERROR(SUM(SUMIFS('caseload data'!K:K,'caseload data'!$C:$C,'community %'!$T$22,'caseload data'!$D:$D,"SPO",'caseload data'!$B:$B,{"licence","community"}))/SUM(SUMIFS('caseload data'!K:K,'caseload data'!$B:$B,{"licence","community"},'caseload data'!$C:$C,'community %'!$T$22)),"")</f>
        <v/>
      </c>
      <c r="AB27" s="187" t="str">
        <f>IFERROR(SUM(SUMIFS('caseload data'!L:L,'caseload data'!$C:$C,'community %'!$T$22,'caseload data'!$D:$D,"SPO",'caseload data'!$B:$B,{"licence","community"}))/SUM(SUMIFS('caseload data'!L:L,'caseload data'!$B:$B,{"licence","community"},'caseload data'!$C:$C,'community %'!$T$22)),"")</f>
        <v/>
      </c>
      <c r="AC27" s="187" t="str">
        <f>IFERROR(SUM(SUMIFS('caseload data'!M:M,'caseload data'!$C:$C,'community %'!$T$22,'caseload data'!$D:$D,"SPO",'caseload data'!$B:$B,{"licence","community"}))/SUM(SUMIFS('caseload data'!M:M,'caseload data'!$B:$B,{"licence","community"},'caseload data'!$C:$C,'community %'!$T$22)),"")</f>
        <v/>
      </c>
      <c r="AD27" s="187" t="str">
        <f>IFERROR(SUM(SUMIFS('caseload data'!N:N,'caseload data'!$C:$C,'community %'!$T$22,'caseload data'!$D:$D,"SPO",'caseload data'!$B:$B,{"licence","community"}))/SUM(SUMIFS('caseload data'!N:N,'caseload data'!$B:$B,{"licence","community"},'caseload data'!$C:$C,'community %'!$T$22)),"")</f>
        <v/>
      </c>
      <c r="AE27" s="187" t="str">
        <f>IFERROR(SUM(SUMIFS('caseload data'!O:O,'caseload data'!$C:$C,'community %'!$T$22,'caseload data'!$D:$D,"SPO",'caseload data'!$B:$B,{"licence","community"}))/SUM(SUMIFS('caseload data'!O:O,'caseload data'!$B:$B,{"licence","community"},'caseload data'!$C:$C,'community %'!$T$22)),"")</f>
        <v/>
      </c>
      <c r="AF27" s="187" t="str">
        <f>IFERROR(SUM(SUMIFS('caseload data'!P:P,'caseload data'!$C:$C,'community %'!$T$22,'caseload data'!$D:$D,"SPO",'caseload data'!$B:$B,{"licence","community"}))/SUM(SUMIFS('caseload data'!P:P,'caseload data'!$B:$B,{"licence","community"},'caseload data'!$C:$C,'community %'!$T$22)),"")</f>
        <v/>
      </c>
      <c r="AG27" s="187" t="str">
        <f>IFERROR(SUM(SUMIFS('caseload data'!Q:Q,'caseload data'!$C:$C,'community %'!$T$22,'caseload data'!$D:$D,"SPO",'caseload data'!$B:$B,{"licence","community"}))/SUM(SUMIFS('caseload data'!Q:Q,'caseload data'!$B:$B,{"licence","community"},'caseload data'!$C:$C,'community %'!$T$22)),"")</f>
        <v/>
      </c>
      <c r="AH27" s="187" t="str">
        <f>IFERROR(SUM(SUMIFS('caseload data'!R:R,'caseload data'!$C:$C,'community %'!$T$22,'caseload data'!$D:$D,"SPO",'caseload data'!$B:$B,{"licence","community"}))/SUM(SUMIFS('caseload data'!R:R,'caseload data'!$B:$B,{"licence","community"},'caseload data'!$C:$C,'community %'!$T$22)),"")</f>
        <v/>
      </c>
      <c r="AI27" s="187" t="str">
        <f>IFERROR(SUM(SUMIFS('caseload data'!S:S,'caseload data'!$C:$C,'community %'!$T$22,'caseload data'!$D:$D,"SPO",'caseload data'!$B:$B,{"licence","community"}))/SUM(SUMIFS('caseload data'!S:S,'caseload data'!$B:$B,{"licence","community"},'caseload data'!$C:$C,'community %'!$T$22)),"")</f>
        <v/>
      </c>
      <c r="AJ27" s="187" t="str">
        <f>IFERROR(SUM(SUMIFS('caseload data'!T:T,'caseload data'!$C:$C,'community %'!$T$22,'caseload data'!$D:$D,"SPO",'caseload data'!$B:$B,{"licence","community"}))/SUM(SUMIFS('caseload data'!T:T,'caseload data'!$B:$B,{"licence","community"},'caseload data'!$C:$C,'community %'!$T$22)),"")</f>
        <v/>
      </c>
    </row>
    <row r="28" spans="2:36" x14ac:dyDescent="0.15">
      <c r="B28" s="104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04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</row>
    <row r="29" spans="2:36" ht="45.75" customHeight="1" x14ac:dyDescent="0.15">
      <c r="B29" s="162" t="str">
        <f>HLOOKUP($B$5,Region_Table,8,0)</f>
        <v>Corporate Services - N07</v>
      </c>
      <c r="C29" s="333" t="s">
        <v>1269</v>
      </c>
      <c r="D29" s="334"/>
      <c r="E29" s="334"/>
      <c r="F29" s="334"/>
      <c r="G29" s="334"/>
      <c r="H29" s="334"/>
      <c r="I29" s="334"/>
      <c r="J29" s="334"/>
      <c r="K29" s="334"/>
      <c r="L29" s="334"/>
      <c r="M29" s="343"/>
      <c r="N29" s="343"/>
      <c r="O29" s="344"/>
      <c r="P29" s="337" cm="1">
        <f t="array" ref="P29">SUM(SUMIFS('caseload data'!V:V,'caseload data'!B:B,{"licence","community"},'caseload data'!$C:$C,B29))</f>
        <v>0</v>
      </c>
      <c r="Q29" s="345"/>
      <c r="R29" s="346"/>
      <c r="S29" s="76"/>
      <c r="T29" s="162" t="str">
        <f>HLOOKUP($B$5,Region_Table,9,0)</f>
        <v>Croydon - N07</v>
      </c>
      <c r="U29" s="333" t="s">
        <v>1269</v>
      </c>
      <c r="V29" s="334"/>
      <c r="W29" s="334"/>
      <c r="X29" s="334"/>
      <c r="Y29" s="334"/>
      <c r="Z29" s="334"/>
      <c r="AA29" s="334"/>
      <c r="AB29" s="334"/>
      <c r="AC29" s="334"/>
      <c r="AD29" s="334"/>
      <c r="AE29" s="343"/>
      <c r="AF29" s="343"/>
      <c r="AG29" s="344"/>
      <c r="AH29" s="337" cm="1">
        <f t="array" ref="AH29">SUM(SUMIFS('caseload data'!V:V,'caseload data'!B:B,{"licence","community"},'caseload data'!$C:$C,T29))</f>
        <v>0</v>
      </c>
      <c r="AI29" s="345"/>
      <c r="AJ29" s="346"/>
    </row>
    <row r="30" spans="2:36" x14ac:dyDescent="0.15">
      <c r="B30" s="108" t="s">
        <v>1199</v>
      </c>
      <c r="C30" s="42" t="s">
        <v>1019</v>
      </c>
      <c r="D30" s="42" t="s">
        <v>1020</v>
      </c>
      <c r="E30" s="42" t="s">
        <v>1021</v>
      </c>
      <c r="F30" s="42" t="s">
        <v>1022</v>
      </c>
      <c r="G30" s="42" t="s">
        <v>1023</v>
      </c>
      <c r="H30" s="42" t="s">
        <v>1024</v>
      </c>
      <c r="I30" s="42" t="s">
        <v>1025</v>
      </c>
      <c r="J30" s="42" t="s">
        <v>1026</v>
      </c>
      <c r="K30" s="42" t="s">
        <v>1027</v>
      </c>
      <c r="L30" s="42" t="s">
        <v>1028</v>
      </c>
      <c r="M30" s="42" t="s">
        <v>1029</v>
      </c>
      <c r="N30" s="42" t="s">
        <v>1030</v>
      </c>
      <c r="O30" s="42" t="s">
        <v>1031</v>
      </c>
      <c r="P30" s="42" t="s">
        <v>1032</v>
      </c>
      <c r="Q30" s="42" t="s">
        <v>1033</v>
      </c>
      <c r="R30" s="42" t="s">
        <v>1034</v>
      </c>
      <c r="S30" s="76"/>
      <c r="T30" s="108" t="s">
        <v>1199</v>
      </c>
      <c r="U30" s="42" t="s">
        <v>1019</v>
      </c>
      <c r="V30" s="42" t="s">
        <v>1020</v>
      </c>
      <c r="W30" s="42" t="s">
        <v>1021</v>
      </c>
      <c r="X30" s="42" t="s">
        <v>1022</v>
      </c>
      <c r="Y30" s="42" t="s">
        <v>1023</v>
      </c>
      <c r="Z30" s="42" t="s">
        <v>1024</v>
      </c>
      <c r="AA30" s="42" t="s">
        <v>1025</v>
      </c>
      <c r="AB30" s="42" t="s">
        <v>1026</v>
      </c>
      <c r="AC30" s="42" t="s">
        <v>1027</v>
      </c>
      <c r="AD30" s="42" t="s">
        <v>1028</v>
      </c>
      <c r="AE30" s="42" t="s">
        <v>1029</v>
      </c>
      <c r="AF30" s="42" t="s">
        <v>1030</v>
      </c>
      <c r="AG30" s="42" t="s">
        <v>1031</v>
      </c>
      <c r="AH30" s="42" t="s">
        <v>1032</v>
      </c>
      <c r="AI30" s="42" t="s">
        <v>1033</v>
      </c>
      <c r="AJ30" s="42" t="s">
        <v>1034</v>
      </c>
    </row>
    <row r="31" spans="2:36" x14ac:dyDescent="0.15">
      <c r="B31" s="109" t="s">
        <v>1037</v>
      </c>
      <c r="C31" s="187" t="str">
        <f>IFERROR(SUM(SUMIFS('caseload data'!E:E,'caseload data'!$C:$C,'community %'!$B$29,'caseload data'!$D:$D,"PO",'caseload data'!$B:$B,{"licence","community"}))/SUM(SUMIFS('caseload data'!E:E,'caseload data'!$B:$B,{"licence","community"},'caseload data'!$C:$C,'community %'!$B$29)),"")</f>
        <v/>
      </c>
      <c r="D31" s="187" t="str">
        <f>IFERROR(SUM(SUMIFS('caseload data'!F:F,'caseload data'!$C:$C,'community %'!$B$29,'caseload data'!$D:$D,"PO",'caseload data'!$B:$B,{"licence","community"}))/SUM(SUMIFS('caseload data'!F:F,'caseload data'!$B:$B,{"licence","community"},'caseload data'!$C:$C,'community %'!$B$29)),"")</f>
        <v/>
      </c>
      <c r="E31" s="187" t="str">
        <f>IFERROR(SUM(SUMIFS('caseload data'!G:G,'caseload data'!$C:$C,'community %'!$B$29,'caseload data'!$D:$D,"PO",'caseload data'!$B:$B,{"licence","community"}))/SUM(SUMIFS('caseload data'!G:G,'caseload data'!$B:$B,{"licence","community"},'caseload data'!$C:$C,'community %'!$B$29)),"")</f>
        <v/>
      </c>
      <c r="F31" s="187" t="str">
        <f>IFERROR(SUM(SUMIFS('caseload data'!H:H,'caseload data'!$C:$C,'community %'!$B$29,'caseload data'!$D:$D,"PO",'caseload data'!$B:$B,{"licence","community"}))/SUM(SUMIFS('caseload data'!H:H,'caseload data'!$B:$B,{"licence","community"},'caseload data'!$C:$C,'community %'!$B$29)),"")</f>
        <v/>
      </c>
      <c r="G31" s="187" t="str">
        <f>IFERROR(SUM(SUMIFS('caseload data'!I:I,'caseload data'!$C:$C,'community %'!$B$29,'caseload data'!$D:$D,"PO",'caseload data'!$B:$B,{"licence","community"}))/SUM(SUMIFS('caseload data'!I:I,'caseload data'!$B:$B,{"licence","community"},'caseload data'!$C:$C,'community %'!$B$29)),"")</f>
        <v/>
      </c>
      <c r="H31" s="187" t="str">
        <f>IFERROR(SUM(SUMIFS('caseload data'!J:J,'caseload data'!$C:$C,'community %'!$B$29,'caseload data'!$D:$D,"PO",'caseload data'!$B:$B,{"licence","community"}))/SUM(SUMIFS('caseload data'!J:J,'caseload data'!$B:$B,{"licence","community"},'caseload data'!$C:$C,'community %'!$B$29)),"")</f>
        <v/>
      </c>
      <c r="I31" s="187" t="str">
        <f>IFERROR(SUM(SUMIFS('caseload data'!K:K,'caseload data'!$C:$C,'community %'!$B$29,'caseload data'!$D:$D,"PO",'caseload data'!$B:$B,{"licence","community"}))/SUM(SUMIFS('caseload data'!K:K,'caseload data'!$B:$B,{"licence","community"},'caseload data'!$C:$C,'community %'!$B$29)),"")</f>
        <v/>
      </c>
      <c r="J31" s="187" t="str">
        <f>IFERROR(SUM(SUMIFS('caseload data'!L:L,'caseload data'!$C:$C,'community %'!$B$29,'caseload data'!$D:$D,"PO",'caseload data'!$B:$B,{"licence","community"}))/SUM(SUMIFS('caseload data'!L:L,'caseload data'!$B:$B,{"licence","community"},'caseload data'!$C:$C,'community %'!$B$29)),"")</f>
        <v/>
      </c>
      <c r="K31" s="187" t="str">
        <f>IFERROR(SUM(SUMIFS('caseload data'!M:M,'caseload data'!$C:$C,'community %'!$B$29,'caseload data'!$D:$D,"PO",'caseload data'!$B:$B,{"licence","community"}))/SUM(SUMIFS('caseload data'!M:M,'caseload data'!$B:$B,{"licence","community"},'caseload data'!$C:$C,'community %'!$B$29)),"")</f>
        <v/>
      </c>
      <c r="L31" s="187" t="str">
        <f>IFERROR(SUM(SUMIFS('caseload data'!N:N,'caseload data'!$C:$C,'community %'!$B$29,'caseload data'!$D:$D,"PO",'caseload data'!$B:$B,{"licence","community"}))/SUM(SUMIFS('caseload data'!N:N,'caseload data'!$B:$B,{"licence","community"},'caseload data'!$C:$C,'community %'!$B$29)),"")</f>
        <v/>
      </c>
      <c r="M31" s="187" t="str">
        <f>IFERROR(SUM(SUMIFS('caseload data'!O:O,'caseload data'!$C:$C,'community %'!$B$29,'caseload data'!$D:$D,"PO",'caseload data'!$B:$B,{"licence","community"}))/SUM(SUMIFS('caseload data'!O:O,'caseload data'!$B:$B,{"licence","community"},'caseload data'!$C:$C,'community %'!$B$29)),"")</f>
        <v/>
      </c>
      <c r="N31" s="187" t="str">
        <f>IFERROR(SUM(SUMIFS('caseload data'!P:P,'caseload data'!$C:$C,'community %'!$B$29,'caseload data'!$D:$D,"PO",'caseload data'!$B:$B,{"licence","community"}))/SUM(SUMIFS('caseload data'!P:P,'caseload data'!$B:$B,{"licence","community"},'caseload data'!$C:$C,'community %'!$B$29)),"")</f>
        <v/>
      </c>
      <c r="O31" s="187" t="str">
        <f>IFERROR(SUM(SUMIFS('caseload data'!Q:Q,'caseload data'!$C:$C,'community %'!$B$29,'caseload data'!$D:$D,"PO",'caseload data'!$B:$B,{"licence","community"}))/SUM(SUMIFS('caseload data'!Q:Q,'caseload data'!$B:$B,{"licence","community"},'caseload data'!$C:$C,'community %'!$B$29)),"")</f>
        <v/>
      </c>
      <c r="P31" s="187" t="str">
        <f>IFERROR(SUM(SUMIFS('caseload data'!R:R,'caseload data'!$C:$C,'community %'!$B$29,'caseload data'!$D:$D,"PO",'caseload data'!$B:$B,{"licence","community"}))/SUM(SUMIFS('caseload data'!R:R,'caseload data'!$B:$B,{"licence","community"},'caseload data'!$C:$C,'community %'!$B$29)),"")</f>
        <v/>
      </c>
      <c r="Q31" s="187" t="str">
        <f>IFERROR(SUM(SUMIFS('caseload data'!S:S,'caseload data'!$C:$C,'community %'!$B$29,'caseload data'!$D:$D,"PO",'caseload data'!$B:$B,{"licence","community"}))/SUM(SUMIFS('caseload data'!S:S,'caseload data'!$B:$B,{"licence","community"},'caseload data'!$C:$C,'community %'!$B$29)),"")</f>
        <v/>
      </c>
      <c r="R31" s="187" t="str">
        <f>IFERROR(SUM(SUMIFS('caseload data'!T:T,'caseload data'!$C:$C,'community %'!$B$29,'caseload data'!$D:$D,"PO",'caseload data'!$B:$B,{"licence","community"}))/SUM(SUMIFS('caseload data'!T:T,'caseload data'!$B:$B,{"licence","community"},'caseload data'!$C:$C,'community %'!$B$29)),"")</f>
        <v/>
      </c>
      <c r="S31" s="76"/>
      <c r="T31" s="109" t="s">
        <v>1037</v>
      </c>
      <c r="U31" s="187" t="str">
        <f>IFERROR(SUM(SUMIFS('caseload data'!E:E,'caseload data'!$C:$C,'community %'!$T$29,'caseload data'!$D:$D,"PO",'caseload data'!$B:$B,{"licence","community"}))/SUM(SUMIFS('caseload data'!E:E,'caseload data'!$B:$B,{"licence","community"},'caseload data'!$C:$C,'community %'!$T$29)),"")</f>
        <v/>
      </c>
      <c r="V31" s="187" t="str">
        <f>IFERROR(SUM(SUMIFS('caseload data'!F:F,'caseload data'!$C:$C,'community %'!$T$29,'caseload data'!$D:$D,"PO",'caseload data'!$B:$B,{"licence","community"}))/SUM(SUMIFS('caseload data'!F:F,'caseload data'!$B:$B,{"licence","community"},'caseload data'!$C:$C,'community %'!$T$29)),"")</f>
        <v/>
      </c>
      <c r="W31" s="187" t="str">
        <f>IFERROR(SUM(SUMIFS('caseload data'!G:G,'caseload data'!$C:$C,'community %'!$T$29,'caseload data'!$D:$D,"PO",'caseload data'!$B:$B,{"licence","community"}))/SUM(SUMIFS('caseload data'!G:G,'caseload data'!$B:$B,{"licence","community"},'caseload data'!$C:$C,'community %'!$T$29)),"")</f>
        <v/>
      </c>
      <c r="X31" s="187" t="str">
        <f>IFERROR(SUM(SUMIFS('caseload data'!H:H,'caseload data'!$C:$C,'community %'!$T$29,'caseload data'!$D:$D,"PO",'caseload data'!$B:$B,{"licence","community"}))/SUM(SUMIFS('caseload data'!H:H,'caseload data'!$B:$B,{"licence","community"},'caseload data'!$C:$C,'community %'!$T$29)),"")</f>
        <v/>
      </c>
      <c r="Y31" s="187" t="str">
        <f>IFERROR(SUM(SUMIFS('caseload data'!I:I,'caseload data'!$C:$C,'community %'!$T$29,'caseload data'!$D:$D,"PO",'caseload data'!$B:$B,{"licence","community"}))/SUM(SUMIFS('caseload data'!I:I,'caseload data'!$B:$B,{"licence","community"},'caseload data'!$C:$C,'community %'!$T$29)),"")</f>
        <v/>
      </c>
      <c r="Z31" s="187" t="str">
        <f>IFERROR(SUM(SUMIFS('caseload data'!J:J,'caseload data'!$C:$C,'community %'!$T$29,'caseload data'!$D:$D,"PO",'caseload data'!$B:$B,{"licence","community"}))/SUM(SUMIFS('caseload data'!J:J,'caseload data'!$B:$B,{"licence","community"},'caseload data'!$C:$C,'community %'!$T$29)),"")</f>
        <v/>
      </c>
      <c r="AA31" s="187" t="str">
        <f>IFERROR(SUM(SUMIFS('caseload data'!K:K,'caseload data'!$C:$C,'community %'!$T$29,'caseload data'!$D:$D,"PO",'caseload data'!$B:$B,{"licence","community"}))/SUM(SUMIFS('caseload data'!K:K,'caseload data'!$B:$B,{"licence","community"},'caseload data'!$C:$C,'community %'!$T$29)),"")</f>
        <v/>
      </c>
      <c r="AB31" s="187" t="str">
        <f>IFERROR(SUM(SUMIFS('caseload data'!L:L,'caseload data'!$C:$C,'community %'!$T$29,'caseload data'!$D:$D,"PO",'caseload data'!$B:$B,{"licence","community"}))/SUM(SUMIFS('caseload data'!L:L,'caseload data'!$B:$B,{"licence","community"},'caseload data'!$C:$C,'community %'!$T$29)),"")</f>
        <v/>
      </c>
      <c r="AC31" s="187" t="str">
        <f>IFERROR(SUM(SUMIFS('caseload data'!M:M,'caseload data'!$C:$C,'community %'!$T$29,'caseload data'!$D:$D,"PO",'caseload data'!$B:$B,{"licence","community"}))/SUM(SUMIFS('caseload data'!M:M,'caseload data'!$B:$B,{"licence","community"},'caseload data'!$C:$C,'community %'!$T$29)),"")</f>
        <v/>
      </c>
      <c r="AD31" s="187" t="str">
        <f>IFERROR(SUM(SUMIFS('caseload data'!N:N,'caseload data'!$C:$C,'community %'!$T$29,'caseload data'!$D:$D,"PO",'caseload data'!$B:$B,{"licence","community"}))/SUM(SUMIFS('caseload data'!N:N,'caseload data'!$B:$B,{"licence","community"},'caseload data'!$C:$C,'community %'!$T$29)),"")</f>
        <v/>
      </c>
      <c r="AE31" s="187" t="str">
        <f>IFERROR(SUM(SUMIFS('caseload data'!O:O,'caseload data'!$C:$C,'community %'!$T$29,'caseload data'!$D:$D,"PO",'caseload data'!$B:$B,{"licence","community"}))/SUM(SUMIFS('caseload data'!O:O,'caseload data'!$B:$B,{"licence","community"},'caseload data'!$C:$C,'community %'!$T$29)),"")</f>
        <v/>
      </c>
      <c r="AF31" s="187" t="str">
        <f>IFERROR(SUM(SUMIFS('caseload data'!P:P,'caseload data'!$C:$C,'community %'!$T$29,'caseload data'!$D:$D,"PO",'caseload data'!$B:$B,{"licence","community"}))/SUM(SUMIFS('caseload data'!P:P,'caseload data'!$B:$B,{"licence","community"},'caseload data'!$C:$C,'community %'!$T$29)),"")</f>
        <v/>
      </c>
      <c r="AG31" s="187" t="str">
        <f>IFERROR(SUM(SUMIFS('caseload data'!Q:Q,'caseload data'!$C:$C,'community %'!$T$29,'caseload data'!$D:$D,"PO",'caseload data'!$B:$B,{"licence","community"}))/SUM(SUMIFS('caseload data'!Q:Q,'caseload data'!$B:$B,{"licence","community"},'caseload data'!$C:$C,'community %'!$T$29)),"")</f>
        <v/>
      </c>
      <c r="AH31" s="187" t="str">
        <f>IFERROR(SUM(SUMIFS('caseload data'!R:R,'caseload data'!$C:$C,'community %'!$T$29,'caseload data'!$D:$D,"PO",'caseload data'!$B:$B,{"licence","community"}))/SUM(SUMIFS('caseload data'!R:R,'caseload data'!$B:$B,{"licence","community"},'caseload data'!$C:$C,'community %'!$T$29)),"")</f>
        <v/>
      </c>
      <c r="AI31" s="187" t="str">
        <f>IFERROR(SUM(SUMIFS('caseload data'!S:S,'caseload data'!$C:$C,'community %'!$T$29,'caseload data'!$D:$D,"PO",'caseload data'!$B:$B,{"licence","community"}))/SUM(SUMIFS('caseload data'!S:S,'caseload data'!$B:$B,{"licence","community"},'caseload data'!$C:$C,'community %'!$T$29)),"")</f>
        <v/>
      </c>
      <c r="AJ31" s="187" t="str">
        <f>IFERROR(SUM(SUMIFS('caseload data'!T:T,'caseload data'!$C:$C,'community %'!$T$29,'caseload data'!$D:$D,"PO",'caseload data'!$B:$B,{"licence","community"}))/SUM(SUMIFS('caseload data'!T:T,'caseload data'!$B:$B,{"licence","community"},'caseload data'!$C:$C,'community %'!$T$29)),"")</f>
        <v/>
      </c>
    </row>
    <row r="32" spans="2:36" x14ac:dyDescent="0.15">
      <c r="B32" s="110" t="s">
        <v>1038</v>
      </c>
      <c r="C32" s="187" t="str">
        <f>IFERROR(SUM(SUMIFS('caseload data'!E:E,'caseload data'!$C:$C,'community %'!$B$29,'caseload data'!$D:$D,"PSO",'caseload data'!$B:$B,{"licence","community"}))/SUM(SUMIFS('caseload data'!E:E,'caseload data'!$B:$B,{"licence","community"},'caseload data'!$C:$C,'community %'!$B$29)),"")</f>
        <v/>
      </c>
      <c r="D32" s="187" t="str">
        <f>IFERROR(SUM(SUMIFS('caseload data'!F:F,'caseload data'!$C:$C,'community %'!$B$29,'caseload data'!$D:$D,"PSO",'caseload data'!$B:$B,{"licence","community"}))/SUM(SUMIFS('caseload data'!F:F,'caseload data'!$B:$B,{"licence","community"},'caseload data'!$C:$C,'community %'!$B$29)),"")</f>
        <v/>
      </c>
      <c r="E32" s="187" t="str">
        <f>IFERROR(SUM(SUMIFS('caseload data'!G:G,'caseload data'!$C:$C,'community %'!$B$29,'caseload data'!$D:$D,"PSO",'caseload data'!$B:$B,{"licence","community"}))/SUM(SUMIFS('caseload data'!G:G,'caseload data'!$B:$B,{"licence","community"},'caseload data'!$C:$C,'community %'!$B$29)),"")</f>
        <v/>
      </c>
      <c r="F32" s="187" t="str">
        <f>IFERROR(SUM(SUMIFS('caseload data'!H:H,'caseload data'!$C:$C,'community %'!$B$29,'caseload data'!$D:$D,"PSO",'caseload data'!$B:$B,{"licence","community"}))/SUM(SUMIFS('caseload data'!H:H,'caseload data'!$B:$B,{"licence","community"},'caseload data'!$C:$C,'community %'!$B$29)),"")</f>
        <v/>
      </c>
      <c r="G32" s="187" t="str">
        <f>IFERROR(SUM(SUMIFS('caseload data'!I:I,'caseload data'!$C:$C,'community %'!$B$29,'caseload data'!$D:$D,"PSO",'caseload data'!$B:$B,{"licence","community"}))/SUM(SUMIFS('caseload data'!I:I,'caseload data'!$B:$B,{"licence","community"},'caseload data'!$C:$C,'community %'!$B$29)),"")</f>
        <v/>
      </c>
      <c r="H32" s="187" t="str">
        <f>IFERROR(SUM(SUMIFS('caseload data'!J:J,'caseload data'!$C:$C,'community %'!$B$29,'caseload data'!$D:$D,"PSO",'caseload data'!$B:$B,{"licence","community"}))/SUM(SUMIFS('caseload data'!J:J,'caseload data'!$B:$B,{"licence","community"},'caseload data'!$C:$C,'community %'!$B$29)),"")</f>
        <v/>
      </c>
      <c r="I32" s="187" t="str">
        <f>IFERROR(SUM(SUMIFS('caseload data'!K:K,'caseload data'!$C:$C,'community %'!$B$29,'caseload data'!$D:$D,"PSO",'caseload data'!$B:$B,{"licence","community"}))/SUM(SUMIFS('caseload data'!K:K,'caseload data'!$B:$B,{"licence","community"},'caseload data'!$C:$C,'community %'!$B$29)),"")</f>
        <v/>
      </c>
      <c r="J32" s="187" t="str">
        <f>IFERROR(SUM(SUMIFS('caseload data'!L:L,'caseload data'!$C:$C,'community %'!$B$29,'caseload data'!$D:$D,"PSO",'caseload data'!$B:$B,{"licence","community"}))/SUM(SUMIFS('caseload data'!L:L,'caseload data'!$B:$B,{"licence","community"},'caseload data'!$C:$C,'community %'!$B$29)),"")</f>
        <v/>
      </c>
      <c r="K32" s="187" t="str">
        <f>IFERROR(SUM(SUMIFS('caseload data'!M:M,'caseload data'!$C:$C,'community %'!$B$29,'caseload data'!$D:$D,"PSO",'caseload data'!$B:$B,{"licence","community"}))/SUM(SUMIFS('caseload data'!M:M,'caseload data'!$B:$B,{"licence","community"},'caseload data'!$C:$C,'community %'!$B$29)),"")</f>
        <v/>
      </c>
      <c r="L32" s="187" t="str">
        <f>IFERROR(SUM(SUMIFS('caseload data'!N:N,'caseload data'!$C:$C,'community %'!$B$29,'caseload data'!$D:$D,"PSO",'caseload data'!$B:$B,{"licence","community"}))/SUM(SUMIFS('caseload data'!N:N,'caseload data'!$B:$B,{"licence","community"},'caseload data'!$C:$C,'community %'!$B$29)),"")</f>
        <v/>
      </c>
      <c r="M32" s="187" t="str">
        <f>IFERROR(SUM(SUMIFS('caseload data'!O:O,'caseload data'!$C:$C,'community %'!$B$29,'caseload data'!$D:$D,"PSO",'caseload data'!$B:$B,{"licence","community"}))/SUM(SUMIFS('caseload data'!O:O,'caseload data'!$B:$B,{"licence","community"},'caseload data'!$C:$C,'community %'!$B$29)),"")</f>
        <v/>
      </c>
      <c r="N32" s="187" t="str">
        <f>IFERROR(SUM(SUMIFS('caseload data'!P:P,'caseload data'!$C:$C,'community %'!$B$29,'caseload data'!$D:$D,"PSO",'caseload data'!$B:$B,{"licence","community"}))/SUM(SUMIFS('caseload data'!P:P,'caseload data'!$B:$B,{"licence","community"},'caseload data'!$C:$C,'community %'!$B$29)),"")</f>
        <v/>
      </c>
      <c r="O32" s="187" t="str">
        <f>IFERROR(SUM(SUMIFS('caseload data'!Q:Q,'caseload data'!$C:$C,'community %'!$B$29,'caseload data'!$D:$D,"PSO",'caseload data'!$B:$B,{"licence","community"}))/SUM(SUMIFS('caseload data'!Q:Q,'caseload data'!$B:$B,{"licence","community"},'caseload data'!$C:$C,'community %'!$B$29)),"")</f>
        <v/>
      </c>
      <c r="P32" s="187" t="str">
        <f>IFERROR(SUM(SUMIFS('caseload data'!R:R,'caseload data'!$C:$C,'community %'!$B$29,'caseload data'!$D:$D,"PSO",'caseload data'!$B:$B,{"licence","community"}))/SUM(SUMIFS('caseload data'!R:R,'caseload data'!$B:$B,{"licence","community"},'caseload data'!$C:$C,'community %'!$B$29)),"")</f>
        <v/>
      </c>
      <c r="Q32" s="187" t="str">
        <f>IFERROR(SUM(SUMIFS('caseload data'!S:S,'caseload data'!$C:$C,'community %'!$B$29,'caseload data'!$D:$D,"PSO",'caseload data'!$B:$B,{"licence","community"}))/SUM(SUMIFS('caseload data'!S:S,'caseload data'!$B:$B,{"licence","community"},'caseload data'!$C:$C,'community %'!$B$29)),"")</f>
        <v/>
      </c>
      <c r="R32" s="187" t="str">
        <f>IFERROR(SUM(SUMIFS('caseload data'!T:T,'caseload data'!$C:$C,'community %'!$B$29,'caseload data'!$D:$D,"PSO",'caseload data'!$B:$B,{"licence","community"}))/SUM(SUMIFS('caseload data'!T:T,'caseload data'!$B:$B,{"licence","community"},'caseload data'!$C:$C,'community %'!$B$29)),"")</f>
        <v/>
      </c>
      <c r="S32" s="76"/>
      <c r="T32" s="110" t="s">
        <v>1038</v>
      </c>
      <c r="U32" s="187" t="str">
        <f>IFERROR(SUM(SUMIFS('caseload data'!E:E,'caseload data'!$C:$C,'community %'!$T$29,'caseload data'!$D:$D,"PSO",'caseload data'!$B:$B,{"licence","community"}))/SUM(SUMIFS('caseload data'!E:E,'caseload data'!$B:$B,{"licence","community"},'caseload data'!$C:$C,'community %'!$T$29)),"")</f>
        <v/>
      </c>
      <c r="V32" s="187" t="str">
        <f>IFERROR(SUM(SUMIFS('caseload data'!F:F,'caseload data'!$C:$C,'community %'!$T$29,'caseload data'!$D:$D,"PSO",'caseload data'!$B:$B,{"licence","community"}))/SUM(SUMIFS('caseload data'!F:F,'caseload data'!$B:$B,{"licence","community"},'caseload data'!$C:$C,'community %'!$T$29)),"")</f>
        <v/>
      </c>
      <c r="W32" s="187" t="str">
        <f>IFERROR(SUM(SUMIFS('caseload data'!G:G,'caseload data'!$C:$C,'community %'!$T$29,'caseload data'!$D:$D,"PSO",'caseload data'!$B:$B,{"licence","community"}))/SUM(SUMIFS('caseload data'!G:G,'caseload data'!$B:$B,{"licence","community"},'caseload data'!$C:$C,'community %'!$T$29)),"")</f>
        <v/>
      </c>
      <c r="X32" s="187" t="str">
        <f>IFERROR(SUM(SUMIFS('caseload data'!H:H,'caseload data'!$C:$C,'community %'!$T$29,'caseload data'!$D:$D,"PSO",'caseload data'!$B:$B,{"licence","community"}))/SUM(SUMIFS('caseload data'!H:H,'caseload data'!$B:$B,{"licence","community"},'caseload data'!$C:$C,'community %'!$T$29)),"")</f>
        <v/>
      </c>
      <c r="Y32" s="187" t="str">
        <f>IFERROR(SUM(SUMIFS('caseload data'!I:I,'caseload data'!$C:$C,'community %'!$T$29,'caseload data'!$D:$D,"PSO",'caseload data'!$B:$B,{"licence","community"}))/SUM(SUMIFS('caseload data'!I:I,'caseload data'!$B:$B,{"licence","community"},'caseload data'!$C:$C,'community %'!$T$29)),"")</f>
        <v/>
      </c>
      <c r="Z32" s="187" t="str">
        <f>IFERROR(SUM(SUMIFS('caseload data'!J:J,'caseload data'!$C:$C,'community %'!$T$29,'caseload data'!$D:$D,"PSO",'caseload data'!$B:$B,{"licence","community"}))/SUM(SUMIFS('caseload data'!J:J,'caseload data'!$B:$B,{"licence","community"},'caseload data'!$C:$C,'community %'!$T$29)),"")</f>
        <v/>
      </c>
      <c r="AA32" s="187" t="str">
        <f>IFERROR(SUM(SUMIFS('caseload data'!K:K,'caseload data'!$C:$C,'community %'!$T$29,'caseload data'!$D:$D,"PSO",'caseload data'!$B:$B,{"licence","community"}))/SUM(SUMIFS('caseload data'!K:K,'caseload data'!$B:$B,{"licence","community"},'caseload data'!$C:$C,'community %'!$T$29)),"")</f>
        <v/>
      </c>
      <c r="AB32" s="187" t="str">
        <f>IFERROR(SUM(SUMIFS('caseload data'!L:L,'caseload data'!$C:$C,'community %'!$T$29,'caseload data'!$D:$D,"PSO",'caseload data'!$B:$B,{"licence","community"}))/SUM(SUMIFS('caseload data'!L:L,'caseload data'!$B:$B,{"licence","community"},'caseload data'!$C:$C,'community %'!$T$29)),"")</f>
        <v/>
      </c>
      <c r="AC32" s="187" t="str">
        <f>IFERROR(SUM(SUMIFS('caseload data'!M:M,'caseload data'!$C:$C,'community %'!$T$29,'caseload data'!$D:$D,"PSO",'caseload data'!$B:$B,{"licence","community"}))/SUM(SUMIFS('caseload data'!M:M,'caseload data'!$B:$B,{"licence","community"},'caseload data'!$C:$C,'community %'!$T$29)),"")</f>
        <v/>
      </c>
      <c r="AD32" s="187" t="str">
        <f>IFERROR(SUM(SUMIFS('caseload data'!N:N,'caseload data'!$C:$C,'community %'!$T$29,'caseload data'!$D:$D,"PSO",'caseload data'!$B:$B,{"licence","community"}))/SUM(SUMIFS('caseload data'!N:N,'caseload data'!$B:$B,{"licence","community"},'caseload data'!$C:$C,'community %'!$T$29)),"")</f>
        <v/>
      </c>
      <c r="AE32" s="187" t="str">
        <f>IFERROR(SUM(SUMIFS('caseload data'!O:O,'caseload data'!$C:$C,'community %'!$T$29,'caseload data'!$D:$D,"PSO",'caseload data'!$B:$B,{"licence","community"}))/SUM(SUMIFS('caseload data'!O:O,'caseload data'!$B:$B,{"licence","community"},'caseload data'!$C:$C,'community %'!$T$29)),"")</f>
        <v/>
      </c>
      <c r="AF32" s="187" t="str">
        <f>IFERROR(SUM(SUMIFS('caseload data'!P:P,'caseload data'!$C:$C,'community %'!$T$29,'caseload data'!$D:$D,"PSO",'caseload data'!$B:$B,{"licence","community"}))/SUM(SUMIFS('caseload data'!P:P,'caseload data'!$B:$B,{"licence","community"},'caseload data'!$C:$C,'community %'!$T$29)),"")</f>
        <v/>
      </c>
      <c r="AG32" s="187" t="str">
        <f>IFERROR(SUM(SUMIFS('caseload data'!Q:Q,'caseload data'!$C:$C,'community %'!$T$29,'caseload data'!$D:$D,"PSO",'caseload data'!$B:$B,{"licence","community"}))/SUM(SUMIFS('caseload data'!Q:Q,'caseload data'!$B:$B,{"licence","community"},'caseload data'!$C:$C,'community %'!$T$29)),"")</f>
        <v/>
      </c>
      <c r="AH32" s="187" t="str">
        <f>IFERROR(SUM(SUMIFS('caseload data'!R:R,'caseload data'!$C:$C,'community %'!$T$29,'caseload data'!$D:$D,"PSO",'caseload data'!$B:$B,{"licence","community"}))/SUM(SUMIFS('caseload data'!R:R,'caseload data'!$B:$B,{"licence","community"},'caseload data'!$C:$C,'community %'!$T$29)),"")</f>
        <v/>
      </c>
      <c r="AI32" s="187" t="str">
        <f>IFERROR(SUM(SUMIFS('caseload data'!S:S,'caseload data'!$C:$C,'community %'!$T$29,'caseload data'!$D:$D,"PSO",'caseload data'!$B:$B,{"licence","community"}))/SUM(SUMIFS('caseload data'!S:S,'caseload data'!$B:$B,{"licence","community"},'caseload data'!$C:$C,'community %'!$T$29)),"")</f>
        <v/>
      </c>
      <c r="AJ32" s="187" t="str">
        <f>IFERROR(SUM(SUMIFS('caseload data'!T:T,'caseload data'!$C:$C,'community %'!$T$29,'caseload data'!$D:$D,"PSO",'caseload data'!$B:$B,{"licence","community"}))/SUM(SUMIFS('caseload data'!T:T,'caseload data'!$B:$B,{"licence","community"},'caseload data'!$C:$C,'community %'!$T$29)),"")</f>
        <v/>
      </c>
    </row>
    <row r="33" spans="2:36" x14ac:dyDescent="0.15">
      <c r="B33" s="110" t="s">
        <v>1039</v>
      </c>
      <c r="C33" s="187" t="str">
        <f>IFERROR(SUM(SUMIFS('caseload data'!E:E,'caseload data'!$C:$C,'community %'!$B$29,'caseload data'!$D:$D,"TPO",'caseload data'!$B:$B,{"licence","community"}))/SUM(SUMIFS('caseload data'!E:E,'caseload data'!$B:$B,{"licence","community"},'caseload data'!$C:$C,'community %'!$B$29)),"")</f>
        <v/>
      </c>
      <c r="D33" s="187" t="str">
        <f>IFERROR(SUM(SUMIFS('caseload data'!F:F,'caseload data'!$C:$C,'community %'!$B$29,'caseload data'!$D:$D,"TPO",'caseload data'!$B:$B,{"licence","community"}))/SUM(SUMIFS('caseload data'!F:F,'caseload data'!$B:$B,{"licence","community"},'caseload data'!$C:$C,'community %'!$B$29)),"")</f>
        <v/>
      </c>
      <c r="E33" s="187" t="str">
        <f>IFERROR(SUM(SUMIFS('caseload data'!G:G,'caseload data'!$C:$C,'community %'!$B$29,'caseload data'!$D:$D,"TPO",'caseload data'!$B:$B,{"licence","community"}))/SUM(SUMIFS('caseload data'!G:G,'caseload data'!$B:$B,{"licence","community"},'caseload data'!$C:$C,'community %'!$B$29)),"")</f>
        <v/>
      </c>
      <c r="F33" s="187" t="str">
        <f>IFERROR(SUM(SUMIFS('caseload data'!H:H,'caseload data'!$C:$C,'community %'!$B$29,'caseload data'!$D:$D,"TPO",'caseload data'!$B:$B,{"licence","community"}))/SUM(SUMIFS('caseload data'!H:H,'caseload data'!$B:$B,{"licence","community"},'caseload data'!$C:$C,'community %'!$B$29)),"")</f>
        <v/>
      </c>
      <c r="G33" s="187" t="str">
        <f>IFERROR(SUM(SUMIFS('caseload data'!I:I,'caseload data'!$C:$C,'community %'!$B$29,'caseload data'!$D:$D,"TPO",'caseload data'!$B:$B,{"licence","community"}))/SUM(SUMIFS('caseload data'!I:I,'caseload data'!$B:$B,{"licence","community"},'caseload data'!$C:$C,'community %'!$B$29)),"")</f>
        <v/>
      </c>
      <c r="H33" s="187" t="str">
        <f>IFERROR(SUM(SUMIFS('caseload data'!J:J,'caseload data'!$C:$C,'community %'!$B$29,'caseload data'!$D:$D,"TPO",'caseload data'!$B:$B,{"licence","community"}))/SUM(SUMIFS('caseload data'!J:J,'caseload data'!$B:$B,{"licence","community"},'caseload data'!$C:$C,'community %'!$B$29)),"")</f>
        <v/>
      </c>
      <c r="I33" s="187" t="str">
        <f>IFERROR(SUM(SUMIFS('caseload data'!K:K,'caseload data'!$C:$C,'community %'!$B$29,'caseload data'!$D:$D,"TPO",'caseload data'!$B:$B,{"licence","community"}))/SUM(SUMIFS('caseload data'!K:K,'caseload data'!$B:$B,{"licence","community"},'caseload data'!$C:$C,'community %'!$B$29)),"")</f>
        <v/>
      </c>
      <c r="J33" s="187" t="str">
        <f>IFERROR(SUM(SUMIFS('caseload data'!L:L,'caseload data'!$C:$C,'community %'!$B$29,'caseload data'!$D:$D,"TPO",'caseload data'!$B:$B,{"licence","community"}))/SUM(SUMIFS('caseload data'!L:L,'caseload data'!$B:$B,{"licence","community"},'caseload data'!$C:$C,'community %'!$B$29)),"")</f>
        <v/>
      </c>
      <c r="K33" s="187" t="str">
        <f>IFERROR(SUM(SUMIFS('caseload data'!M:M,'caseload data'!$C:$C,'community %'!$B$29,'caseload data'!$D:$D,"TPO",'caseload data'!$B:$B,{"licence","community"}))/SUM(SUMIFS('caseload data'!M:M,'caseload data'!$B:$B,{"licence","community"},'caseload data'!$C:$C,'community %'!$B$29)),"")</f>
        <v/>
      </c>
      <c r="L33" s="187" t="str">
        <f>IFERROR(SUM(SUMIFS('caseload data'!N:N,'caseload data'!$C:$C,'community %'!$B$29,'caseload data'!$D:$D,"TPO",'caseload data'!$B:$B,{"licence","community"}))/SUM(SUMIFS('caseload data'!N:N,'caseload data'!$B:$B,{"licence","community"},'caseload data'!$C:$C,'community %'!$B$29)),"")</f>
        <v/>
      </c>
      <c r="M33" s="187" t="str">
        <f>IFERROR(SUM(SUMIFS('caseload data'!O:O,'caseload data'!$C:$C,'community %'!$B$29,'caseload data'!$D:$D,"TPO",'caseload data'!$B:$B,{"licence","community"}))/SUM(SUMIFS('caseload data'!O:O,'caseload data'!$B:$B,{"licence","community"},'caseload data'!$C:$C,'community %'!$B$29)),"")</f>
        <v/>
      </c>
      <c r="N33" s="187" t="str">
        <f>IFERROR(SUM(SUMIFS('caseload data'!P:P,'caseload data'!$C:$C,'community %'!$B$29,'caseload data'!$D:$D,"TPO",'caseload data'!$B:$B,{"licence","community"}))/SUM(SUMIFS('caseload data'!P:P,'caseload data'!$B:$B,{"licence","community"},'caseload data'!$C:$C,'community %'!$B$29)),"")</f>
        <v/>
      </c>
      <c r="O33" s="187" t="str">
        <f>IFERROR(SUM(SUMIFS('caseload data'!Q:Q,'caseload data'!$C:$C,'community %'!$B$29,'caseload data'!$D:$D,"TPO",'caseload data'!$B:$B,{"licence","community"}))/SUM(SUMIFS('caseload data'!Q:Q,'caseload data'!$B:$B,{"licence","community"},'caseload data'!$C:$C,'community %'!$B$29)),"")</f>
        <v/>
      </c>
      <c r="P33" s="187" t="str">
        <f>IFERROR(SUM(SUMIFS('caseload data'!R:R,'caseload data'!$C:$C,'community %'!$B$29,'caseload data'!$D:$D,"TPO",'caseload data'!$B:$B,{"licence","community"}))/SUM(SUMIFS('caseload data'!R:R,'caseload data'!$B:$B,{"licence","community"},'caseload data'!$C:$C,'community %'!$B$29)),"")</f>
        <v/>
      </c>
      <c r="Q33" s="187" t="str">
        <f>IFERROR(SUM(SUMIFS('caseload data'!S:S,'caseload data'!$C:$C,'community %'!$B$29,'caseload data'!$D:$D,"TPO",'caseload data'!$B:$B,{"licence","community"}))/SUM(SUMIFS('caseload data'!S:S,'caseload data'!$B:$B,{"licence","community"},'caseload data'!$C:$C,'community %'!$B$29)),"")</f>
        <v/>
      </c>
      <c r="R33" s="187" t="str">
        <f>IFERROR(SUM(SUMIFS('caseload data'!T:T,'caseload data'!$C:$C,'community %'!$B$29,'caseload data'!$D:$D,"TPO",'caseload data'!$B:$B,{"licence","community"}))/SUM(SUMIFS('caseload data'!T:T,'caseload data'!$B:$B,{"licence","community"},'caseload data'!$C:$C,'community %'!$B$29)),"")</f>
        <v/>
      </c>
      <c r="S33" s="76"/>
      <c r="T33" s="110" t="s">
        <v>1039</v>
      </c>
      <c r="U33" s="187" t="str">
        <f>IFERROR(SUM(SUMIFS('caseload data'!E:E,'caseload data'!$C:$C,'community %'!$T$29,'caseload data'!$D:$D,"TPO",'caseload data'!$B:$B,{"licence","community"}))/SUM(SUMIFS('caseload data'!E:E,'caseload data'!$B:$B,{"licence","community"},'caseload data'!$C:$C,'community %'!$T$29)),"")</f>
        <v/>
      </c>
      <c r="V33" s="187" t="str">
        <f>IFERROR(SUM(SUMIFS('caseload data'!F:F,'caseload data'!$C:$C,'community %'!$T$29,'caseload data'!$D:$D,"TPO",'caseload data'!$B:$B,{"licence","community"}))/SUM(SUMIFS('caseload data'!F:F,'caseload data'!$B:$B,{"licence","community"},'caseload data'!$C:$C,'community %'!$T$29)),"")</f>
        <v/>
      </c>
      <c r="W33" s="187" t="str">
        <f>IFERROR(SUM(SUMIFS('caseload data'!G:G,'caseload data'!$C:$C,'community %'!$T$29,'caseload data'!$D:$D,"TPO",'caseload data'!$B:$B,{"licence","community"}))/SUM(SUMIFS('caseload data'!G:G,'caseload data'!$B:$B,{"licence","community"},'caseload data'!$C:$C,'community %'!$T$29)),"")</f>
        <v/>
      </c>
      <c r="X33" s="187" t="str">
        <f>IFERROR(SUM(SUMIFS('caseload data'!H:H,'caseload data'!$C:$C,'community %'!$T$29,'caseload data'!$D:$D,"TPO",'caseload data'!$B:$B,{"licence","community"}))/SUM(SUMIFS('caseload data'!H:H,'caseload data'!$B:$B,{"licence","community"},'caseload data'!$C:$C,'community %'!$T$29)),"")</f>
        <v/>
      </c>
      <c r="Y33" s="187" t="str">
        <f>IFERROR(SUM(SUMIFS('caseload data'!I:I,'caseload data'!$C:$C,'community %'!$T$29,'caseload data'!$D:$D,"TPO",'caseload data'!$B:$B,{"licence","community"}))/SUM(SUMIFS('caseload data'!I:I,'caseload data'!$B:$B,{"licence","community"},'caseload data'!$C:$C,'community %'!$T$29)),"")</f>
        <v/>
      </c>
      <c r="Z33" s="187" t="str">
        <f>IFERROR(SUM(SUMIFS('caseload data'!J:J,'caseload data'!$C:$C,'community %'!$T$29,'caseload data'!$D:$D,"TPO",'caseload data'!$B:$B,{"licence","community"}))/SUM(SUMIFS('caseload data'!J:J,'caseload data'!$B:$B,{"licence","community"},'caseload data'!$C:$C,'community %'!$T$29)),"")</f>
        <v/>
      </c>
      <c r="AA33" s="187" t="str">
        <f>IFERROR(SUM(SUMIFS('caseload data'!K:K,'caseload data'!$C:$C,'community %'!$T$29,'caseload data'!$D:$D,"TPO",'caseload data'!$B:$B,{"licence","community"}))/SUM(SUMIFS('caseload data'!K:K,'caseload data'!$B:$B,{"licence","community"},'caseload data'!$C:$C,'community %'!$T$29)),"")</f>
        <v/>
      </c>
      <c r="AB33" s="187" t="str">
        <f>IFERROR(SUM(SUMIFS('caseload data'!L:L,'caseload data'!$C:$C,'community %'!$T$29,'caseload data'!$D:$D,"TPO",'caseload data'!$B:$B,{"licence","community"}))/SUM(SUMIFS('caseload data'!L:L,'caseload data'!$B:$B,{"licence","community"},'caseload data'!$C:$C,'community %'!$T$29)),"")</f>
        <v/>
      </c>
      <c r="AC33" s="187" t="str">
        <f>IFERROR(SUM(SUMIFS('caseload data'!M:M,'caseload data'!$C:$C,'community %'!$T$29,'caseload data'!$D:$D,"TPO",'caseload data'!$B:$B,{"licence","community"}))/SUM(SUMIFS('caseload data'!M:M,'caseload data'!$B:$B,{"licence","community"},'caseload data'!$C:$C,'community %'!$T$29)),"")</f>
        <v/>
      </c>
      <c r="AD33" s="187" t="str">
        <f>IFERROR(SUM(SUMIFS('caseload data'!N:N,'caseload data'!$C:$C,'community %'!$T$29,'caseload data'!$D:$D,"TPO",'caseload data'!$B:$B,{"licence","community"}))/SUM(SUMIFS('caseload data'!N:N,'caseload data'!$B:$B,{"licence","community"},'caseload data'!$C:$C,'community %'!$T$29)),"")</f>
        <v/>
      </c>
      <c r="AE33" s="187" t="str">
        <f>IFERROR(SUM(SUMIFS('caseload data'!O:O,'caseload data'!$C:$C,'community %'!$T$29,'caseload data'!$D:$D,"TPO",'caseload data'!$B:$B,{"licence","community"}))/SUM(SUMIFS('caseload data'!O:O,'caseload data'!$B:$B,{"licence","community"},'caseload data'!$C:$C,'community %'!$T$29)),"")</f>
        <v/>
      </c>
      <c r="AF33" s="187" t="str">
        <f>IFERROR(SUM(SUMIFS('caseload data'!P:P,'caseload data'!$C:$C,'community %'!$T$29,'caseload data'!$D:$D,"TPO",'caseload data'!$B:$B,{"licence","community"}))/SUM(SUMIFS('caseload data'!P:P,'caseload data'!$B:$B,{"licence","community"},'caseload data'!$C:$C,'community %'!$T$29)),"")</f>
        <v/>
      </c>
      <c r="AG33" s="187" t="str">
        <f>IFERROR(SUM(SUMIFS('caseload data'!Q:Q,'caseload data'!$C:$C,'community %'!$T$29,'caseload data'!$D:$D,"TPO",'caseload data'!$B:$B,{"licence","community"}))/SUM(SUMIFS('caseload data'!Q:Q,'caseload data'!$B:$B,{"licence","community"},'caseload data'!$C:$C,'community %'!$T$29)),"")</f>
        <v/>
      </c>
      <c r="AH33" s="187" t="str">
        <f>IFERROR(SUM(SUMIFS('caseload data'!R:R,'caseload data'!$C:$C,'community %'!$T$29,'caseload data'!$D:$D,"TPO",'caseload data'!$B:$B,{"licence","community"}))/SUM(SUMIFS('caseload data'!R:R,'caseload data'!$B:$B,{"licence","community"},'caseload data'!$C:$C,'community %'!$T$29)),"")</f>
        <v/>
      </c>
      <c r="AI33" s="187" t="str">
        <f>IFERROR(SUM(SUMIFS('caseload data'!S:S,'caseload data'!$C:$C,'community %'!$T$29,'caseload data'!$D:$D,"TPO",'caseload data'!$B:$B,{"licence","community"}))/SUM(SUMIFS('caseload data'!S:S,'caseload data'!$B:$B,{"licence","community"},'caseload data'!$C:$C,'community %'!$T$29)),"")</f>
        <v/>
      </c>
      <c r="AJ33" s="187" t="str">
        <f>IFERROR(SUM(SUMIFS('caseload data'!T:T,'caseload data'!$C:$C,'community %'!$T$29,'caseload data'!$D:$D,"TPO",'caseload data'!$B:$B,{"licence","community"}))/SUM(SUMIFS('caseload data'!T:T,'caseload data'!$B:$B,{"licence","community"},'caseload data'!$C:$C,'community %'!$T$29)),"")</f>
        <v/>
      </c>
    </row>
    <row r="34" spans="2:36" x14ac:dyDescent="0.15">
      <c r="B34" s="111" t="s">
        <v>1040</v>
      </c>
      <c r="C34" s="187" t="str">
        <f>IFERROR(SUM(SUMIFS('caseload data'!E:E,'caseload data'!$C:$C,'community %'!$B$29,'caseload data'!$D:$D,"SPO",'caseload data'!$B:$B,{"licence","community"}))/SUM(SUMIFS('caseload data'!E:E,'caseload data'!$B:$B,{"licence","community"},'caseload data'!$C:$C,'community %'!$B$29)),"")</f>
        <v/>
      </c>
      <c r="D34" s="187" t="str">
        <f>IFERROR(SUM(SUMIFS('caseload data'!F:F,'caseload data'!$C:$C,'community %'!$B$29,'caseload data'!$D:$D,"SPO",'caseload data'!$B:$B,{"licence","community"}))/SUM(SUMIFS('caseload data'!F:F,'caseload data'!$B:$B,{"licence","community"},'caseload data'!$C:$C,'community %'!$B$29)),"")</f>
        <v/>
      </c>
      <c r="E34" s="187" t="str">
        <f>IFERROR(SUM(SUMIFS('caseload data'!G:G,'caseload data'!$C:$C,'community %'!$B$29,'caseload data'!$D:$D,"SPO",'caseload data'!$B:$B,{"licence","community"}))/SUM(SUMIFS('caseload data'!G:G,'caseload data'!$B:$B,{"licence","community"},'caseload data'!$C:$C,'community %'!$B$29)),"")</f>
        <v/>
      </c>
      <c r="F34" s="187" t="str">
        <f>IFERROR(SUM(SUMIFS('caseload data'!H:H,'caseload data'!$C:$C,'community %'!$B$29,'caseload data'!$D:$D,"SPO",'caseload data'!$B:$B,{"licence","community"}))/SUM(SUMIFS('caseload data'!H:H,'caseload data'!$B:$B,{"licence","community"},'caseload data'!$C:$C,'community %'!$B$29)),"")</f>
        <v/>
      </c>
      <c r="G34" s="187" t="str">
        <f>IFERROR(SUM(SUMIFS('caseload data'!I:I,'caseload data'!$C:$C,'community %'!$B$29,'caseload data'!$D:$D,"SPO",'caseload data'!$B:$B,{"licence","community"}))/SUM(SUMIFS('caseload data'!I:I,'caseload data'!$B:$B,{"licence","community"},'caseload data'!$C:$C,'community %'!$B$29)),"")</f>
        <v/>
      </c>
      <c r="H34" s="187" t="str">
        <f>IFERROR(SUM(SUMIFS('caseload data'!J:J,'caseload data'!$C:$C,'community %'!$B$29,'caseload data'!$D:$D,"SPO",'caseload data'!$B:$B,{"licence","community"}))/SUM(SUMIFS('caseload data'!J:J,'caseload data'!$B:$B,{"licence","community"},'caseload data'!$C:$C,'community %'!$B$29)),"")</f>
        <v/>
      </c>
      <c r="I34" s="187" t="str">
        <f>IFERROR(SUM(SUMIFS('caseload data'!K:K,'caseload data'!$C:$C,'community %'!$B$29,'caseload data'!$D:$D,"SPO",'caseload data'!$B:$B,{"licence","community"}))/SUM(SUMIFS('caseload data'!K:K,'caseload data'!$B:$B,{"licence","community"},'caseload data'!$C:$C,'community %'!$B$29)),"")</f>
        <v/>
      </c>
      <c r="J34" s="187" t="str">
        <f>IFERROR(SUM(SUMIFS('caseload data'!L:L,'caseload data'!$C:$C,'community %'!$B$29,'caseload data'!$D:$D,"SPO",'caseload data'!$B:$B,{"licence","community"}))/SUM(SUMIFS('caseload data'!L:L,'caseload data'!$B:$B,{"licence","community"},'caseload data'!$C:$C,'community %'!$B$29)),"")</f>
        <v/>
      </c>
      <c r="K34" s="187" t="str">
        <f>IFERROR(SUM(SUMIFS('caseload data'!M:M,'caseload data'!$C:$C,'community %'!$B$29,'caseload data'!$D:$D,"SPO",'caseload data'!$B:$B,{"licence","community"}))/SUM(SUMIFS('caseload data'!M:M,'caseload data'!$B:$B,{"licence","community"},'caseload data'!$C:$C,'community %'!$B$29)),"")</f>
        <v/>
      </c>
      <c r="L34" s="187" t="str">
        <f>IFERROR(SUM(SUMIFS('caseload data'!N:N,'caseload data'!$C:$C,'community %'!$B$29,'caseload data'!$D:$D,"SPO",'caseload data'!$B:$B,{"licence","community"}))/SUM(SUMIFS('caseload data'!N:N,'caseload data'!$B:$B,{"licence","community"},'caseload data'!$C:$C,'community %'!$B$29)),"")</f>
        <v/>
      </c>
      <c r="M34" s="187" t="str">
        <f>IFERROR(SUM(SUMIFS('caseload data'!O:O,'caseload data'!$C:$C,'community %'!$B$29,'caseload data'!$D:$D,"SPO",'caseload data'!$B:$B,{"licence","community"}))/SUM(SUMIFS('caseload data'!O:O,'caseload data'!$B:$B,{"licence","community"},'caseload data'!$C:$C,'community %'!$B$29)),"")</f>
        <v/>
      </c>
      <c r="N34" s="187" t="str">
        <f>IFERROR(SUM(SUMIFS('caseload data'!P:P,'caseload data'!$C:$C,'community %'!$B$29,'caseload data'!$D:$D,"SPO",'caseload data'!$B:$B,{"licence","community"}))/SUM(SUMIFS('caseload data'!P:P,'caseload data'!$B:$B,{"licence","community"},'caseload data'!$C:$C,'community %'!$B$29)),"")</f>
        <v/>
      </c>
      <c r="O34" s="187" t="str">
        <f>IFERROR(SUM(SUMIFS('caseload data'!Q:Q,'caseload data'!$C:$C,'community %'!$B$29,'caseload data'!$D:$D,"SPO",'caseload data'!$B:$B,{"licence","community"}))/SUM(SUMIFS('caseload data'!Q:Q,'caseload data'!$B:$B,{"licence","community"},'caseload data'!$C:$C,'community %'!$B$29)),"")</f>
        <v/>
      </c>
      <c r="P34" s="187" t="str">
        <f>IFERROR(SUM(SUMIFS('caseload data'!R:R,'caseload data'!$C:$C,'community %'!$B$29,'caseload data'!$D:$D,"SPO",'caseload data'!$B:$B,{"licence","community"}))/SUM(SUMIFS('caseload data'!R:R,'caseload data'!$B:$B,{"licence","community"},'caseload data'!$C:$C,'community %'!$B$29)),"")</f>
        <v/>
      </c>
      <c r="Q34" s="187" t="str">
        <f>IFERROR(SUM(SUMIFS('caseload data'!S:S,'caseload data'!$C:$C,'community %'!$B$29,'caseload data'!$D:$D,"SPO",'caseload data'!$B:$B,{"licence","community"}))/SUM(SUMIFS('caseload data'!S:S,'caseload data'!$B:$B,{"licence","community"},'caseload data'!$C:$C,'community %'!$B$29)),"")</f>
        <v/>
      </c>
      <c r="R34" s="187" t="str">
        <f>IFERROR(SUM(SUMIFS('caseload data'!T:T,'caseload data'!$C:$C,'community %'!$B$29,'caseload data'!$D:$D,"SPO",'caseload data'!$B:$B,{"licence","community"}))/SUM(SUMIFS('caseload data'!T:T,'caseload data'!$B:$B,{"licence","community"},'caseload data'!$C:$C,'community %'!$B$29)),"")</f>
        <v/>
      </c>
      <c r="S34" s="76"/>
      <c r="T34" s="111" t="s">
        <v>1040</v>
      </c>
      <c r="U34" s="187" t="str">
        <f>IFERROR(SUM(SUMIFS('caseload data'!E:E,'caseload data'!$C:$C,'community %'!$T$29,'caseload data'!$D:$D,"SPO",'caseload data'!$B:$B,{"licence","community"}))/SUM(SUMIFS('caseload data'!E:E,'caseload data'!$B:$B,{"licence","community"},'caseload data'!$C:$C,'community %'!$T$29)),"")</f>
        <v/>
      </c>
      <c r="V34" s="187" t="str">
        <f>IFERROR(SUM(SUMIFS('caseload data'!F:F,'caseload data'!$C:$C,'community %'!$T$29,'caseload data'!$D:$D,"SPO",'caseload data'!$B:$B,{"licence","community"}))/SUM(SUMIFS('caseload data'!F:F,'caseload data'!$B:$B,{"licence","community"},'caseload data'!$C:$C,'community %'!$T$29)),"")</f>
        <v/>
      </c>
      <c r="W34" s="187" t="str">
        <f>IFERROR(SUM(SUMIFS('caseload data'!G:G,'caseload data'!$C:$C,'community %'!$T$29,'caseload data'!$D:$D,"SPO",'caseload data'!$B:$B,{"licence","community"}))/SUM(SUMIFS('caseload data'!G:G,'caseload data'!$B:$B,{"licence","community"},'caseload data'!$C:$C,'community %'!$T$29)),"")</f>
        <v/>
      </c>
      <c r="X34" s="187" t="str">
        <f>IFERROR(SUM(SUMIFS('caseload data'!H:H,'caseload data'!$C:$C,'community %'!$T$29,'caseload data'!$D:$D,"SPO",'caseload data'!$B:$B,{"licence","community"}))/SUM(SUMIFS('caseload data'!H:H,'caseload data'!$B:$B,{"licence","community"},'caseload data'!$C:$C,'community %'!$T$29)),"")</f>
        <v/>
      </c>
      <c r="Y34" s="187" t="str">
        <f>IFERROR(SUM(SUMIFS('caseload data'!I:I,'caseload data'!$C:$C,'community %'!$T$29,'caseload data'!$D:$D,"SPO",'caseload data'!$B:$B,{"licence","community"}))/SUM(SUMIFS('caseload data'!I:I,'caseload data'!$B:$B,{"licence","community"},'caseload data'!$C:$C,'community %'!$T$29)),"")</f>
        <v/>
      </c>
      <c r="Z34" s="187" t="str">
        <f>IFERROR(SUM(SUMIFS('caseload data'!J:J,'caseload data'!$C:$C,'community %'!$T$29,'caseload data'!$D:$D,"SPO",'caseload data'!$B:$B,{"licence","community"}))/SUM(SUMIFS('caseload data'!J:J,'caseload data'!$B:$B,{"licence","community"},'caseload data'!$C:$C,'community %'!$T$29)),"")</f>
        <v/>
      </c>
      <c r="AA34" s="187" t="str">
        <f>IFERROR(SUM(SUMIFS('caseload data'!K:K,'caseload data'!$C:$C,'community %'!$T$29,'caseload data'!$D:$D,"SPO",'caseload data'!$B:$B,{"licence","community"}))/SUM(SUMIFS('caseload data'!K:K,'caseload data'!$B:$B,{"licence","community"},'caseload data'!$C:$C,'community %'!$T$29)),"")</f>
        <v/>
      </c>
      <c r="AB34" s="187" t="str">
        <f>IFERROR(SUM(SUMIFS('caseload data'!L:L,'caseload data'!$C:$C,'community %'!$T$29,'caseload data'!$D:$D,"SPO",'caseload data'!$B:$B,{"licence","community"}))/SUM(SUMIFS('caseload data'!L:L,'caseload data'!$B:$B,{"licence","community"},'caseload data'!$C:$C,'community %'!$T$29)),"")</f>
        <v/>
      </c>
      <c r="AC34" s="187" t="str">
        <f>IFERROR(SUM(SUMIFS('caseload data'!M:M,'caseload data'!$C:$C,'community %'!$T$29,'caseload data'!$D:$D,"SPO",'caseload data'!$B:$B,{"licence","community"}))/SUM(SUMIFS('caseload data'!M:M,'caseload data'!$B:$B,{"licence","community"},'caseload data'!$C:$C,'community %'!$T$29)),"")</f>
        <v/>
      </c>
      <c r="AD34" s="187" t="str">
        <f>IFERROR(SUM(SUMIFS('caseload data'!N:N,'caseload data'!$C:$C,'community %'!$T$29,'caseload data'!$D:$D,"SPO",'caseload data'!$B:$B,{"licence","community"}))/SUM(SUMIFS('caseload data'!N:N,'caseload data'!$B:$B,{"licence","community"},'caseload data'!$C:$C,'community %'!$T$29)),"")</f>
        <v/>
      </c>
      <c r="AE34" s="187" t="str">
        <f>IFERROR(SUM(SUMIFS('caseload data'!O:O,'caseload data'!$C:$C,'community %'!$T$29,'caseload data'!$D:$D,"SPO",'caseload data'!$B:$B,{"licence","community"}))/SUM(SUMIFS('caseload data'!O:O,'caseload data'!$B:$B,{"licence","community"},'caseload data'!$C:$C,'community %'!$T$29)),"")</f>
        <v/>
      </c>
      <c r="AF34" s="187" t="str">
        <f>IFERROR(SUM(SUMIFS('caseload data'!P:P,'caseload data'!$C:$C,'community %'!$T$29,'caseload data'!$D:$D,"SPO",'caseload data'!$B:$B,{"licence","community"}))/SUM(SUMIFS('caseload data'!P:P,'caseload data'!$B:$B,{"licence","community"},'caseload data'!$C:$C,'community %'!$T$29)),"")</f>
        <v/>
      </c>
      <c r="AG34" s="187" t="str">
        <f>IFERROR(SUM(SUMIFS('caseload data'!Q:Q,'caseload data'!$C:$C,'community %'!$T$29,'caseload data'!$D:$D,"SPO",'caseload data'!$B:$B,{"licence","community"}))/SUM(SUMIFS('caseload data'!Q:Q,'caseload data'!$B:$B,{"licence","community"},'caseload data'!$C:$C,'community %'!$T$29)),"")</f>
        <v/>
      </c>
      <c r="AH34" s="187" t="str">
        <f>IFERROR(SUM(SUMIFS('caseload data'!R:R,'caseload data'!$C:$C,'community %'!$T$29,'caseload data'!$D:$D,"SPO",'caseload data'!$B:$B,{"licence","community"}))/SUM(SUMIFS('caseload data'!R:R,'caseload data'!$B:$B,{"licence","community"},'caseload data'!$C:$C,'community %'!$T$29)),"")</f>
        <v/>
      </c>
      <c r="AI34" s="187" t="str">
        <f>IFERROR(SUM(SUMIFS('caseload data'!S:S,'caseload data'!$C:$C,'community %'!$T$29,'caseload data'!$D:$D,"SPO",'caseload data'!$B:$B,{"licence","community"}))/SUM(SUMIFS('caseload data'!S:S,'caseload data'!$B:$B,{"licence","community"},'caseload data'!$C:$C,'community %'!$T$29)),"")</f>
        <v/>
      </c>
      <c r="AJ34" s="187" t="str">
        <f>IFERROR(SUM(SUMIFS('caseload data'!T:T,'caseload data'!$C:$C,'community %'!$T$29,'caseload data'!$D:$D,"SPO",'caseload data'!$B:$B,{"licence","community"}))/SUM(SUMIFS('caseload data'!T:T,'caseload data'!$B:$B,{"licence","community"},'caseload data'!$C:$C,'community %'!$T$29)),"")</f>
        <v/>
      </c>
    </row>
    <row r="35" spans="2:36" x14ac:dyDescent="0.15">
      <c r="B35" s="10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104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</row>
    <row r="36" spans="2:36" ht="48" customHeight="1" x14ac:dyDescent="0.15">
      <c r="B36" s="162" t="str">
        <f>HLOOKUP($B$5,Region_Table,10,0)</f>
        <v>Ealing and Hillingdon</v>
      </c>
      <c r="C36" s="333" t="s">
        <v>1269</v>
      </c>
      <c r="D36" s="334"/>
      <c r="E36" s="334"/>
      <c r="F36" s="334"/>
      <c r="G36" s="334"/>
      <c r="H36" s="334"/>
      <c r="I36" s="334"/>
      <c r="J36" s="334"/>
      <c r="K36" s="334"/>
      <c r="L36" s="334"/>
      <c r="M36" s="343"/>
      <c r="N36" s="343"/>
      <c r="O36" s="344"/>
      <c r="P36" s="337" cm="1">
        <f t="array" ref="P36">SUM(SUMIFS('caseload data'!V:V,'caseload data'!B:B,{"licence","community"},'caseload data'!$C:$C,B36))</f>
        <v>0</v>
      </c>
      <c r="Q36" s="345"/>
      <c r="R36" s="346"/>
      <c r="S36" s="76"/>
      <c r="T36" s="162" t="str">
        <f>HLOOKUP($B$5,Region_Table,11,0)</f>
        <v>Enfield and Haringey</v>
      </c>
      <c r="U36" s="333" t="s">
        <v>1269</v>
      </c>
      <c r="V36" s="334"/>
      <c r="W36" s="334"/>
      <c r="X36" s="334"/>
      <c r="Y36" s="334"/>
      <c r="Z36" s="334"/>
      <c r="AA36" s="334"/>
      <c r="AB36" s="334"/>
      <c r="AC36" s="334"/>
      <c r="AD36" s="334"/>
      <c r="AE36" s="343"/>
      <c r="AF36" s="343"/>
      <c r="AG36" s="344"/>
      <c r="AH36" s="337" cm="1">
        <f t="array" ref="AH36">SUM(SUMIFS('caseload data'!V:V,'caseload data'!B:B,{"licence","community"},'caseload data'!$C:$C,T36))</f>
        <v>0</v>
      </c>
      <c r="AI36" s="345"/>
      <c r="AJ36" s="346"/>
    </row>
    <row r="37" spans="2:36" x14ac:dyDescent="0.15">
      <c r="B37" s="108" t="s">
        <v>1199</v>
      </c>
      <c r="C37" s="42" t="s">
        <v>1019</v>
      </c>
      <c r="D37" s="42" t="s">
        <v>1020</v>
      </c>
      <c r="E37" s="42" t="s">
        <v>1021</v>
      </c>
      <c r="F37" s="42" t="s">
        <v>1022</v>
      </c>
      <c r="G37" s="42" t="s">
        <v>1023</v>
      </c>
      <c r="H37" s="42" t="s">
        <v>1024</v>
      </c>
      <c r="I37" s="42" t="s">
        <v>1025</v>
      </c>
      <c r="J37" s="42" t="s">
        <v>1026</v>
      </c>
      <c r="K37" s="42" t="s">
        <v>1027</v>
      </c>
      <c r="L37" s="42" t="s">
        <v>1028</v>
      </c>
      <c r="M37" s="42" t="s">
        <v>1029</v>
      </c>
      <c r="N37" s="42" t="s">
        <v>1030</v>
      </c>
      <c r="O37" s="42" t="s">
        <v>1031</v>
      </c>
      <c r="P37" s="42" t="s">
        <v>1032</v>
      </c>
      <c r="Q37" s="42" t="s">
        <v>1033</v>
      </c>
      <c r="R37" s="42" t="s">
        <v>1034</v>
      </c>
      <c r="S37" s="76"/>
      <c r="T37" s="108" t="s">
        <v>1199</v>
      </c>
      <c r="U37" s="42" t="s">
        <v>1019</v>
      </c>
      <c r="V37" s="42" t="s">
        <v>1020</v>
      </c>
      <c r="W37" s="42" t="s">
        <v>1021</v>
      </c>
      <c r="X37" s="42" t="s">
        <v>1022</v>
      </c>
      <c r="Y37" s="42" t="s">
        <v>1023</v>
      </c>
      <c r="Z37" s="42" t="s">
        <v>1024</v>
      </c>
      <c r="AA37" s="42" t="s">
        <v>1025</v>
      </c>
      <c r="AB37" s="42" t="s">
        <v>1026</v>
      </c>
      <c r="AC37" s="42" t="s">
        <v>1027</v>
      </c>
      <c r="AD37" s="42" t="s">
        <v>1028</v>
      </c>
      <c r="AE37" s="42" t="s">
        <v>1029</v>
      </c>
      <c r="AF37" s="42" t="s">
        <v>1030</v>
      </c>
      <c r="AG37" s="42" t="s">
        <v>1031</v>
      </c>
      <c r="AH37" s="42" t="s">
        <v>1032</v>
      </c>
      <c r="AI37" s="42" t="s">
        <v>1033</v>
      </c>
      <c r="AJ37" s="42" t="s">
        <v>1034</v>
      </c>
    </row>
    <row r="38" spans="2:36" x14ac:dyDescent="0.15">
      <c r="B38" s="109" t="s">
        <v>1037</v>
      </c>
      <c r="C38" s="187" t="str">
        <f>IFERROR(SUM(SUMIFS('caseload data'!E:E,'caseload data'!$C:$C,'community %'!$B$36,'caseload data'!$D:$D,"PO",'caseload data'!$B:$B,{"licence","community"}))/SUM(SUMIFS('caseload data'!E:E,'caseload data'!$B:$B,{"licence","community"},'caseload data'!$C:$C,'community %'!$B$36)),"")</f>
        <v/>
      </c>
      <c r="D38" s="187" t="str">
        <f>IFERROR(SUM(SUMIFS('caseload data'!F:F,'caseload data'!$C:$C,'community %'!$B$36,'caseload data'!$D:$D,"PO",'caseload data'!$B:$B,{"licence","community"}))/SUM(SUMIFS('caseload data'!F:F,'caseload data'!$B:$B,{"licence","community"},'caseload data'!$C:$C,'community %'!$B$36)),"")</f>
        <v/>
      </c>
      <c r="E38" s="187" t="str">
        <f>IFERROR(SUM(SUMIFS('caseload data'!G:G,'caseload data'!$C:$C,'community %'!$B$36,'caseload data'!$D:$D,"PO",'caseload data'!$B:$B,{"licence","community"}))/SUM(SUMIFS('caseload data'!G:G,'caseload data'!$B:$B,{"licence","community"},'caseload data'!$C:$C,'community %'!$B$36)),"")</f>
        <v/>
      </c>
      <c r="F38" s="187" t="str">
        <f>IFERROR(SUM(SUMIFS('caseload data'!H:H,'caseload data'!$C:$C,'community %'!$B$36,'caseload data'!$D:$D,"PO",'caseload data'!$B:$B,{"licence","community"}))/SUM(SUMIFS('caseload data'!H:H,'caseload data'!$B:$B,{"licence","community"},'caseload data'!$C:$C,'community %'!$B$36)),"")</f>
        <v/>
      </c>
      <c r="G38" s="187" t="str">
        <f>IFERROR(SUM(SUMIFS('caseload data'!I:I,'caseload data'!$C:$C,'community %'!$B$36,'caseload data'!$D:$D,"PO",'caseload data'!$B:$B,{"licence","community"}))/SUM(SUMIFS('caseload data'!I:I,'caseload data'!$B:$B,{"licence","community"},'caseload data'!$C:$C,'community %'!$B$36)),"")</f>
        <v/>
      </c>
      <c r="H38" s="187" t="str">
        <f>IFERROR(SUM(SUMIFS('caseload data'!J:J,'caseload data'!$C:$C,'community %'!$B$36,'caseload data'!$D:$D,"PO",'caseload data'!$B:$B,{"licence","community"}))/SUM(SUMIFS('caseload data'!J:J,'caseload data'!$B:$B,{"licence","community"},'caseload data'!$C:$C,'community %'!$B$36)),"")</f>
        <v/>
      </c>
      <c r="I38" s="187" t="str">
        <f>IFERROR(SUM(SUMIFS('caseload data'!K:K,'caseload data'!$C:$C,'community %'!$B$36,'caseload data'!$D:$D,"PO",'caseload data'!$B:$B,{"licence","community"}))/SUM(SUMIFS('caseload data'!K:K,'caseload data'!$B:$B,{"licence","community"},'caseload data'!$C:$C,'community %'!$B$36)),"")</f>
        <v/>
      </c>
      <c r="J38" s="187" t="str">
        <f>IFERROR(SUM(SUMIFS('caseload data'!L:L,'caseload data'!$C:$C,'community %'!$B$36,'caseload data'!$D:$D,"PO",'caseload data'!$B:$B,{"licence","community"}))/SUM(SUMIFS('caseload data'!L:L,'caseload data'!$B:$B,{"licence","community"},'caseload data'!$C:$C,'community %'!$B$36)),"")</f>
        <v/>
      </c>
      <c r="K38" s="187" t="str">
        <f>IFERROR(SUM(SUMIFS('caseload data'!M:M,'caseload data'!$C:$C,'community %'!$B$36,'caseload data'!$D:$D,"PO",'caseload data'!$B:$B,{"licence","community"}))/SUM(SUMIFS('caseload data'!M:M,'caseload data'!$B:$B,{"licence","community"},'caseload data'!$C:$C,'community %'!$B$36)),"")</f>
        <v/>
      </c>
      <c r="L38" s="187" t="str">
        <f>IFERROR(SUM(SUMIFS('caseload data'!N:N,'caseload data'!$C:$C,'community %'!$B$36,'caseload data'!$D:$D,"PO",'caseload data'!$B:$B,{"licence","community"}))/SUM(SUMIFS('caseload data'!N:N,'caseload data'!$B:$B,{"licence","community"},'caseload data'!$C:$C,'community %'!$B$36)),"")</f>
        <v/>
      </c>
      <c r="M38" s="187" t="str">
        <f>IFERROR(SUM(SUMIFS('caseload data'!O:O,'caseload data'!$C:$C,'community %'!$B$36,'caseload data'!$D:$D,"PO",'caseload data'!$B:$B,{"licence","community"}))/SUM(SUMIFS('caseload data'!O:O,'caseload data'!$B:$B,{"licence","community"},'caseload data'!$C:$C,'community %'!$B$36)),"")</f>
        <v/>
      </c>
      <c r="N38" s="187" t="str">
        <f>IFERROR(SUM(SUMIFS('caseload data'!P:P,'caseload data'!$C:$C,'community %'!$B$36,'caseload data'!$D:$D,"PO",'caseload data'!$B:$B,{"licence","community"}))/SUM(SUMIFS('caseload data'!P:P,'caseload data'!$B:$B,{"licence","community"},'caseload data'!$C:$C,'community %'!$B$36)),"")</f>
        <v/>
      </c>
      <c r="O38" s="187" t="str">
        <f>IFERROR(SUM(SUMIFS('caseload data'!Q:Q,'caseload data'!$C:$C,'community %'!$B$36,'caseload data'!$D:$D,"PO",'caseload data'!$B:$B,{"licence","community"}))/SUM(SUMIFS('caseload data'!Q:Q,'caseload data'!$B:$B,{"licence","community"},'caseload data'!$C:$C,'community %'!$B$36)),"")</f>
        <v/>
      </c>
      <c r="P38" s="187" t="str">
        <f>IFERROR(SUM(SUMIFS('caseload data'!R:R,'caseload data'!$C:$C,'community %'!$B$36,'caseload data'!$D:$D,"PO",'caseload data'!$B:$B,{"licence","community"}))/SUM(SUMIFS('caseload data'!R:R,'caseload data'!$B:$B,{"licence","community"},'caseload data'!$C:$C,'community %'!$B$36)),"")</f>
        <v/>
      </c>
      <c r="Q38" s="187" t="str">
        <f>IFERROR(SUM(SUMIFS('caseload data'!S:S,'caseload data'!$C:$C,'community %'!$B$36,'caseload data'!$D:$D,"PO",'caseload data'!$B:$B,{"licence","community"}))/SUM(SUMIFS('caseload data'!S:S,'caseload data'!$B:$B,{"licence","community"},'caseload data'!$C:$C,'community %'!$B$36)),"")</f>
        <v/>
      </c>
      <c r="R38" s="187" t="str">
        <f>IFERROR(SUM(SUMIFS('caseload data'!T:T,'caseload data'!$C:$C,'community %'!$B$36,'caseload data'!$D:$D,"PO",'caseload data'!$B:$B,{"licence","community"}))/SUM(SUMIFS('caseload data'!T:T,'caseload data'!$B:$B,{"licence","community"},'caseload data'!$C:$C,'community %'!$B$36)),"")</f>
        <v/>
      </c>
      <c r="S38" s="76"/>
      <c r="T38" s="109" t="s">
        <v>1037</v>
      </c>
      <c r="U38" s="187" t="str">
        <f>IFERROR(SUM(SUMIFS('caseload data'!E:E,'caseload data'!$C:$C,'community %'!$T$36,'caseload data'!$D:$D,"PO",'caseload data'!$B:$B,{"licence","community"}))/SUM(SUMIFS('caseload data'!E:E,'caseload data'!$B:$B,{"licence","community"},'caseload data'!$C:$C,'community %'!$T$36)),"")</f>
        <v/>
      </c>
      <c r="V38" s="187" t="str">
        <f>IFERROR(SUM(SUMIFS('caseload data'!F:F,'caseload data'!$C:$C,'community %'!$T$36,'caseload data'!$D:$D,"PO",'caseload data'!$B:$B,{"licence","community"}))/SUM(SUMIFS('caseload data'!F:F,'caseload data'!$B:$B,{"licence","community"},'caseload data'!$C:$C,'community %'!$T$36)),"")</f>
        <v/>
      </c>
      <c r="W38" s="187" t="str">
        <f>IFERROR(SUM(SUMIFS('caseload data'!G:G,'caseload data'!$C:$C,'community %'!$T$36,'caseload data'!$D:$D,"PO",'caseload data'!$B:$B,{"licence","community"}))/SUM(SUMIFS('caseload data'!G:G,'caseload data'!$B:$B,{"licence","community"},'caseload data'!$C:$C,'community %'!$T$36)),"")</f>
        <v/>
      </c>
      <c r="X38" s="187" t="str">
        <f>IFERROR(SUM(SUMIFS('caseload data'!H:H,'caseload data'!$C:$C,'community %'!$T$36,'caseload data'!$D:$D,"PO",'caseload data'!$B:$B,{"licence","community"}))/SUM(SUMIFS('caseload data'!H:H,'caseload data'!$B:$B,{"licence","community"},'caseload data'!$C:$C,'community %'!$T$36)),"")</f>
        <v/>
      </c>
      <c r="Y38" s="187" t="str">
        <f>IFERROR(SUM(SUMIFS('caseload data'!I:I,'caseload data'!$C:$C,'community %'!$T$36,'caseload data'!$D:$D,"PO",'caseload data'!$B:$B,{"licence","community"}))/SUM(SUMIFS('caseload data'!I:I,'caseload data'!$B:$B,{"licence","community"},'caseload data'!$C:$C,'community %'!$T$36)),"")</f>
        <v/>
      </c>
      <c r="Z38" s="187" t="str">
        <f>IFERROR(SUM(SUMIFS('caseload data'!J:J,'caseload data'!$C:$C,'community %'!$T$36,'caseload data'!$D:$D,"PO",'caseload data'!$B:$B,{"licence","community"}))/SUM(SUMIFS('caseload data'!J:J,'caseload data'!$B:$B,{"licence","community"},'caseload data'!$C:$C,'community %'!$T$36)),"")</f>
        <v/>
      </c>
      <c r="AA38" s="187" t="str">
        <f>IFERROR(SUM(SUMIFS('caseload data'!K:K,'caseload data'!$C:$C,'community %'!$T$36,'caseload data'!$D:$D,"PO",'caseload data'!$B:$B,{"licence","community"}))/SUM(SUMIFS('caseload data'!K:K,'caseload data'!$B:$B,{"licence","community"},'caseload data'!$C:$C,'community %'!$T$36)),"")</f>
        <v/>
      </c>
      <c r="AB38" s="187" t="str">
        <f>IFERROR(SUM(SUMIFS('caseload data'!L:L,'caseload data'!$C:$C,'community %'!$T$36,'caseload data'!$D:$D,"PO",'caseload data'!$B:$B,{"licence","community"}))/SUM(SUMIFS('caseload data'!L:L,'caseload data'!$B:$B,{"licence","community"},'caseload data'!$C:$C,'community %'!$T$36)),"")</f>
        <v/>
      </c>
      <c r="AC38" s="187" t="str">
        <f>IFERROR(SUM(SUMIFS('caseload data'!M:M,'caseload data'!$C:$C,'community %'!$T$36,'caseload data'!$D:$D,"PO",'caseload data'!$B:$B,{"licence","community"}))/SUM(SUMIFS('caseload data'!M:M,'caseload data'!$B:$B,{"licence","community"},'caseload data'!$C:$C,'community %'!$T$36)),"")</f>
        <v/>
      </c>
      <c r="AD38" s="187" t="str">
        <f>IFERROR(SUM(SUMIFS('caseload data'!N:N,'caseload data'!$C:$C,'community %'!$T$36,'caseload data'!$D:$D,"PO",'caseload data'!$B:$B,{"licence","community"}))/SUM(SUMIFS('caseload data'!N:N,'caseload data'!$B:$B,{"licence","community"},'caseload data'!$C:$C,'community %'!$T$36)),"")</f>
        <v/>
      </c>
      <c r="AE38" s="187" t="str">
        <f>IFERROR(SUM(SUMIFS('caseload data'!O:O,'caseload data'!$C:$C,'community %'!$T$36,'caseload data'!$D:$D,"PO",'caseload data'!$B:$B,{"licence","community"}))/SUM(SUMIFS('caseload data'!O:O,'caseload data'!$B:$B,{"licence","community"},'caseload data'!$C:$C,'community %'!$T$36)),"")</f>
        <v/>
      </c>
      <c r="AF38" s="187" t="str">
        <f>IFERROR(SUM(SUMIFS('caseload data'!P:P,'caseload data'!$C:$C,'community %'!$T$36,'caseload data'!$D:$D,"PO",'caseload data'!$B:$B,{"licence","community"}))/SUM(SUMIFS('caseload data'!P:P,'caseload data'!$B:$B,{"licence","community"},'caseload data'!$C:$C,'community %'!$T$36)),"")</f>
        <v/>
      </c>
      <c r="AG38" s="187" t="str">
        <f>IFERROR(SUM(SUMIFS('caseload data'!Q:Q,'caseload data'!$C:$C,'community %'!$T$36,'caseload data'!$D:$D,"PO",'caseload data'!$B:$B,{"licence","community"}))/SUM(SUMIFS('caseload data'!Q:Q,'caseload data'!$B:$B,{"licence","community"},'caseload data'!$C:$C,'community %'!$T$36)),"")</f>
        <v/>
      </c>
      <c r="AH38" s="187" t="str">
        <f>IFERROR(SUM(SUMIFS('caseload data'!R:R,'caseload data'!$C:$C,'community %'!$T$36,'caseload data'!$D:$D,"PO",'caseload data'!$B:$B,{"licence","community"}))/SUM(SUMIFS('caseload data'!R:R,'caseload data'!$B:$B,{"licence","community"},'caseload data'!$C:$C,'community %'!$T$36)),"")</f>
        <v/>
      </c>
      <c r="AI38" s="187" t="str">
        <f>IFERROR(SUM(SUMIFS('caseload data'!S:S,'caseload data'!$C:$C,'community %'!$T$36,'caseload data'!$D:$D,"PO",'caseload data'!$B:$B,{"licence","community"}))/SUM(SUMIFS('caseload data'!S:S,'caseload data'!$B:$B,{"licence","community"},'caseload data'!$C:$C,'community %'!$T$36)),"")</f>
        <v/>
      </c>
      <c r="AJ38" s="187" t="str">
        <f>IFERROR(SUM(SUMIFS('caseload data'!T:T,'caseload data'!$C:$C,'community %'!$T$36,'caseload data'!$D:$D,"PO",'caseload data'!$B:$B,{"licence","community"}))/SUM(SUMIFS('caseload data'!T:T,'caseload data'!$B:$B,{"licence","community"},'caseload data'!$C:$C,'community %'!$T$36)),"")</f>
        <v/>
      </c>
    </row>
    <row r="39" spans="2:36" x14ac:dyDescent="0.15">
      <c r="B39" s="110" t="s">
        <v>1038</v>
      </c>
      <c r="C39" s="187" t="str">
        <f>IFERROR(SUM(SUMIFS('caseload data'!E:E,'caseload data'!$C:$C,'community %'!$B$36,'caseload data'!$D:$D,"PSO",'caseload data'!$B:$B,{"licence","community"}))/SUM(SUMIFS('caseload data'!E:E,'caseload data'!$B:$B,{"licence","community"},'caseload data'!$C:$C,'community %'!$B$36)),"")</f>
        <v/>
      </c>
      <c r="D39" s="187" t="str">
        <f>IFERROR(SUM(SUMIFS('caseload data'!F:F,'caseload data'!$C:$C,'community %'!$B$36,'caseload data'!$D:$D,"PSO",'caseload data'!$B:$B,{"licence","community"}))/SUM(SUMIFS('caseload data'!F:F,'caseload data'!$B:$B,{"licence","community"},'caseload data'!$C:$C,'community %'!$B$36)),"")</f>
        <v/>
      </c>
      <c r="E39" s="187" t="str">
        <f>IFERROR(SUM(SUMIFS('caseload data'!G:G,'caseload data'!$C:$C,'community %'!$B$36,'caseload data'!$D:$D,"PSO",'caseload data'!$B:$B,{"licence","community"}))/SUM(SUMIFS('caseload data'!G:G,'caseload data'!$B:$B,{"licence","community"},'caseload data'!$C:$C,'community %'!$B$36)),"")</f>
        <v/>
      </c>
      <c r="F39" s="187" t="str">
        <f>IFERROR(SUM(SUMIFS('caseload data'!H:H,'caseload data'!$C:$C,'community %'!$B$36,'caseload data'!$D:$D,"PSO",'caseload data'!$B:$B,{"licence","community"}))/SUM(SUMIFS('caseload data'!H:H,'caseload data'!$B:$B,{"licence","community"},'caseload data'!$C:$C,'community %'!$B$36)),"")</f>
        <v/>
      </c>
      <c r="G39" s="187" t="str">
        <f>IFERROR(SUM(SUMIFS('caseload data'!I:I,'caseload data'!$C:$C,'community %'!$B$36,'caseload data'!$D:$D,"PSO",'caseload data'!$B:$B,{"licence","community"}))/SUM(SUMIFS('caseload data'!I:I,'caseload data'!$B:$B,{"licence","community"},'caseload data'!$C:$C,'community %'!$B$36)),"")</f>
        <v/>
      </c>
      <c r="H39" s="187" t="str">
        <f>IFERROR(SUM(SUMIFS('caseload data'!J:J,'caseload data'!$C:$C,'community %'!$B$36,'caseload data'!$D:$D,"PSO",'caseload data'!$B:$B,{"licence","community"}))/SUM(SUMIFS('caseload data'!J:J,'caseload data'!$B:$B,{"licence","community"},'caseload data'!$C:$C,'community %'!$B$36)),"")</f>
        <v/>
      </c>
      <c r="I39" s="187" t="str">
        <f>IFERROR(SUM(SUMIFS('caseload data'!K:K,'caseload data'!$C:$C,'community %'!$B$36,'caseload data'!$D:$D,"PSO",'caseload data'!$B:$B,{"licence","community"}))/SUM(SUMIFS('caseload data'!K:K,'caseload data'!$B:$B,{"licence","community"},'caseload data'!$C:$C,'community %'!$B$36)),"")</f>
        <v/>
      </c>
      <c r="J39" s="187" t="str">
        <f>IFERROR(SUM(SUMIFS('caseload data'!L:L,'caseload data'!$C:$C,'community %'!$B$36,'caseload data'!$D:$D,"PSO",'caseload data'!$B:$B,{"licence","community"}))/SUM(SUMIFS('caseload data'!L:L,'caseload data'!$B:$B,{"licence","community"},'caseload data'!$C:$C,'community %'!$B$36)),"")</f>
        <v/>
      </c>
      <c r="K39" s="187" t="str">
        <f>IFERROR(SUM(SUMIFS('caseload data'!M:M,'caseload data'!$C:$C,'community %'!$B$36,'caseload data'!$D:$D,"PSO",'caseload data'!$B:$B,{"licence","community"}))/SUM(SUMIFS('caseload data'!M:M,'caseload data'!$B:$B,{"licence","community"},'caseload data'!$C:$C,'community %'!$B$36)),"")</f>
        <v/>
      </c>
      <c r="L39" s="187" t="str">
        <f>IFERROR(SUM(SUMIFS('caseload data'!N:N,'caseload data'!$C:$C,'community %'!$B$36,'caseload data'!$D:$D,"PSO",'caseload data'!$B:$B,{"licence","community"}))/SUM(SUMIFS('caseload data'!N:N,'caseload data'!$B:$B,{"licence","community"},'caseload data'!$C:$C,'community %'!$B$36)),"")</f>
        <v/>
      </c>
      <c r="M39" s="187" t="str">
        <f>IFERROR(SUM(SUMIFS('caseload data'!O:O,'caseload data'!$C:$C,'community %'!$B$36,'caseload data'!$D:$D,"PSO",'caseload data'!$B:$B,{"licence","community"}))/SUM(SUMIFS('caseload data'!O:O,'caseload data'!$B:$B,{"licence","community"},'caseload data'!$C:$C,'community %'!$B$36)),"")</f>
        <v/>
      </c>
      <c r="N39" s="187" t="str">
        <f>IFERROR(SUM(SUMIFS('caseload data'!P:P,'caseload data'!$C:$C,'community %'!$B$36,'caseload data'!$D:$D,"PSO",'caseload data'!$B:$B,{"licence","community"}))/SUM(SUMIFS('caseload data'!P:P,'caseload data'!$B:$B,{"licence","community"},'caseload data'!$C:$C,'community %'!$B$36)),"")</f>
        <v/>
      </c>
      <c r="O39" s="187" t="str">
        <f>IFERROR(SUM(SUMIFS('caseload data'!Q:Q,'caseload data'!$C:$C,'community %'!$B$36,'caseload data'!$D:$D,"PSO",'caseload data'!$B:$B,{"licence","community"}))/SUM(SUMIFS('caseload data'!Q:Q,'caseload data'!$B:$B,{"licence","community"},'caseload data'!$C:$C,'community %'!$B$36)),"")</f>
        <v/>
      </c>
      <c r="P39" s="187" t="str">
        <f>IFERROR(SUM(SUMIFS('caseload data'!R:R,'caseload data'!$C:$C,'community %'!$B$36,'caseload data'!$D:$D,"PSO",'caseload data'!$B:$B,{"licence","community"}))/SUM(SUMIFS('caseload data'!R:R,'caseload data'!$B:$B,{"licence","community"},'caseload data'!$C:$C,'community %'!$B$36)),"")</f>
        <v/>
      </c>
      <c r="Q39" s="187" t="str">
        <f>IFERROR(SUM(SUMIFS('caseload data'!S:S,'caseload data'!$C:$C,'community %'!$B$36,'caseload data'!$D:$D,"PSO",'caseload data'!$B:$B,{"licence","community"}))/SUM(SUMIFS('caseload data'!S:S,'caseload data'!$B:$B,{"licence","community"},'caseload data'!$C:$C,'community %'!$B$36)),"")</f>
        <v/>
      </c>
      <c r="R39" s="187" t="str">
        <f>IFERROR(SUM(SUMIFS('caseload data'!T:T,'caseload data'!$C:$C,'community %'!$B$36,'caseload data'!$D:$D,"PSO",'caseload data'!$B:$B,{"licence","community"}))/SUM(SUMIFS('caseload data'!T:T,'caseload data'!$B:$B,{"licence","community"},'caseload data'!$C:$C,'community %'!$B$36)),"")</f>
        <v/>
      </c>
      <c r="S39" s="76"/>
      <c r="T39" s="110" t="s">
        <v>1038</v>
      </c>
      <c r="U39" s="187" t="str">
        <f>IFERROR(SUM(SUMIFS('caseload data'!E:E,'caseload data'!$C:$C,'community %'!$T$36,'caseload data'!$D:$D,"PSO",'caseload data'!$B:$B,{"licence","community"}))/SUM(SUMIFS('caseload data'!E:E,'caseload data'!$B:$B,{"licence","community"},'caseload data'!$C:$C,'community %'!$T$36)),"")</f>
        <v/>
      </c>
      <c r="V39" s="187" t="str">
        <f>IFERROR(SUM(SUMIFS('caseload data'!F:F,'caseload data'!$C:$C,'community %'!$T$36,'caseload data'!$D:$D,"PSO",'caseload data'!$B:$B,{"licence","community"}))/SUM(SUMIFS('caseload data'!F:F,'caseload data'!$B:$B,{"licence","community"},'caseload data'!$C:$C,'community %'!$T$36)),"")</f>
        <v/>
      </c>
      <c r="W39" s="187" t="str">
        <f>IFERROR(SUM(SUMIFS('caseload data'!G:G,'caseload data'!$C:$C,'community %'!$T$36,'caseload data'!$D:$D,"PSO",'caseload data'!$B:$B,{"licence","community"}))/SUM(SUMIFS('caseload data'!G:G,'caseload data'!$B:$B,{"licence","community"},'caseload data'!$C:$C,'community %'!$T$36)),"")</f>
        <v/>
      </c>
      <c r="X39" s="187" t="str">
        <f>IFERROR(SUM(SUMIFS('caseload data'!H:H,'caseload data'!$C:$C,'community %'!$T$36,'caseload data'!$D:$D,"PSO",'caseload data'!$B:$B,{"licence","community"}))/SUM(SUMIFS('caseload data'!H:H,'caseload data'!$B:$B,{"licence","community"},'caseload data'!$C:$C,'community %'!$T$36)),"")</f>
        <v/>
      </c>
      <c r="Y39" s="187" t="str">
        <f>IFERROR(SUM(SUMIFS('caseload data'!I:I,'caseload data'!$C:$C,'community %'!$T$36,'caseload data'!$D:$D,"PSO",'caseload data'!$B:$B,{"licence","community"}))/SUM(SUMIFS('caseload data'!I:I,'caseload data'!$B:$B,{"licence","community"},'caseload data'!$C:$C,'community %'!$T$36)),"")</f>
        <v/>
      </c>
      <c r="Z39" s="187" t="str">
        <f>IFERROR(SUM(SUMIFS('caseload data'!J:J,'caseload data'!$C:$C,'community %'!$T$36,'caseload data'!$D:$D,"PSO",'caseload data'!$B:$B,{"licence","community"}))/SUM(SUMIFS('caseload data'!J:J,'caseload data'!$B:$B,{"licence","community"},'caseload data'!$C:$C,'community %'!$T$36)),"")</f>
        <v/>
      </c>
      <c r="AA39" s="187" t="str">
        <f>IFERROR(SUM(SUMIFS('caseload data'!K:K,'caseload data'!$C:$C,'community %'!$T$36,'caseload data'!$D:$D,"PSO",'caseload data'!$B:$B,{"licence","community"}))/SUM(SUMIFS('caseload data'!K:K,'caseload data'!$B:$B,{"licence","community"},'caseload data'!$C:$C,'community %'!$T$36)),"")</f>
        <v/>
      </c>
      <c r="AB39" s="187" t="str">
        <f>IFERROR(SUM(SUMIFS('caseload data'!L:L,'caseload data'!$C:$C,'community %'!$T$36,'caseload data'!$D:$D,"PSO",'caseload data'!$B:$B,{"licence","community"}))/SUM(SUMIFS('caseload data'!L:L,'caseload data'!$B:$B,{"licence","community"},'caseload data'!$C:$C,'community %'!$T$36)),"")</f>
        <v/>
      </c>
      <c r="AC39" s="187" t="str">
        <f>IFERROR(SUM(SUMIFS('caseload data'!M:M,'caseload data'!$C:$C,'community %'!$T$36,'caseload data'!$D:$D,"PSO",'caseload data'!$B:$B,{"licence","community"}))/SUM(SUMIFS('caseload data'!M:M,'caseload data'!$B:$B,{"licence","community"},'caseload data'!$C:$C,'community %'!$T$36)),"")</f>
        <v/>
      </c>
      <c r="AD39" s="187" t="str">
        <f>IFERROR(SUM(SUMIFS('caseload data'!N:N,'caseload data'!$C:$C,'community %'!$T$36,'caseload data'!$D:$D,"PSO",'caseload data'!$B:$B,{"licence","community"}))/SUM(SUMIFS('caseload data'!N:N,'caseload data'!$B:$B,{"licence","community"},'caseload data'!$C:$C,'community %'!$T$36)),"")</f>
        <v/>
      </c>
      <c r="AE39" s="187" t="str">
        <f>IFERROR(SUM(SUMIFS('caseload data'!O:O,'caseload data'!$C:$C,'community %'!$T$36,'caseload data'!$D:$D,"PSO",'caseload data'!$B:$B,{"licence","community"}))/SUM(SUMIFS('caseload data'!O:O,'caseload data'!$B:$B,{"licence","community"},'caseload data'!$C:$C,'community %'!$T$36)),"")</f>
        <v/>
      </c>
      <c r="AF39" s="187" t="str">
        <f>IFERROR(SUM(SUMIFS('caseload data'!P:P,'caseload data'!$C:$C,'community %'!$T$36,'caseload data'!$D:$D,"PSO",'caseload data'!$B:$B,{"licence","community"}))/SUM(SUMIFS('caseload data'!P:P,'caseload data'!$B:$B,{"licence","community"},'caseload data'!$C:$C,'community %'!$T$36)),"")</f>
        <v/>
      </c>
      <c r="AG39" s="187" t="str">
        <f>IFERROR(SUM(SUMIFS('caseload data'!Q:Q,'caseload data'!$C:$C,'community %'!$T$36,'caseload data'!$D:$D,"PSO",'caseload data'!$B:$B,{"licence","community"}))/SUM(SUMIFS('caseload data'!Q:Q,'caseload data'!$B:$B,{"licence","community"},'caseload data'!$C:$C,'community %'!$T$36)),"")</f>
        <v/>
      </c>
      <c r="AH39" s="187" t="str">
        <f>IFERROR(SUM(SUMIFS('caseload data'!R:R,'caseload data'!$C:$C,'community %'!$T$36,'caseload data'!$D:$D,"PSO",'caseload data'!$B:$B,{"licence","community"}))/SUM(SUMIFS('caseload data'!R:R,'caseload data'!$B:$B,{"licence","community"},'caseload data'!$C:$C,'community %'!$T$36)),"")</f>
        <v/>
      </c>
      <c r="AI39" s="187" t="str">
        <f>IFERROR(SUM(SUMIFS('caseload data'!S:S,'caseload data'!$C:$C,'community %'!$T$36,'caseload data'!$D:$D,"PSO",'caseload data'!$B:$B,{"licence","community"}))/SUM(SUMIFS('caseload data'!S:S,'caseload data'!$B:$B,{"licence","community"},'caseload data'!$C:$C,'community %'!$T$36)),"")</f>
        <v/>
      </c>
      <c r="AJ39" s="187" t="str">
        <f>IFERROR(SUM(SUMIFS('caseload data'!T:T,'caseload data'!$C:$C,'community %'!$T$36,'caseload data'!$D:$D,"PSO",'caseload data'!$B:$B,{"licence","community"}))/SUM(SUMIFS('caseload data'!T:T,'caseload data'!$B:$B,{"licence","community"},'caseload data'!$C:$C,'community %'!$T$36)),"")</f>
        <v/>
      </c>
    </row>
    <row r="40" spans="2:36" x14ac:dyDescent="0.15">
      <c r="B40" s="110" t="s">
        <v>1039</v>
      </c>
      <c r="C40" s="187" t="str">
        <f>IFERROR(SUM(SUMIFS('caseload data'!E:E,'caseload data'!$C:$C,'community %'!$B$36,'caseload data'!$D:$D,"TPO",'caseload data'!$B:$B,{"licence","community"}))/SUM(SUMIFS('caseload data'!E:E,'caseload data'!$B:$B,{"licence","community"},'caseload data'!$C:$C,'community %'!$B$36)),"")</f>
        <v/>
      </c>
      <c r="D40" s="187" t="str">
        <f>IFERROR(SUM(SUMIFS('caseload data'!F:F,'caseload data'!$C:$C,'community %'!$B$36,'caseload data'!$D:$D,"TPO",'caseload data'!$B:$B,{"licence","community"}))/SUM(SUMIFS('caseload data'!F:F,'caseload data'!$B:$B,{"licence","community"},'caseload data'!$C:$C,'community %'!$B$36)),"")</f>
        <v/>
      </c>
      <c r="E40" s="187" t="str">
        <f>IFERROR(SUM(SUMIFS('caseload data'!G:G,'caseload data'!$C:$C,'community %'!$B$36,'caseload data'!$D:$D,"TPO",'caseload data'!$B:$B,{"licence","community"}))/SUM(SUMIFS('caseload data'!G:G,'caseload data'!$B:$B,{"licence","community"},'caseload data'!$C:$C,'community %'!$B$36)),"")</f>
        <v/>
      </c>
      <c r="F40" s="187" t="str">
        <f>IFERROR(SUM(SUMIFS('caseload data'!H:H,'caseload data'!$C:$C,'community %'!$B$36,'caseload data'!$D:$D,"TPO",'caseload data'!$B:$B,{"licence","community"}))/SUM(SUMIFS('caseload data'!H:H,'caseload data'!$B:$B,{"licence","community"},'caseload data'!$C:$C,'community %'!$B$36)),"")</f>
        <v/>
      </c>
      <c r="G40" s="187" t="str">
        <f>IFERROR(SUM(SUMIFS('caseload data'!I:I,'caseload data'!$C:$C,'community %'!$B$36,'caseload data'!$D:$D,"TPO",'caseload data'!$B:$B,{"licence","community"}))/SUM(SUMIFS('caseload data'!I:I,'caseload data'!$B:$B,{"licence","community"},'caseload data'!$C:$C,'community %'!$B$36)),"")</f>
        <v/>
      </c>
      <c r="H40" s="187" t="str">
        <f>IFERROR(SUM(SUMIFS('caseload data'!J:J,'caseload data'!$C:$C,'community %'!$B$36,'caseload data'!$D:$D,"TPO",'caseload data'!$B:$B,{"licence","community"}))/SUM(SUMIFS('caseload data'!J:J,'caseload data'!$B:$B,{"licence","community"},'caseload data'!$C:$C,'community %'!$B$36)),"")</f>
        <v/>
      </c>
      <c r="I40" s="187" t="str">
        <f>IFERROR(SUM(SUMIFS('caseload data'!K:K,'caseload data'!$C:$C,'community %'!$B$36,'caseload data'!$D:$D,"TPO",'caseload data'!$B:$B,{"licence","community"}))/SUM(SUMIFS('caseload data'!K:K,'caseload data'!$B:$B,{"licence","community"},'caseload data'!$C:$C,'community %'!$B$36)),"")</f>
        <v/>
      </c>
      <c r="J40" s="187" t="str">
        <f>IFERROR(SUM(SUMIFS('caseload data'!L:L,'caseload data'!$C:$C,'community %'!$B$36,'caseload data'!$D:$D,"TPO",'caseload data'!$B:$B,{"licence","community"}))/SUM(SUMIFS('caseload data'!L:L,'caseload data'!$B:$B,{"licence","community"},'caseload data'!$C:$C,'community %'!$B$36)),"")</f>
        <v/>
      </c>
      <c r="K40" s="187" t="str">
        <f>IFERROR(SUM(SUMIFS('caseload data'!M:M,'caseload data'!$C:$C,'community %'!$B$36,'caseload data'!$D:$D,"TPO",'caseload data'!$B:$B,{"licence","community"}))/SUM(SUMIFS('caseload data'!M:M,'caseload data'!$B:$B,{"licence","community"},'caseload data'!$C:$C,'community %'!$B$36)),"")</f>
        <v/>
      </c>
      <c r="L40" s="187" t="str">
        <f>IFERROR(SUM(SUMIFS('caseload data'!N:N,'caseload data'!$C:$C,'community %'!$B$36,'caseload data'!$D:$D,"TPO",'caseload data'!$B:$B,{"licence","community"}))/SUM(SUMIFS('caseload data'!N:N,'caseload data'!$B:$B,{"licence","community"},'caseload data'!$C:$C,'community %'!$B$36)),"")</f>
        <v/>
      </c>
      <c r="M40" s="187" t="str">
        <f>IFERROR(SUM(SUMIFS('caseload data'!O:O,'caseload data'!$C:$C,'community %'!$B$36,'caseload data'!$D:$D,"TPO",'caseload data'!$B:$B,{"licence","community"}))/SUM(SUMIFS('caseload data'!O:O,'caseload data'!$B:$B,{"licence","community"},'caseload data'!$C:$C,'community %'!$B$36)),"")</f>
        <v/>
      </c>
      <c r="N40" s="187" t="str">
        <f>IFERROR(SUM(SUMIFS('caseload data'!P:P,'caseload data'!$C:$C,'community %'!$B$36,'caseload data'!$D:$D,"TPO",'caseload data'!$B:$B,{"licence","community"}))/SUM(SUMIFS('caseload data'!P:P,'caseload data'!$B:$B,{"licence","community"},'caseload data'!$C:$C,'community %'!$B$36)),"")</f>
        <v/>
      </c>
      <c r="O40" s="187" t="str">
        <f>IFERROR(SUM(SUMIFS('caseload data'!Q:Q,'caseload data'!$C:$C,'community %'!$B$36,'caseload data'!$D:$D,"TPO",'caseload data'!$B:$B,{"licence","community"}))/SUM(SUMIFS('caseload data'!Q:Q,'caseload data'!$B:$B,{"licence","community"},'caseload data'!$C:$C,'community %'!$B$36)),"")</f>
        <v/>
      </c>
      <c r="P40" s="187" t="str">
        <f>IFERROR(SUM(SUMIFS('caseload data'!R:R,'caseload data'!$C:$C,'community %'!$B$36,'caseload data'!$D:$D,"TPO",'caseload data'!$B:$B,{"licence","community"}))/SUM(SUMIFS('caseload data'!R:R,'caseload data'!$B:$B,{"licence","community"},'caseload data'!$C:$C,'community %'!$B$36)),"")</f>
        <v/>
      </c>
      <c r="Q40" s="187" t="str">
        <f>IFERROR(SUM(SUMIFS('caseload data'!S:S,'caseload data'!$C:$C,'community %'!$B$36,'caseload data'!$D:$D,"TPO",'caseload data'!$B:$B,{"licence","community"}))/SUM(SUMIFS('caseload data'!S:S,'caseload data'!$B:$B,{"licence","community"},'caseload data'!$C:$C,'community %'!$B$36)),"")</f>
        <v/>
      </c>
      <c r="R40" s="187" t="str">
        <f>IFERROR(SUM(SUMIFS('caseload data'!T:T,'caseload data'!$C:$C,'community %'!$B$36,'caseload data'!$D:$D,"TPO",'caseload data'!$B:$B,{"licence","community"}))/SUM(SUMIFS('caseload data'!T:T,'caseload data'!$B:$B,{"licence","community"},'caseload data'!$C:$C,'community %'!$B$36)),"")</f>
        <v/>
      </c>
      <c r="S40" s="76"/>
      <c r="T40" s="110" t="s">
        <v>1039</v>
      </c>
      <c r="U40" s="187" t="str">
        <f>IFERROR(SUM(SUMIFS('caseload data'!E:E,'caseload data'!$C:$C,'community %'!$T$36,'caseload data'!$D:$D,"TPO",'caseload data'!$B:$B,{"licence","community"}))/SUM(SUMIFS('caseload data'!E:E,'caseload data'!$B:$B,{"licence","community"},'caseload data'!$C:$C,'community %'!$T$36)),"")</f>
        <v/>
      </c>
      <c r="V40" s="187" t="str">
        <f>IFERROR(SUM(SUMIFS('caseload data'!F:F,'caseload data'!$C:$C,'community %'!$T$36,'caseload data'!$D:$D,"TPO",'caseload data'!$B:$B,{"licence","community"}))/SUM(SUMIFS('caseload data'!F:F,'caseload data'!$B:$B,{"licence","community"},'caseload data'!$C:$C,'community %'!$T$36)),"")</f>
        <v/>
      </c>
      <c r="W40" s="187" t="str">
        <f>IFERROR(SUM(SUMIFS('caseload data'!G:G,'caseload data'!$C:$C,'community %'!$T$36,'caseload data'!$D:$D,"TPO",'caseload data'!$B:$B,{"licence","community"}))/SUM(SUMIFS('caseload data'!G:G,'caseload data'!$B:$B,{"licence","community"},'caseload data'!$C:$C,'community %'!$T$36)),"")</f>
        <v/>
      </c>
      <c r="X40" s="187" t="str">
        <f>IFERROR(SUM(SUMIFS('caseload data'!H:H,'caseload data'!$C:$C,'community %'!$T$36,'caseload data'!$D:$D,"TPO",'caseload data'!$B:$B,{"licence","community"}))/SUM(SUMIFS('caseload data'!H:H,'caseload data'!$B:$B,{"licence","community"},'caseload data'!$C:$C,'community %'!$T$36)),"")</f>
        <v/>
      </c>
      <c r="Y40" s="187" t="str">
        <f>IFERROR(SUM(SUMIFS('caseload data'!I:I,'caseload data'!$C:$C,'community %'!$T$36,'caseload data'!$D:$D,"TPO",'caseload data'!$B:$B,{"licence","community"}))/SUM(SUMIFS('caseload data'!I:I,'caseload data'!$B:$B,{"licence","community"},'caseload data'!$C:$C,'community %'!$T$36)),"")</f>
        <v/>
      </c>
      <c r="Z40" s="187" t="str">
        <f>IFERROR(SUM(SUMIFS('caseload data'!J:J,'caseload data'!$C:$C,'community %'!$T$36,'caseload data'!$D:$D,"TPO",'caseload data'!$B:$B,{"licence","community"}))/SUM(SUMIFS('caseload data'!J:J,'caseload data'!$B:$B,{"licence","community"},'caseload data'!$C:$C,'community %'!$T$36)),"")</f>
        <v/>
      </c>
      <c r="AA40" s="187" t="str">
        <f>IFERROR(SUM(SUMIFS('caseload data'!K:K,'caseload data'!$C:$C,'community %'!$T$36,'caseload data'!$D:$D,"TPO",'caseload data'!$B:$B,{"licence","community"}))/SUM(SUMIFS('caseload data'!K:K,'caseload data'!$B:$B,{"licence","community"},'caseload data'!$C:$C,'community %'!$T$36)),"")</f>
        <v/>
      </c>
      <c r="AB40" s="187" t="str">
        <f>IFERROR(SUM(SUMIFS('caseload data'!L:L,'caseload data'!$C:$C,'community %'!$T$36,'caseload data'!$D:$D,"TPO",'caseload data'!$B:$B,{"licence","community"}))/SUM(SUMIFS('caseload data'!L:L,'caseload data'!$B:$B,{"licence","community"},'caseload data'!$C:$C,'community %'!$T$36)),"")</f>
        <v/>
      </c>
      <c r="AC40" s="187" t="str">
        <f>IFERROR(SUM(SUMIFS('caseload data'!M:M,'caseload data'!$C:$C,'community %'!$T$36,'caseload data'!$D:$D,"TPO",'caseload data'!$B:$B,{"licence","community"}))/SUM(SUMIFS('caseload data'!M:M,'caseload data'!$B:$B,{"licence","community"},'caseload data'!$C:$C,'community %'!$T$36)),"")</f>
        <v/>
      </c>
      <c r="AD40" s="187" t="str">
        <f>IFERROR(SUM(SUMIFS('caseload data'!N:N,'caseload data'!$C:$C,'community %'!$T$36,'caseload data'!$D:$D,"TPO",'caseload data'!$B:$B,{"licence","community"}))/SUM(SUMIFS('caseload data'!N:N,'caseload data'!$B:$B,{"licence","community"},'caseload data'!$C:$C,'community %'!$T$36)),"")</f>
        <v/>
      </c>
      <c r="AE40" s="187" t="str">
        <f>IFERROR(SUM(SUMIFS('caseload data'!O:O,'caseload data'!$C:$C,'community %'!$T$36,'caseload data'!$D:$D,"TPO",'caseload data'!$B:$B,{"licence","community"}))/SUM(SUMIFS('caseload data'!O:O,'caseload data'!$B:$B,{"licence","community"},'caseload data'!$C:$C,'community %'!$T$36)),"")</f>
        <v/>
      </c>
      <c r="AF40" s="187" t="str">
        <f>IFERROR(SUM(SUMIFS('caseload data'!P:P,'caseload data'!$C:$C,'community %'!$T$36,'caseload data'!$D:$D,"TPO",'caseload data'!$B:$B,{"licence","community"}))/SUM(SUMIFS('caseload data'!P:P,'caseload data'!$B:$B,{"licence","community"},'caseload data'!$C:$C,'community %'!$T$36)),"")</f>
        <v/>
      </c>
      <c r="AG40" s="187" t="str">
        <f>IFERROR(SUM(SUMIFS('caseload data'!Q:Q,'caseload data'!$C:$C,'community %'!$T$36,'caseload data'!$D:$D,"TPO",'caseload data'!$B:$B,{"licence","community"}))/SUM(SUMIFS('caseload data'!Q:Q,'caseload data'!$B:$B,{"licence","community"},'caseload data'!$C:$C,'community %'!$T$36)),"")</f>
        <v/>
      </c>
      <c r="AH40" s="187" t="str">
        <f>IFERROR(SUM(SUMIFS('caseload data'!R:R,'caseload data'!$C:$C,'community %'!$T$36,'caseload data'!$D:$D,"TPO",'caseload data'!$B:$B,{"licence","community"}))/SUM(SUMIFS('caseload data'!R:R,'caseload data'!$B:$B,{"licence","community"},'caseload data'!$C:$C,'community %'!$T$36)),"")</f>
        <v/>
      </c>
      <c r="AI40" s="187" t="str">
        <f>IFERROR(SUM(SUMIFS('caseload data'!S:S,'caseload data'!$C:$C,'community %'!$T$36,'caseload data'!$D:$D,"TPO",'caseload data'!$B:$B,{"licence","community"}))/SUM(SUMIFS('caseload data'!S:S,'caseload data'!$B:$B,{"licence","community"},'caseload data'!$C:$C,'community %'!$T$36)),"")</f>
        <v/>
      </c>
      <c r="AJ40" s="187" t="str">
        <f>IFERROR(SUM(SUMIFS('caseload data'!T:T,'caseload data'!$C:$C,'community %'!$T$36,'caseload data'!$D:$D,"TPO",'caseload data'!$B:$B,{"licence","community"}))/SUM(SUMIFS('caseload data'!T:T,'caseload data'!$B:$B,{"licence","community"},'caseload data'!$C:$C,'community %'!$T$36)),"")</f>
        <v/>
      </c>
    </row>
    <row r="41" spans="2:36" x14ac:dyDescent="0.15">
      <c r="B41" s="111" t="s">
        <v>1040</v>
      </c>
      <c r="C41" s="187" t="str">
        <f>IFERROR(SUM(SUMIFS('caseload data'!E:E,'caseload data'!$C:$C,'community %'!$B$36,'caseload data'!$D:$D,"SPO",'caseload data'!$B:$B,{"licence","community"}))/SUM(SUMIFS('caseload data'!E:E,'caseload data'!$B:$B,{"licence","community"},'caseload data'!$C:$C,'community %'!$B$36)),"")</f>
        <v/>
      </c>
      <c r="D41" s="187" t="str">
        <f>IFERROR(SUM(SUMIFS('caseload data'!F:F,'caseload data'!$C:$C,'community %'!$B$36,'caseload data'!$D:$D,"SPO",'caseload data'!$B:$B,{"licence","community"}))/SUM(SUMIFS('caseload data'!F:F,'caseload data'!$B:$B,{"licence","community"},'caseload data'!$C:$C,'community %'!$B$36)),"")</f>
        <v/>
      </c>
      <c r="E41" s="187" t="str">
        <f>IFERROR(SUM(SUMIFS('caseload data'!G:G,'caseload data'!$C:$C,'community %'!$B$36,'caseload data'!$D:$D,"SPO",'caseload data'!$B:$B,{"licence","community"}))/SUM(SUMIFS('caseload data'!G:G,'caseload data'!$B:$B,{"licence","community"},'caseload data'!$C:$C,'community %'!$B$36)),"")</f>
        <v/>
      </c>
      <c r="F41" s="187" t="str">
        <f>IFERROR(SUM(SUMIFS('caseload data'!H:H,'caseload data'!$C:$C,'community %'!$B$36,'caseload data'!$D:$D,"SPO",'caseload data'!$B:$B,{"licence","community"}))/SUM(SUMIFS('caseload data'!H:H,'caseload data'!$B:$B,{"licence","community"},'caseload data'!$C:$C,'community %'!$B$36)),"")</f>
        <v/>
      </c>
      <c r="G41" s="187" t="str">
        <f>IFERROR(SUM(SUMIFS('caseload data'!I:I,'caseload data'!$C:$C,'community %'!$B$36,'caseload data'!$D:$D,"SPO",'caseload data'!$B:$B,{"licence","community"}))/SUM(SUMIFS('caseload data'!I:I,'caseload data'!$B:$B,{"licence","community"},'caseload data'!$C:$C,'community %'!$B$36)),"")</f>
        <v/>
      </c>
      <c r="H41" s="187" t="str">
        <f>IFERROR(SUM(SUMIFS('caseload data'!J:J,'caseload data'!$C:$C,'community %'!$B$36,'caseload data'!$D:$D,"SPO",'caseload data'!$B:$B,{"licence","community"}))/SUM(SUMIFS('caseload data'!J:J,'caseload data'!$B:$B,{"licence","community"},'caseload data'!$C:$C,'community %'!$B$36)),"")</f>
        <v/>
      </c>
      <c r="I41" s="187" t="str">
        <f>IFERROR(SUM(SUMIFS('caseload data'!K:K,'caseload data'!$C:$C,'community %'!$B$36,'caseload data'!$D:$D,"SPO",'caseload data'!$B:$B,{"licence","community"}))/SUM(SUMIFS('caseload data'!K:K,'caseload data'!$B:$B,{"licence","community"},'caseload data'!$C:$C,'community %'!$B$36)),"")</f>
        <v/>
      </c>
      <c r="J41" s="187" t="str">
        <f>IFERROR(SUM(SUMIFS('caseload data'!L:L,'caseload data'!$C:$C,'community %'!$B$36,'caseload data'!$D:$D,"SPO",'caseload data'!$B:$B,{"licence","community"}))/SUM(SUMIFS('caseload data'!L:L,'caseload data'!$B:$B,{"licence","community"},'caseload data'!$C:$C,'community %'!$B$36)),"")</f>
        <v/>
      </c>
      <c r="K41" s="187" t="str">
        <f>IFERROR(SUM(SUMIFS('caseload data'!M:M,'caseload data'!$C:$C,'community %'!$B$36,'caseload data'!$D:$D,"SPO",'caseload data'!$B:$B,{"licence","community"}))/SUM(SUMIFS('caseload data'!M:M,'caseload data'!$B:$B,{"licence","community"},'caseload data'!$C:$C,'community %'!$B$36)),"")</f>
        <v/>
      </c>
      <c r="L41" s="187" t="str">
        <f>IFERROR(SUM(SUMIFS('caseload data'!N:N,'caseload data'!$C:$C,'community %'!$B$36,'caseload data'!$D:$D,"SPO",'caseload data'!$B:$B,{"licence","community"}))/SUM(SUMIFS('caseload data'!N:N,'caseload data'!$B:$B,{"licence","community"},'caseload data'!$C:$C,'community %'!$B$36)),"")</f>
        <v/>
      </c>
      <c r="M41" s="187" t="str">
        <f>IFERROR(SUM(SUMIFS('caseload data'!O:O,'caseload data'!$C:$C,'community %'!$B$36,'caseload data'!$D:$D,"SPO",'caseload data'!$B:$B,{"licence","community"}))/SUM(SUMIFS('caseload data'!O:O,'caseload data'!$B:$B,{"licence","community"},'caseload data'!$C:$C,'community %'!$B$36)),"")</f>
        <v/>
      </c>
      <c r="N41" s="187" t="str">
        <f>IFERROR(SUM(SUMIFS('caseload data'!P:P,'caseload data'!$C:$C,'community %'!$B$36,'caseload data'!$D:$D,"SPO",'caseload data'!$B:$B,{"licence","community"}))/SUM(SUMIFS('caseload data'!P:P,'caseload data'!$B:$B,{"licence","community"},'caseload data'!$C:$C,'community %'!$B$36)),"")</f>
        <v/>
      </c>
      <c r="O41" s="187" t="str">
        <f>IFERROR(SUM(SUMIFS('caseload data'!Q:Q,'caseload data'!$C:$C,'community %'!$B$36,'caseload data'!$D:$D,"SPO",'caseload data'!$B:$B,{"licence","community"}))/SUM(SUMIFS('caseload data'!Q:Q,'caseload data'!$B:$B,{"licence","community"},'caseload data'!$C:$C,'community %'!$B$36)),"")</f>
        <v/>
      </c>
      <c r="P41" s="187" t="str">
        <f>IFERROR(SUM(SUMIFS('caseload data'!R:R,'caseload data'!$C:$C,'community %'!$B$36,'caseload data'!$D:$D,"SPO",'caseload data'!$B:$B,{"licence","community"}))/SUM(SUMIFS('caseload data'!R:R,'caseload data'!$B:$B,{"licence","community"},'caseload data'!$C:$C,'community %'!$B$36)),"")</f>
        <v/>
      </c>
      <c r="Q41" s="187" t="str">
        <f>IFERROR(SUM(SUMIFS('caseload data'!S:S,'caseload data'!$C:$C,'community %'!$B$36,'caseload data'!$D:$D,"SPO",'caseload data'!$B:$B,{"licence","community"}))/SUM(SUMIFS('caseload data'!S:S,'caseload data'!$B:$B,{"licence","community"},'caseload data'!$C:$C,'community %'!$B$36)),"")</f>
        <v/>
      </c>
      <c r="R41" s="187" t="str">
        <f>IFERROR(SUM(SUMIFS('caseload data'!T:T,'caseload data'!$C:$C,'community %'!$B$36,'caseload data'!$D:$D,"SPO",'caseload data'!$B:$B,{"licence","community"}))/SUM(SUMIFS('caseload data'!T:T,'caseload data'!$B:$B,{"licence","community"},'caseload data'!$C:$C,'community %'!$B$36)),"")</f>
        <v/>
      </c>
      <c r="S41" s="76"/>
      <c r="T41" s="111" t="s">
        <v>1040</v>
      </c>
      <c r="U41" s="187" t="str">
        <f>IFERROR(SUM(SUMIFS('caseload data'!E:E,'caseload data'!$C:$C,'community %'!$T$36,'caseload data'!$D:$D,"SPO",'caseload data'!$B:$B,{"licence","community"}))/SUM(SUMIFS('caseload data'!E:E,'caseload data'!$B:$B,{"licence","community"},'caseload data'!$C:$C,'community %'!$T$36)),"")</f>
        <v/>
      </c>
      <c r="V41" s="187" t="str">
        <f>IFERROR(SUM(SUMIFS('caseload data'!F:F,'caseload data'!$C:$C,'community %'!$T$36,'caseload data'!$D:$D,"SPO",'caseload data'!$B:$B,{"licence","community"}))/SUM(SUMIFS('caseload data'!F:F,'caseload data'!$B:$B,{"licence","community"},'caseload data'!$C:$C,'community %'!$T$36)),"")</f>
        <v/>
      </c>
      <c r="W41" s="187" t="str">
        <f>IFERROR(SUM(SUMIFS('caseload data'!G:G,'caseload data'!$C:$C,'community %'!$T$36,'caseload data'!$D:$D,"SPO",'caseload data'!$B:$B,{"licence","community"}))/SUM(SUMIFS('caseload data'!G:G,'caseload data'!$B:$B,{"licence","community"},'caseload data'!$C:$C,'community %'!$T$36)),"")</f>
        <v/>
      </c>
      <c r="X41" s="187" t="str">
        <f>IFERROR(SUM(SUMIFS('caseload data'!H:H,'caseload data'!$C:$C,'community %'!$T$36,'caseload data'!$D:$D,"SPO",'caseload data'!$B:$B,{"licence","community"}))/SUM(SUMIFS('caseload data'!H:H,'caseload data'!$B:$B,{"licence","community"},'caseload data'!$C:$C,'community %'!$T$36)),"")</f>
        <v/>
      </c>
      <c r="Y41" s="187" t="str">
        <f>IFERROR(SUM(SUMIFS('caseload data'!I:I,'caseload data'!$C:$C,'community %'!$T$36,'caseload data'!$D:$D,"SPO",'caseload data'!$B:$B,{"licence","community"}))/SUM(SUMIFS('caseload data'!I:I,'caseload data'!$B:$B,{"licence","community"},'caseload data'!$C:$C,'community %'!$T$36)),"")</f>
        <v/>
      </c>
      <c r="Z41" s="187" t="str">
        <f>IFERROR(SUM(SUMIFS('caseload data'!J:J,'caseload data'!$C:$C,'community %'!$T$36,'caseload data'!$D:$D,"SPO",'caseload data'!$B:$B,{"licence","community"}))/SUM(SUMIFS('caseload data'!J:J,'caseload data'!$B:$B,{"licence","community"},'caseload data'!$C:$C,'community %'!$T$36)),"")</f>
        <v/>
      </c>
      <c r="AA41" s="187" t="str">
        <f>IFERROR(SUM(SUMIFS('caseload data'!K:K,'caseload data'!$C:$C,'community %'!$T$36,'caseload data'!$D:$D,"SPO",'caseload data'!$B:$B,{"licence","community"}))/SUM(SUMIFS('caseload data'!K:K,'caseload data'!$B:$B,{"licence","community"},'caseload data'!$C:$C,'community %'!$T$36)),"")</f>
        <v/>
      </c>
      <c r="AB41" s="187" t="str">
        <f>IFERROR(SUM(SUMIFS('caseload data'!L:L,'caseload data'!$C:$C,'community %'!$T$36,'caseload data'!$D:$D,"SPO",'caseload data'!$B:$B,{"licence","community"}))/SUM(SUMIFS('caseload data'!L:L,'caseload data'!$B:$B,{"licence","community"},'caseload data'!$C:$C,'community %'!$T$36)),"")</f>
        <v/>
      </c>
      <c r="AC41" s="187" t="str">
        <f>IFERROR(SUM(SUMIFS('caseload data'!M:M,'caseload data'!$C:$C,'community %'!$T$36,'caseload data'!$D:$D,"SPO",'caseload data'!$B:$B,{"licence","community"}))/SUM(SUMIFS('caseload data'!M:M,'caseload data'!$B:$B,{"licence","community"},'caseload data'!$C:$C,'community %'!$T$36)),"")</f>
        <v/>
      </c>
      <c r="AD41" s="187" t="str">
        <f>IFERROR(SUM(SUMIFS('caseload data'!N:N,'caseload data'!$C:$C,'community %'!$T$36,'caseload data'!$D:$D,"SPO",'caseload data'!$B:$B,{"licence","community"}))/SUM(SUMIFS('caseload data'!N:N,'caseload data'!$B:$B,{"licence","community"},'caseload data'!$C:$C,'community %'!$T$36)),"")</f>
        <v/>
      </c>
      <c r="AE41" s="187" t="str">
        <f>IFERROR(SUM(SUMIFS('caseload data'!O:O,'caseload data'!$C:$C,'community %'!$T$36,'caseload data'!$D:$D,"SPO",'caseload data'!$B:$B,{"licence","community"}))/SUM(SUMIFS('caseload data'!O:O,'caseload data'!$B:$B,{"licence","community"},'caseload data'!$C:$C,'community %'!$T$36)),"")</f>
        <v/>
      </c>
      <c r="AF41" s="187" t="str">
        <f>IFERROR(SUM(SUMIFS('caseload data'!P:P,'caseload data'!$C:$C,'community %'!$T$36,'caseload data'!$D:$D,"SPO",'caseload data'!$B:$B,{"licence","community"}))/SUM(SUMIFS('caseload data'!P:P,'caseload data'!$B:$B,{"licence","community"},'caseload data'!$C:$C,'community %'!$T$36)),"")</f>
        <v/>
      </c>
      <c r="AG41" s="187" t="str">
        <f>IFERROR(SUM(SUMIFS('caseload data'!Q:Q,'caseload data'!$C:$C,'community %'!$T$36,'caseload data'!$D:$D,"SPO",'caseload data'!$B:$B,{"licence","community"}))/SUM(SUMIFS('caseload data'!Q:Q,'caseload data'!$B:$B,{"licence","community"},'caseload data'!$C:$C,'community %'!$T$36)),"")</f>
        <v/>
      </c>
      <c r="AH41" s="187" t="str">
        <f>IFERROR(SUM(SUMIFS('caseload data'!R:R,'caseload data'!$C:$C,'community %'!$T$36,'caseload data'!$D:$D,"SPO",'caseload data'!$B:$B,{"licence","community"}))/SUM(SUMIFS('caseload data'!R:R,'caseload data'!$B:$B,{"licence","community"},'caseload data'!$C:$C,'community %'!$T$36)),"")</f>
        <v/>
      </c>
      <c r="AI41" s="187" t="str">
        <f>IFERROR(SUM(SUMIFS('caseload data'!S:S,'caseload data'!$C:$C,'community %'!$T$36,'caseload data'!$D:$D,"SPO",'caseload data'!$B:$B,{"licence","community"}))/SUM(SUMIFS('caseload data'!S:S,'caseload data'!$B:$B,{"licence","community"},'caseload data'!$C:$C,'community %'!$T$36)),"")</f>
        <v/>
      </c>
      <c r="AJ41" s="187" t="str">
        <f>IFERROR(SUM(SUMIFS('caseload data'!T:T,'caseload data'!$C:$C,'community %'!$T$36,'caseload data'!$D:$D,"SPO",'caseload data'!$B:$B,{"licence","community"}))/SUM(SUMIFS('caseload data'!T:T,'caseload data'!$B:$B,{"licence","community"},'caseload data'!$C:$C,'community %'!$T$36)),"")</f>
        <v/>
      </c>
    </row>
    <row r="42" spans="2:36" x14ac:dyDescent="0.15">
      <c r="B42" s="104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104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</row>
    <row r="43" spans="2:36" ht="43.5" customHeight="1" x14ac:dyDescent="0.15">
      <c r="B43" s="162" t="str">
        <f>HLOOKUP($B$5,Region_Table,12,0)</f>
        <v>Greenwich and Bexley</v>
      </c>
      <c r="C43" s="333" t="s">
        <v>1269</v>
      </c>
      <c r="D43" s="334"/>
      <c r="E43" s="334"/>
      <c r="F43" s="334"/>
      <c r="G43" s="334"/>
      <c r="H43" s="334"/>
      <c r="I43" s="334"/>
      <c r="J43" s="334"/>
      <c r="K43" s="334"/>
      <c r="L43" s="334"/>
      <c r="M43" s="343"/>
      <c r="N43" s="343"/>
      <c r="O43" s="344"/>
      <c r="P43" s="337" cm="1">
        <f t="array" ref="P43">SUM(SUMIFS('caseload data'!V:V,'caseload data'!B:B,{"licence","community"},'caseload data'!$C:$C,B43))</f>
        <v>0</v>
      </c>
      <c r="Q43" s="345"/>
      <c r="R43" s="346"/>
      <c r="S43" s="76"/>
      <c r="T43" s="162" t="str">
        <f>HLOOKUP($B$5,Region_Table,13,0)</f>
        <v>Hackney and City</v>
      </c>
      <c r="U43" s="333" t="s">
        <v>1269</v>
      </c>
      <c r="V43" s="334"/>
      <c r="W43" s="334"/>
      <c r="X43" s="334"/>
      <c r="Y43" s="334"/>
      <c r="Z43" s="334"/>
      <c r="AA43" s="334"/>
      <c r="AB43" s="334"/>
      <c r="AC43" s="334"/>
      <c r="AD43" s="334"/>
      <c r="AE43" s="343"/>
      <c r="AF43" s="343"/>
      <c r="AG43" s="344"/>
      <c r="AH43" s="337" cm="1">
        <f t="array" ref="AH43">SUM(SUMIFS('caseload data'!V:V,'caseload data'!B:B,{"licence","community"},'caseload data'!$C:$C,T43))</f>
        <v>0</v>
      </c>
      <c r="AI43" s="345"/>
      <c r="AJ43" s="346"/>
    </row>
    <row r="44" spans="2:36" x14ac:dyDescent="0.15">
      <c r="B44" s="108" t="s">
        <v>1199</v>
      </c>
      <c r="C44" s="42" t="s">
        <v>1019</v>
      </c>
      <c r="D44" s="42" t="s">
        <v>1020</v>
      </c>
      <c r="E44" s="42" t="s">
        <v>1021</v>
      </c>
      <c r="F44" s="42" t="s">
        <v>1022</v>
      </c>
      <c r="G44" s="42" t="s">
        <v>1023</v>
      </c>
      <c r="H44" s="42" t="s">
        <v>1024</v>
      </c>
      <c r="I44" s="42" t="s">
        <v>1025</v>
      </c>
      <c r="J44" s="42" t="s">
        <v>1026</v>
      </c>
      <c r="K44" s="42" t="s">
        <v>1027</v>
      </c>
      <c r="L44" s="42" t="s">
        <v>1028</v>
      </c>
      <c r="M44" s="42" t="s">
        <v>1029</v>
      </c>
      <c r="N44" s="42" t="s">
        <v>1030</v>
      </c>
      <c r="O44" s="42" t="s">
        <v>1031</v>
      </c>
      <c r="P44" s="42" t="s">
        <v>1032</v>
      </c>
      <c r="Q44" s="42" t="s">
        <v>1033</v>
      </c>
      <c r="R44" s="42" t="s">
        <v>1034</v>
      </c>
      <c r="S44" s="76"/>
      <c r="T44" s="108" t="s">
        <v>1199</v>
      </c>
      <c r="U44" s="42" t="s">
        <v>1019</v>
      </c>
      <c r="V44" s="42" t="s">
        <v>1020</v>
      </c>
      <c r="W44" s="42" t="s">
        <v>1021</v>
      </c>
      <c r="X44" s="42" t="s">
        <v>1022</v>
      </c>
      <c r="Y44" s="42" t="s">
        <v>1023</v>
      </c>
      <c r="Z44" s="42" t="s">
        <v>1024</v>
      </c>
      <c r="AA44" s="42" t="s">
        <v>1025</v>
      </c>
      <c r="AB44" s="42" t="s">
        <v>1026</v>
      </c>
      <c r="AC44" s="42" t="s">
        <v>1027</v>
      </c>
      <c r="AD44" s="42" t="s">
        <v>1028</v>
      </c>
      <c r="AE44" s="42" t="s">
        <v>1029</v>
      </c>
      <c r="AF44" s="42" t="s">
        <v>1030</v>
      </c>
      <c r="AG44" s="42" t="s">
        <v>1031</v>
      </c>
      <c r="AH44" s="42" t="s">
        <v>1032</v>
      </c>
      <c r="AI44" s="42" t="s">
        <v>1033</v>
      </c>
      <c r="AJ44" s="42" t="s">
        <v>1034</v>
      </c>
    </row>
    <row r="45" spans="2:36" x14ac:dyDescent="0.15">
      <c r="B45" s="109" t="s">
        <v>1037</v>
      </c>
      <c r="C45" s="187" t="str">
        <f>IFERROR(SUM(SUMIFS('caseload data'!E:E,'caseload data'!$C:$C,'community %'!$B$43,'caseload data'!$D:$D,"PO",'caseload data'!$B:$B,{"licence","community"}))/SUM(SUMIFS('caseload data'!E:E,'caseload data'!$B:$B,{"licence","community"},'caseload data'!$C:$C,'community %'!$B$43)),"")</f>
        <v/>
      </c>
      <c r="D45" s="187" t="str">
        <f>IFERROR(SUM(SUMIFS('caseload data'!F:F,'caseload data'!$C:$C,'community %'!$B$43,'caseload data'!$D:$D,"PO",'caseload data'!$B:$B,{"licence","community"}))/SUM(SUMIFS('caseload data'!F:F,'caseload data'!$B:$B,{"licence","community"},'caseload data'!$C:$C,'community %'!$B$43)),"")</f>
        <v/>
      </c>
      <c r="E45" s="187" t="str">
        <f>IFERROR(SUM(SUMIFS('caseload data'!G:G,'caseload data'!$C:$C,'community %'!$B$43,'caseload data'!$D:$D,"PO",'caseload data'!$B:$B,{"licence","community"}))/SUM(SUMIFS('caseload data'!G:G,'caseload data'!$B:$B,{"licence","community"},'caseload data'!$C:$C,'community %'!$B$43)),"")</f>
        <v/>
      </c>
      <c r="F45" s="187" t="str">
        <f>IFERROR(SUM(SUMIFS('caseload data'!H:H,'caseload data'!$C:$C,'community %'!$B$43,'caseload data'!$D:$D,"PO",'caseload data'!$B:$B,{"licence","community"}))/SUM(SUMIFS('caseload data'!H:H,'caseload data'!$B:$B,{"licence","community"},'caseload data'!$C:$C,'community %'!$B$43)),"")</f>
        <v/>
      </c>
      <c r="G45" s="187" t="str">
        <f>IFERROR(SUM(SUMIFS('caseload data'!I:I,'caseload data'!$C:$C,'community %'!$B$43,'caseload data'!$D:$D,"PO",'caseload data'!$B:$B,{"licence","community"}))/SUM(SUMIFS('caseload data'!I:I,'caseload data'!$B:$B,{"licence","community"},'caseload data'!$C:$C,'community %'!$B$43)),"")</f>
        <v/>
      </c>
      <c r="H45" s="187" t="str">
        <f>IFERROR(SUM(SUMIFS('caseload data'!J:J,'caseload data'!$C:$C,'community %'!$B$43,'caseload data'!$D:$D,"PO",'caseload data'!$B:$B,{"licence","community"}))/SUM(SUMIFS('caseload data'!J:J,'caseload data'!$B:$B,{"licence","community"},'caseload data'!$C:$C,'community %'!$B$43)),"")</f>
        <v/>
      </c>
      <c r="I45" s="187" t="str">
        <f>IFERROR(SUM(SUMIFS('caseload data'!K:K,'caseload data'!$C:$C,'community %'!$B$43,'caseload data'!$D:$D,"PO",'caseload data'!$B:$B,{"licence","community"}))/SUM(SUMIFS('caseload data'!K:K,'caseload data'!$B:$B,{"licence","community"},'caseload data'!$C:$C,'community %'!$B$43)),"")</f>
        <v/>
      </c>
      <c r="J45" s="187" t="str">
        <f>IFERROR(SUM(SUMIFS('caseload data'!L:L,'caseload data'!$C:$C,'community %'!$B$43,'caseload data'!$D:$D,"PO",'caseload data'!$B:$B,{"licence","community"}))/SUM(SUMIFS('caseload data'!L:L,'caseload data'!$B:$B,{"licence","community"},'caseload data'!$C:$C,'community %'!$B$43)),"")</f>
        <v/>
      </c>
      <c r="K45" s="187" t="str">
        <f>IFERROR(SUM(SUMIFS('caseload data'!M:M,'caseload data'!$C:$C,'community %'!$B$43,'caseload data'!$D:$D,"PO",'caseload data'!$B:$B,{"licence","community"}))/SUM(SUMIFS('caseload data'!M:M,'caseload data'!$B:$B,{"licence","community"},'caseload data'!$C:$C,'community %'!$B$43)),"")</f>
        <v/>
      </c>
      <c r="L45" s="187" t="str">
        <f>IFERROR(SUM(SUMIFS('caseload data'!N:N,'caseload data'!$C:$C,'community %'!$B$43,'caseload data'!$D:$D,"PO",'caseload data'!$B:$B,{"licence","community"}))/SUM(SUMIFS('caseload data'!N:N,'caseload data'!$B:$B,{"licence","community"},'caseload data'!$C:$C,'community %'!$B$43)),"")</f>
        <v/>
      </c>
      <c r="M45" s="187" t="str">
        <f>IFERROR(SUM(SUMIFS('caseload data'!O:O,'caseload data'!$C:$C,'community %'!$B$43,'caseload data'!$D:$D,"PO",'caseload data'!$B:$B,{"licence","community"}))/SUM(SUMIFS('caseload data'!O:O,'caseload data'!$B:$B,{"licence","community"},'caseload data'!$C:$C,'community %'!$B$43)),"")</f>
        <v/>
      </c>
      <c r="N45" s="187" t="str">
        <f>IFERROR(SUM(SUMIFS('caseload data'!P:P,'caseload data'!$C:$C,'community %'!$B$43,'caseload data'!$D:$D,"PO",'caseload data'!$B:$B,{"licence","community"}))/SUM(SUMIFS('caseload data'!P:P,'caseload data'!$B:$B,{"licence","community"},'caseload data'!$C:$C,'community %'!$B$43)),"")</f>
        <v/>
      </c>
      <c r="O45" s="187" t="str">
        <f>IFERROR(SUM(SUMIFS('caseload data'!Q:Q,'caseload data'!$C:$C,'community %'!$B$43,'caseload data'!$D:$D,"PO",'caseload data'!$B:$B,{"licence","community"}))/SUM(SUMIFS('caseload data'!Q:Q,'caseload data'!$B:$B,{"licence","community"},'caseload data'!$C:$C,'community %'!$B$43)),"")</f>
        <v/>
      </c>
      <c r="P45" s="187" t="str">
        <f>IFERROR(SUM(SUMIFS('caseload data'!R:R,'caseload data'!$C:$C,'community %'!$B$43,'caseload data'!$D:$D,"PO",'caseload data'!$B:$B,{"licence","community"}))/SUM(SUMIFS('caseload data'!R:R,'caseload data'!$B:$B,{"licence","community"},'caseload data'!$C:$C,'community %'!$B$43)),"")</f>
        <v/>
      </c>
      <c r="Q45" s="187" t="str">
        <f>IFERROR(SUM(SUMIFS('caseload data'!S:S,'caseload data'!$C:$C,'community %'!$B$43,'caseload data'!$D:$D,"PO",'caseload data'!$B:$B,{"licence","community"}))/SUM(SUMIFS('caseload data'!S:S,'caseload data'!$B:$B,{"licence","community"},'caseload data'!$C:$C,'community %'!$B$43)),"")</f>
        <v/>
      </c>
      <c r="R45" s="187" t="str">
        <f>IFERROR(SUM(SUMIFS('caseload data'!T:T,'caseload data'!$C:$C,'community %'!$B$43,'caseload data'!$D:$D,"PO",'caseload data'!$B:$B,{"licence","community"}))/SUM(SUMIFS('caseload data'!T:T,'caseload data'!$B:$B,{"licence","community"},'caseload data'!$C:$C,'community %'!$B$43)),"")</f>
        <v/>
      </c>
      <c r="S45" s="76"/>
      <c r="T45" s="109" t="s">
        <v>1037</v>
      </c>
      <c r="U45" s="187" t="str">
        <f>IFERROR(SUM(SUMIFS('caseload data'!E:E,'caseload data'!$C:$C,'community %'!$T$43,'caseload data'!$D:$D,"PO",'caseload data'!$B:$B,{"licence","community"}))/SUM(SUMIFS('caseload data'!E:E,'caseload data'!$B:$B,{"licence","community"},'caseload data'!$C:$C,'community %'!$T$43)),"")</f>
        <v/>
      </c>
      <c r="V45" s="187" t="str">
        <f>IFERROR(SUM(SUMIFS('caseload data'!F:F,'caseload data'!$C:$C,'community %'!$T$43,'caseload data'!$D:$D,"PO",'caseload data'!$B:$B,{"licence","community"}))/SUM(SUMIFS('caseload data'!F:F,'caseload data'!$B:$B,{"licence","community"},'caseload data'!$C:$C,'community %'!$T$43)),"")</f>
        <v/>
      </c>
      <c r="W45" s="187" t="str">
        <f>IFERROR(SUM(SUMIFS('caseload data'!G:G,'caseload data'!$C:$C,'community %'!$T$43,'caseload data'!$D:$D,"PO",'caseload data'!$B:$B,{"licence","community"}))/SUM(SUMIFS('caseload data'!G:G,'caseload data'!$B:$B,{"licence","community"},'caseload data'!$C:$C,'community %'!$T$43)),"")</f>
        <v/>
      </c>
      <c r="X45" s="187" t="str">
        <f>IFERROR(SUM(SUMIFS('caseload data'!H:H,'caseload data'!$C:$C,'community %'!$T$43,'caseload data'!$D:$D,"PO",'caseload data'!$B:$B,{"licence","community"}))/SUM(SUMIFS('caseload data'!H:H,'caseload data'!$B:$B,{"licence","community"},'caseload data'!$C:$C,'community %'!$T$43)),"")</f>
        <v/>
      </c>
      <c r="Y45" s="187" t="str">
        <f>IFERROR(SUM(SUMIFS('caseload data'!I:I,'caseload data'!$C:$C,'community %'!$T$43,'caseload data'!$D:$D,"PO",'caseload data'!$B:$B,{"licence","community"}))/SUM(SUMIFS('caseload data'!I:I,'caseload data'!$B:$B,{"licence","community"},'caseload data'!$C:$C,'community %'!$T$43)),"")</f>
        <v/>
      </c>
      <c r="Z45" s="187" t="str">
        <f>IFERROR(SUM(SUMIFS('caseload data'!J:J,'caseload data'!$C:$C,'community %'!$T$43,'caseload data'!$D:$D,"PO",'caseload data'!$B:$B,{"licence","community"}))/SUM(SUMIFS('caseload data'!J:J,'caseload data'!$B:$B,{"licence","community"},'caseload data'!$C:$C,'community %'!$T$43)),"")</f>
        <v/>
      </c>
      <c r="AA45" s="187" t="str">
        <f>IFERROR(SUM(SUMIFS('caseload data'!K:K,'caseload data'!$C:$C,'community %'!$T$43,'caseload data'!$D:$D,"PO",'caseload data'!$B:$B,{"licence","community"}))/SUM(SUMIFS('caseload data'!K:K,'caseload data'!$B:$B,{"licence","community"},'caseload data'!$C:$C,'community %'!$T$43)),"")</f>
        <v/>
      </c>
      <c r="AB45" s="187" t="str">
        <f>IFERROR(SUM(SUMIFS('caseload data'!L:L,'caseload data'!$C:$C,'community %'!$T$43,'caseload data'!$D:$D,"PO",'caseload data'!$B:$B,{"licence","community"}))/SUM(SUMIFS('caseload data'!L:L,'caseload data'!$B:$B,{"licence","community"},'caseload data'!$C:$C,'community %'!$T$43)),"")</f>
        <v/>
      </c>
      <c r="AC45" s="187" t="str">
        <f>IFERROR(SUM(SUMIFS('caseload data'!M:M,'caseload data'!$C:$C,'community %'!$T$43,'caseload data'!$D:$D,"PO",'caseload data'!$B:$B,{"licence","community"}))/SUM(SUMIFS('caseload data'!M:M,'caseload data'!$B:$B,{"licence","community"},'caseload data'!$C:$C,'community %'!$T$43)),"")</f>
        <v/>
      </c>
      <c r="AD45" s="187" t="str">
        <f>IFERROR(SUM(SUMIFS('caseload data'!N:N,'caseload data'!$C:$C,'community %'!$T$43,'caseload data'!$D:$D,"PO",'caseload data'!$B:$B,{"licence","community"}))/SUM(SUMIFS('caseload data'!N:N,'caseload data'!$B:$B,{"licence","community"},'caseload data'!$C:$C,'community %'!$T$43)),"")</f>
        <v/>
      </c>
      <c r="AE45" s="187" t="str">
        <f>IFERROR(SUM(SUMIFS('caseload data'!O:O,'caseload data'!$C:$C,'community %'!$T$43,'caseload data'!$D:$D,"PO",'caseload data'!$B:$B,{"licence","community"}))/SUM(SUMIFS('caseload data'!O:O,'caseload data'!$B:$B,{"licence","community"},'caseload data'!$C:$C,'community %'!$T$43)),"")</f>
        <v/>
      </c>
      <c r="AF45" s="187" t="str">
        <f>IFERROR(SUM(SUMIFS('caseload data'!P:P,'caseload data'!$C:$C,'community %'!$T$43,'caseload data'!$D:$D,"PO",'caseload data'!$B:$B,{"licence","community"}))/SUM(SUMIFS('caseload data'!P:P,'caseload data'!$B:$B,{"licence","community"},'caseload data'!$C:$C,'community %'!$T$43)),"")</f>
        <v/>
      </c>
      <c r="AG45" s="187" t="str">
        <f>IFERROR(SUM(SUMIFS('caseload data'!Q:Q,'caseload data'!$C:$C,'community %'!$T$43,'caseload data'!$D:$D,"PO",'caseload data'!$B:$B,{"licence","community"}))/SUM(SUMIFS('caseload data'!Q:Q,'caseload data'!$B:$B,{"licence","community"},'caseload data'!$C:$C,'community %'!$T$43)),"")</f>
        <v/>
      </c>
      <c r="AH45" s="187" t="str">
        <f>IFERROR(SUM(SUMIFS('caseload data'!R:R,'caseload data'!$C:$C,'community %'!$T$43,'caseload data'!$D:$D,"PO",'caseload data'!$B:$B,{"licence","community"}))/SUM(SUMIFS('caseload data'!R:R,'caseload data'!$B:$B,{"licence","community"},'caseload data'!$C:$C,'community %'!$T$43)),"")</f>
        <v/>
      </c>
      <c r="AI45" s="187" t="str">
        <f>IFERROR(SUM(SUMIFS('caseload data'!S:S,'caseload data'!$C:$C,'community %'!$T$43,'caseload data'!$D:$D,"PO",'caseload data'!$B:$B,{"licence","community"}))/SUM(SUMIFS('caseload data'!S:S,'caseload data'!$B:$B,{"licence","community"},'caseload data'!$C:$C,'community %'!$T$43)),"")</f>
        <v/>
      </c>
      <c r="AJ45" s="187" t="str">
        <f>IFERROR(SUM(SUMIFS('caseload data'!T:T,'caseload data'!$C:$C,'community %'!$T$43,'caseload data'!$D:$D,"PO",'caseload data'!$B:$B,{"licence","community"}))/SUM(SUMIFS('caseload data'!T:T,'caseload data'!$B:$B,{"licence","community"},'caseload data'!$C:$C,'community %'!$T$43)),"")</f>
        <v/>
      </c>
    </row>
    <row r="46" spans="2:36" x14ac:dyDescent="0.15">
      <c r="B46" s="110" t="s">
        <v>1038</v>
      </c>
      <c r="C46" s="187" t="str">
        <f>IFERROR(SUM(SUMIFS('caseload data'!E:E,'caseload data'!$C:$C,'community %'!$B$43,'caseload data'!$D:$D,"PSO",'caseload data'!$B:$B,{"licence","community"}))/SUM(SUMIFS('caseload data'!E:E,'caseload data'!$B:$B,{"licence","community"},'caseload data'!$C:$C,'community %'!$B$43)),"")</f>
        <v/>
      </c>
      <c r="D46" s="187" t="str">
        <f>IFERROR(SUM(SUMIFS('caseload data'!F:F,'caseload data'!$C:$C,'community %'!$B$43,'caseload data'!$D:$D,"PSO",'caseload data'!$B:$B,{"licence","community"}))/SUM(SUMIFS('caseload data'!F:F,'caseload data'!$B:$B,{"licence","community"},'caseload data'!$C:$C,'community %'!$B$43)),"")</f>
        <v/>
      </c>
      <c r="E46" s="187" t="str">
        <f>IFERROR(SUM(SUMIFS('caseload data'!G:G,'caseload data'!$C:$C,'community %'!$B$43,'caseload data'!$D:$D,"PSO",'caseload data'!$B:$B,{"licence","community"}))/SUM(SUMIFS('caseload data'!G:G,'caseload data'!$B:$B,{"licence","community"},'caseload data'!$C:$C,'community %'!$B$43)),"")</f>
        <v/>
      </c>
      <c r="F46" s="187" t="str">
        <f>IFERROR(SUM(SUMIFS('caseload data'!H:H,'caseload data'!$C:$C,'community %'!$B$43,'caseload data'!$D:$D,"PSO",'caseload data'!$B:$B,{"licence","community"}))/SUM(SUMIFS('caseload data'!H:H,'caseload data'!$B:$B,{"licence","community"},'caseload data'!$C:$C,'community %'!$B$43)),"")</f>
        <v/>
      </c>
      <c r="G46" s="187" t="str">
        <f>IFERROR(SUM(SUMIFS('caseload data'!I:I,'caseload data'!$C:$C,'community %'!$B$43,'caseload data'!$D:$D,"PSO",'caseload data'!$B:$B,{"licence","community"}))/SUM(SUMIFS('caseload data'!I:I,'caseload data'!$B:$B,{"licence","community"},'caseload data'!$C:$C,'community %'!$B$43)),"")</f>
        <v/>
      </c>
      <c r="H46" s="187" t="str">
        <f>IFERROR(SUM(SUMIFS('caseload data'!J:J,'caseload data'!$C:$C,'community %'!$B$43,'caseload data'!$D:$D,"PSO",'caseload data'!$B:$B,{"licence","community"}))/SUM(SUMIFS('caseload data'!J:J,'caseload data'!$B:$B,{"licence","community"},'caseload data'!$C:$C,'community %'!$B$43)),"")</f>
        <v/>
      </c>
      <c r="I46" s="187" t="str">
        <f>IFERROR(SUM(SUMIFS('caseload data'!K:K,'caseload data'!$C:$C,'community %'!$B$43,'caseload data'!$D:$D,"PSO",'caseload data'!$B:$B,{"licence","community"}))/SUM(SUMIFS('caseload data'!K:K,'caseload data'!$B:$B,{"licence","community"},'caseload data'!$C:$C,'community %'!$B$43)),"")</f>
        <v/>
      </c>
      <c r="J46" s="187" t="str">
        <f>IFERROR(SUM(SUMIFS('caseload data'!L:L,'caseload data'!$C:$C,'community %'!$B$43,'caseload data'!$D:$D,"PSO",'caseload data'!$B:$B,{"licence","community"}))/SUM(SUMIFS('caseload data'!L:L,'caseload data'!$B:$B,{"licence","community"},'caseload data'!$C:$C,'community %'!$B$43)),"")</f>
        <v/>
      </c>
      <c r="K46" s="187" t="str">
        <f>IFERROR(SUM(SUMIFS('caseload data'!M:M,'caseload data'!$C:$C,'community %'!$B$43,'caseload data'!$D:$D,"PSO",'caseload data'!$B:$B,{"licence","community"}))/SUM(SUMIFS('caseload data'!M:M,'caseload data'!$B:$B,{"licence","community"},'caseload data'!$C:$C,'community %'!$B$43)),"")</f>
        <v/>
      </c>
      <c r="L46" s="187" t="str">
        <f>IFERROR(SUM(SUMIFS('caseload data'!N:N,'caseload data'!$C:$C,'community %'!$B$43,'caseload data'!$D:$D,"PSO",'caseload data'!$B:$B,{"licence","community"}))/SUM(SUMIFS('caseload data'!N:N,'caseload data'!$B:$B,{"licence","community"},'caseload data'!$C:$C,'community %'!$B$43)),"")</f>
        <v/>
      </c>
      <c r="M46" s="187" t="str">
        <f>IFERROR(SUM(SUMIFS('caseload data'!O:O,'caseload data'!$C:$C,'community %'!$B$43,'caseload data'!$D:$D,"PSO",'caseload data'!$B:$B,{"licence","community"}))/SUM(SUMIFS('caseload data'!O:O,'caseload data'!$B:$B,{"licence","community"},'caseload data'!$C:$C,'community %'!$B$43)),"")</f>
        <v/>
      </c>
      <c r="N46" s="187" t="str">
        <f>IFERROR(SUM(SUMIFS('caseload data'!P:P,'caseload data'!$C:$C,'community %'!$B$43,'caseload data'!$D:$D,"PSO",'caseload data'!$B:$B,{"licence","community"}))/SUM(SUMIFS('caseload data'!P:P,'caseload data'!$B:$B,{"licence","community"},'caseload data'!$C:$C,'community %'!$B$43)),"")</f>
        <v/>
      </c>
      <c r="O46" s="187" t="str">
        <f>IFERROR(SUM(SUMIFS('caseload data'!Q:Q,'caseload data'!$C:$C,'community %'!$B$43,'caseload data'!$D:$D,"PSO",'caseload data'!$B:$B,{"licence","community"}))/SUM(SUMIFS('caseload data'!Q:Q,'caseload data'!$B:$B,{"licence","community"},'caseload data'!$C:$C,'community %'!$B$43)),"")</f>
        <v/>
      </c>
      <c r="P46" s="187" t="str">
        <f>IFERROR(SUM(SUMIFS('caseload data'!R:R,'caseload data'!$C:$C,'community %'!$B$43,'caseload data'!$D:$D,"PSO",'caseload data'!$B:$B,{"licence","community"}))/SUM(SUMIFS('caseload data'!R:R,'caseload data'!$B:$B,{"licence","community"},'caseload data'!$C:$C,'community %'!$B$43)),"")</f>
        <v/>
      </c>
      <c r="Q46" s="187" t="str">
        <f>IFERROR(SUM(SUMIFS('caseload data'!S:S,'caseload data'!$C:$C,'community %'!$B$43,'caseload data'!$D:$D,"PSO",'caseload data'!$B:$B,{"licence","community"}))/SUM(SUMIFS('caseload data'!S:S,'caseload data'!$B:$B,{"licence","community"},'caseload data'!$C:$C,'community %'!$B$43)),"")</f>
        <v/>
      </c>
      <c r="R46" s="187" t="str">
        <f>IFERROR(SUM(SUMIFS('caseload data'!T:T,'caseload data'!$C:$C,'community %'!$B$43,'caseload data'!$D:$D,"PSO",'caseload data'!$B:$B,{"licence","community"}))/SUM(SUMIFS('caseload data'!T:T,'caseload data'!$B:$B,{"licence","community"},'caseload data'!$C:$C,'community %'!$B$43)),"")</f>
        <v/>
      </c>
      <c r="S46" s="76"/>
      <c r="T46" s="110" t="s">
        <v>1038</v>
      </c>
      <c r="U46" s="187" t="str">
        <f>IFERROR(SUM(SUMIFS('caseload data'!E:E,'caseload data'!$C:$C,'community %'!$T$43,'caseload data'!$D:$D,"PSO",'caseload data'!$B:$B,{"licence","community"}))/SUM(SUMIFS('caseload data'!E:E,'caseload data'!$B:$B,{"licence","community"},'caseload data'!$C:$C,'community %'!$T$43)),"")</f>
        <v/>
      </c>
      <c r="V46" s="187" t="str">
        <f>IFERROR(SUM(SUMIFS('caseload data'!F:F,'caseload data'!$C:$C,'community %'!$T$43,'caseload data'!$D:$D,"PSO",'caseload data'!$B:$B,{"licence","community"}))/SUM(SUMIFS('caseload data'!F:F,'caseload data'!$B:$B,{"licence","community"},'caseload data'!$C:$C,'community %'!$T$43)),"")</f>
        <v/>
      </c>
      <c r="W46" s="187" t="str">
        <f>IFERROR(SUM(SUMIFS('caseload data'!G:G,'caseload data'!$C:$C,'community %'!$T$43,'caseload data'!$D:$D,"PSO",'caseload data'!$B:$B,{"licence","community"}))/SUM(SUMIFS('caseload data'!G:G,'caseload data'!$B:$B,{"licence","community"},'caseload data'!$C:$C,'community %'!$T$43)),"")</f>
        <v/>
      </c>
      <c r="X46" s="187" t="str">
        <f>IFERROR(SUM(SUMIFS('caseload data'!H:H,'caseload data'!$C:$C,'community %'!$T$43,'caseload data'!$D:$D,"PSO",'caseload data'!$B:$B,{"licence","community"}))/SUM(SUMIFS('caseload data'!H:H,'caseload data'!$B:$B,{"licence","community"},'caseload data'!$C:$C,'community %'!$T$43)),"")</f>
        <v/>
      </c>
      <c r="Y46" s="187" t="str">
        <f>IFERROR(SUM(SUMIFS('caseload data'!I:I,'caseload data'!$C:$C,'community %'!$T$43,'caseload data'!$D:$D,"PSO",'caseload data'!$B:$B,{"licence","community"}))/SUM(SUMIFS('caseload data'!I:I,'caseload data'!$B:$B,{"licence","community"},'caseload data'!$C:$C,'community %'!$T$43)),"")</f>
        <v/>
      </c>
      <c r="Z46" s="187" t="str">
        <f>IFERROR(SUM(SUMIFS('caseload data'!J:J,'caseload data'!$C:$C,'community %'!$T$43,'caseload data'!$D:$D,"PSO",'caseload data'!$B:$B,{"licence","community"}))/SUM(SUMIFS('caseload data'!J:J,'caseload data'!$B:$B,{"licence","community"},'caseload data'!$C:$C,'community %'!$T$43)),"")</f>
        <v/>
      </c>
      <c r="AA46" s="187" t="str">
        <f>IFERROR(SUM(SUMIFS('caseload data'!K:K,'caseload data'!$C:$C,'community %'!$T$43,'caseload data'!$D:$D,"PSO",'caseload data'!$B:$B,{"licence","community"}))/SUM(SUMIFS('caseload data'!K:K,'caseload data'!$B:$B,{"licence","community"},'caseload data'!$C:$C,'community %'!$T$43)),"")</f>
        <v/>
      </c>
      <c r="AB46" s="187" t="str">
        <f>IFERROR(SUM(SUMIFS('caseload data'!L:L,'caseload data'!$C:$C,'community %'!$T$43,'caseload data'!$D:$D,"PSO",'caseload data'!$B:$B,{"licence","community"}))/SUM(SUMIFS('caseload data'!L:L,'caseload data'!$B:$B,{"licence","community"},'caseload data'!$C:$C,'community %'!$T$43)),"")</f>
        <v/>
      </c>
      <c r="AC46" s="187" t="str">
        <f>IFERROR(SUM(SUMIFS('caseload data'!M:M,'caseload data'!$C:$C,'community %'!$T$43,'caseload data'!$D:$D,"PSO",'caseload data'!$B:$B,{"licence","community"}))/SUM(SUMIFS('caseload data'!M:M,'caseload data'!$B:$B,{"licence","community"},'caseload data'!$C:$C,'community %'!$T$43)),"")</f>
        <v/>
      </c>
      <c r="AD46" s="187" t="str">
        <f>IFERROR(SUM(SUMIFS('caseload data'!N:N,'caseload data'!$C:$C,'community %'!$T$43,'caseload data'!$D:$D,"PSO",'caseload data'!$B:$B,{"licence","community"}))/SUM(SUMIFS('caseload data'!N:N,'caseload data'!$B:$B,{"licence","community"},'caseload data'!$C:$C,'community %'!$T$43)),"")</f>
        <v/>
      </c>
      <c r="AE46" s="187" t="str">
        <f>IFERROR(SUM(SUMIFS('caseload data'!O:O,'caseload data'!$C:$C,'community %'!$T$43,'caseload data'!$D:$D,"PSO",'caseload data'!$B:$B,{"licence","community"}))/SUM(SUMIFS('caseload data'!O:O,'caseload data'!$B:$B,{"licence","community"},'caseload data'!$C:$C,'community %'!$T$43)),"")</f>
        <v/>
      </c>
      <c r="AF46" s="187" t="str">
        <f>IFERROR(SUM(SUMIFS('caseload data'!P:P,'caseload data'!$C:$C,'community %'!$T$43,'caseload data'!$D:$D,"PSO",'caseload data'!$B:$B,{"licence","community"}))/SUM(SUMIFS('caseload data'!P:P,'caseload data'!$B:$B,{"licence","community"},'caseload data'!$C:$C,'community %'!$T$43)),"")</f>
        <v/>
      </c>
      <c r="AG46" s="187" t="str">
        <f>IFERROR(SUM(SUMIFS('caseload data'!Q:Q,'caseload data'!$C:$C,'community %'!$T$43,'caseload data'!$D:$D,"PSO",'caseload data'!$B:$B,{"licence","community"}))/SUM(SUMIFS('caseload data'!Q:Q,'caseload data'!$B:$B,{"licence","community"},'caseload data'!$C:$C,'community %'!$T$43)),"")</f>
        <v/>
      </c>
      <c r="AH46" s="187" t="str">
        <f>IFERROR(SUM(SUMIFS('caseload data'!R:R,'caseload data'!$C:$C,'community %'!$T$43,'caseload data'!$D:$D,"PSO",'caseload data'!$B:$B,{"licence","community"}))/SUM(SUMIFS('caseload data'!R:R,'caseload data'!$B:$B,{"licence","community"},'caseload data'!$C:$C,'community %'!$T$43)),"")</f>
        <v/>
      </c>
      <c r="AI46" s="187" t="str">
        <f>IFERROR(SUM(SUMIFS('caseload data'!S:S,'caseload data'!$C:$C,'community %'!$T$43,'caseload data'!$D:$D,"PSO",'caseload data'!$B:$B,{"licence","community"}))/SUM(SUMIFS('caseload data'!S:S,'caseload data'!$B:$B,{"licence","community"},'caseload data'!$C:$C,'community %'!$T$43)),"")</f>
        <v/>
      </c>
      <c r="AJ46" s="187" t="str">
        <f>IFERROR(SUM(SUMIFS('caseload data'!T:T,'caseload data'!$C:$C,'community %'!$T$43,'caseload data'!$D:$D,"PSO",'caseload data'!$B:$B,{"licence","community"}))/SUM(SUMIFS('caseload data'!T:T,'caseload data'!$B:$B,{"licence","community"},'caseload data'!$C:$C,'community %'!$T$43)),"")</f>
        <v/>
      </c>
    </row>
    <row r="47" spans="2:36" x14ac:dyDescent="0.15">
      <c r="B47" s="110" t="s">
        <v>1039</v>
      </c>
      <c r="C47" s="187" t="str">
        <f>IFERROR(SUM(SUMIFS('caseload data'!E:E,'caseload data'!$C:$C,'community %'!$B$43,'caseload data'!$D:$D,"TPO",'caseload data'!$B:$B,{"licence","community"}))/SUM(SUMIFS('caseload data'!E:E,'caseload data'!$B:$B,{"licence","community"},'caseload data'!$C:$C,'community %'!$B$43)),"")</f>
        <v/>
      </c>
      <c r="D47" s="187" t="str">
        <f>IFERROR(SUM(SUMIFS('caseload data'!F:F,'caseload data'!$C:$C,'community %'!$B$43,'caseload data'!$D:$D,"TPO",'caseload data'!$B:$B,{"licence","community"}))/SUM(SUMIFS('caseload data'!F:F,'caseload data'!$B:$B,{"licence","community"},'caseload data'!$C:$C,'community %'!$B$43)),"")</f>
        <v/>
      </c>
      <c r="E47" s="187" t="str">
        <f>IFERROR(SUM(SUMIFS('caseload data'!G:G,'caseload data'!$C:$C,'community %'!$B$43,'caseload data'!$D:$D,"TPO",'caseload data'!$B:$B,{"licence","community"}))/SUM(SUMIFS('caseload data'!G:G,'caseload data'!$B:$B,{"licence","community"},'caseload data'!$C:$C,'community %'!$B$43)),"")</f>
        <v/>
      </c>
      <c r="F47" s="187" t="str">
        <f>IFERROR(SUM(SUMIFS('caseload data'!H:H,'caseload data'!$C:$C,'community %'!$B$43,'caseload data'!$D:$D,"TPO",'caseload data'!$B:$B,{"licence","community"}))/SUM(SUMIFS('caseload data'!H:H,'caseload data'!$B:$B,{"licence","community"},'caseload data'!$C:$C,'community %'!$B$43)),"")</f>
        <v/>
      </c>
      <c r="G47" s="187" t="str">
        <f>IFERROR(SUM(SUMIFS('caseload data'!I:I,'caseload data'!$C:$C,'community %'!$B$43,'caseload data'!$D:$D,"TPO",'caseload data'!$B:$B,{"licence","community"}))/SUM(SUMIFS('caseload data'!I:I,'caseload data'!$B:$B,{"licence","community"},'caseload data'!$C:$C,'community %'!$B$43)),"")</f>
        <v/>
      </c>
      <c r="H47" s="187" t="str">
        <f>IFERROR(SUM(SUMIFS('caseload data'!J:J,'caseload data'!$C:$C,'community %'!$B$43,'caseload data'!$D:$D,"TPO",'caseload data'!$B:$B,{"licence","community"}))/SUM(SUMIFS('caseload data'!J:J,'caseload data'!$B:$B,{"licence","community"},'caseload data'!$C:$C,'community %'!$B$43)),"")</f>
        <v/>
      </c>
      <c r="I47" s="187" t="str">
        <f>IFERROR(SUM(SUMIFS('caseload data'!K:K,'caseload data'!$C:$C,'community %'!$B$43,'caseload data'!$D:$D,"TPO",'caseload data'!$B:$B,{"licence","community"}))/SUM(SUMIFS('caseload data'!K:K,'caseload data'!$B:$B,{"licence","community"},'caseload data'!$C:$C,'community %'!$B$43)),"")</f>
        <v/>
      </c>
      <c r="J47" s="187" t="str">
        <f>IFERROR(SUM(SUMIFS('caseload data'!L:L,'caseload data'!$C:$C,'community %'!$B$43,'caseload data'!$D:$D,"TPO",'caseload data'!$B:$B,{"licence","community"}))/SUM(SUMIFS('caseload data'!L:L,'caseload data'!$B:$B,{"licence","community"},'caseload data'!$C:$C,'community %'!$B$43)),"")</f>
        <v/>
      </c>
      <c r="K47" s="187" t="str">
        <f>IFERROR(SUM(SUMIFS('caseload data'!M:M,'caseload data'!$C:$C,'community %'!$B$43,'caseload data'!$D:$D,"TPO",'caseload data'!$B:$B,{"licence","community"}))/SUM(SUMIFS('caseload data'!M:M,'caseload data'!$B:$B,{"licence","community"},'caseload data'!$C:$C,'community %'!$B$43)),"")</f>
        <v/>
      </c>
      <c r="L47" s="187" t="str">
        <f>IFERROR(SUM(SUMIFS('caseload data'!N:N,'caseload data'!$C:$C,'community %'!$B$43,'caseload data'!$D:$D,"TPO",'caseload data'!$B:$B,{"licence","community"}))/SUM(SUMIFS('caseload data'!N:N,'caseload data'!$B:$B,{"licence","community"},'caseload data'!$C:$C,'community %'!$B$43)),"")</f>
        <v/>
      </c>
      <c r="M47" s="187" t="str">
        <f>IFERROR(SUM(SUMIFS('caseload data'!O:O,'caseload data'!$C:$C,'community %'!$B$43,'caseload data'!$D:$D,"TPO",'caseload data'!$B:$B,{"licence","community"}))/SUM(SUMIFS('caseload data'!O:O,'caseload data'!$B:$B,{"licence","community"},'caseload data'!$C:$C,'community %'!$B$43)),"")</f>
        <v/>
      </c>
      <c r="N47" s="187" t="str">
        <f>IFERROR(SUM(SUMIFS('caseload data'!P:P,'caseload data'!$C:$C,'community %'!$B$43,'caseload data'!$D:$D,"TPO",'caseload data'!$B:$B,{"licence","community"}))/SUM(SUMIFS('caseload data'!P:P,'caseload data'!$B:$B,{"licence","community"},'caseload data'!$C:$C,'community %'!$B$43)),"")</f>
        <v/>
      </c>
      <c r="O47" s="187" t="str">
        <f>IFERROR(SUM(SUMIFS('caseload data'!Q:Q,'caseload data'!$C:$C,'community %'!$B$43,'caseload data'!$D:$D,"TPO",'caseload data'!$B:$B,{"licence","community"}))/SUM(SUMIFS('caseload data'!Q:Q,'caseload data'!$B:$B,{"licence","community"},'caseload data'!$C:$C,'community %'!$B$43)),"")</f>
        <v/>
      </c>
      <c r="P47" s="187" t="str">
        <f>IFERROR(SUM(SUMIFS('caseload data'!R:R,'caseload data'!$C:$C,'community %'!$B$43,'caseload data'!$D:$D,"TPO",'caseload data'!$B:$B,{"licence","community"}))/SUM(SUMIFS('caseload data'!R:R,'caseload data'!$B:$B,{"licence","community"},'caseload data'!$C:$C,'community %'!$B$43)),"")</f>
        <v/>
      </c>
      <c r="Q47" s="187" t="str">
        <f>IFERROR(SUM(SUMIFS('caseload data'!S:S,'caseload data'!$C:$C,'community %'!$B$43,'caseload data'!$D:$D,"TPO",'caseload data'!$B:$B,{"licence","community"}))/SUM(SUMIFS('caseload data'!S:S,'caseload data'!$B:$B,{"licence","community"},'caseload data'!$C:$C,'community %'!$B$43)),"")</f>
        <v/>
      </c>
      <c r="R47" s="187" t="str">
        <f>IFERROR(SUM(SUMIFS('caseload data'!T:T,'caseload data'!$C:$C,'community %'!$B$43,'caseload data'!$D:$D,"TPO",'caseload data'!$B:$B,{"licence","community"}))/SUM(SUMIFS('caseload data'!T:T,'caseload data'!$B:$B,{"licence","community"},'caseload data'!$C:$C,'community %'!$B$43)),"")</f>
        <v/>
      </c>
      <c r="S47" s="76"/>
      <c r="T47" s="110" t="s">
        <v>1039</v>
      </c>
      <c r="U47" s="187" t="str">
        <f>IFERROR(SUM(SUMIFS('caseload data'!E:E,'caseload data'!$C:$C,'community %'!$T$43,'caseload data'!$D:$D,"TPO",'caseload data'!$B:$B,{"licence","community"}))/SUM(SUMIFS('caseload data'!E:E,'caseload data'!$B:$B,{"licence","community"},'caseload data'!$C:$C,'community %'!$T$43)),"")</f>
        <v/>
      </c>
      <c r="V47" s="187" t="str">
        <f>IFERROR(SUM(SUMIFS('caseload data'!F:F,'caseload data'!$C:$C,'community %'!$T$43,'caseload data'!$D:$D,"TPO",'caseload data'!$B:$B,{"licence","community"}))/SUM(SUMIFS('caseload data'!F:F,'caseload data'!$B:$B,{"licence","community"},'caseload data'!$C:$C,'community %'!$T$43)),"")</f>
        <v/>
      </c>
      <c r="W47" s="187" t="str">
        <f>IFERROR(SUM(SUMIFS('caseload data'!G:G,'caseload data'!$C:$C,'community %'!$T$43,'caseload data'!$D:$D,"TPO",'caseload data'!$B:$B,{"licence","community"}))/SUM(SUMIFS('caseload data'!G:G,'caseload data'!$B:$B,{"licence","community"},'caseload data'!$C:$C,'community %'!$T$43)),"")</f>
        <v/>
      </c>
      <c r="X47" s="187" t="str">
        <f>IFERROR(SUM(SUMIFS('caseload data'!H:H,'caseload data'!$C:$C,'community %'!$T$43,'caseload data'!$D:$D,"TPO",'caseload data'!$B:$B,{"licence","community"}))/SUM(SUMIFS('caseload data'!H:H,'caseload data'!$B:$B,{"licence","community"},'caseload data'!$C:$C,'community %'!$T$43)),"")</f>
        <v/>
      </c>
      <c r="Y47" s="187" t="str">
        <f>IFERROR(SUM(SUMIFS('caseload data'!I:I,'caseload data'!$C:$C,'community %'!$T$43,'caseload data'!$D:$D,"TPO",'caseload data'!$B:$B,{"licence","community"}))/SUM(SUMIFS('caseload data'!I:I,'caseload data'!$B:$B,{"licence","community"},'caseload data'!$C:$C,'community %'!$T$43)),"")</f>
        <v/>
      </c>
      <c r="Z47" s="187" t="str">
        <f>IFERROR(SUM(SUMIFS('caseload data'!J:J,'caseload data'!$C:$C,'community %'!$T$43,'caseload data'!$D:$D,"TPO",'caseload data'!$B:$B,{"licence","community"}))/SUM(SUMIFS('caseload data'!J:J,'caseload data'!$B:$B,{"licence","community"},'caseload data'!$C:$C,'community %'!$T$43)),"")</f>
        <v/>
      </c>
      <c r="AA47" s="187" t="str">
        <f>IFERROR(SUM(SUMIFS('caseload data'!K:K,'caseload data'!$C:$C,'community %'!$T$43,'caseload data'!$D:$D,"TPO",'caseload data'!$B:$B,{"licence","community"}))/SUM(SUMIFS('caseload data'!K:K,'caseload data'!$B:$B,{"licence","community"},'caseload data'!$C:$C,'community %'!$T$43)),"")</f>
        <v/>
      </c>
      <c r="AB47" s="187" t="str">
        <f>IFERROR(SUM(SUMIFS('caseload data'!L:L,'caseload data'!$C:$C,'community %'!$T$43,'caseload data'!$D:$D,"TPO",'caseload data'!$B:$B,{"licence","community"}))/SUM(SUMIFS('caseload data'!L:L,'caseload data'!$B:$B,{"licence","community"},'caseload data'!$C:$C,'community %'!$T$43)),"")</f>
        <v/>
      </c>
      <c r="AC47" s="187" t="str">
        <f>IFERROR(SUM(SUMIFS('caseload data'!M:M,'caseload data'!$C:$C,'community %'!$T$43,'caseload data'!$D:$D,"TPO",'caseload data'!$B:$B,{"licence","community"}))/SUM(SUMIFS('caseload data'!M:M,'caseload data'!$B:$B,{"licence","community"},'caseload data'!$C:$C,'community %'!$T$43)),"")</f>
        <v/>
      </c>
      <c r="AD47" s="187" t="str">
        <f>IFERROR(SUM(SUMIFS('caseload data'!N:N,'caseload data'!$C:$C,'community %'!$T$43,'caseload data'!$D:$D,"TPO",'caseload data'!$B:$B,{"licence","community"}))/SUM(SUMIFS('caseload data'!N:N,'caseload data'!$B:$B,{"licence","community"},'caseload data'!$C:$C,'community %'!$T$43)),"")</f>
        <v/>
      </c>
      <c r="AE47" s="187" t="str">
        <f>IFERROR(SUM(SUMIFS('caseload data'!O:O,'caseload data'!$C:$C,'community %'!$T$43,'caseload data'!$D:$D,"TPO",'caseload data'!$B:$B,{"licence","community"}))/SUM(SUMIFS('caseload data'!O:O,'caseload data'!$B:$B,{"licence","community"},'caseload data'!$C:$C,'community %'!$T$43)),"")</f>
        <v/>
      </c>
      <c r="AF47" s="187" t="str">
        <f>IFERROR(SUM(SUMIFS('caseload data'!P:P,'caseload data'!$C:$C,'community %'!$T$43,'caseload data'!$D:$D,"TPO",'caseload data'!$B:$B,{"licence","community"}))/SUM(SUMIFS('caseload data'!P:P,'caseload data'!$B:$B,{"licence","community"},'caseload data'!$C:$C,'community %'!$T$43)),"")</f>
        <v/>
      </c>
      <c r="AG47" s="187" t="str">
        <f>IFERROR(SUM(SUMIFS('caseload data'!Q:Q,'caseload data'!$C:$C,'community %'!$T$43,'caseload data'!$D:$D,"TPO",'caseload data'!$B:$B,{"licence","community"}))/SUM(SUMIFS('caseload data'!Q:Q,'caseload data'!$B:$B,{"licence","community"},'caseload data'!$C:$C,'community %'!$T$43)),"")</f>
        <v/>
      </c>
      <c r="AH47" s="187" t="str">
        <f>IFERROR(SUM(SUMIFS('caseload data'!R:R,'caseload data'!$C:$C,'community %'!$T$43,'caseload data'!$D:$D,"TPO",'caseload data'!$B:$B,{"licence","community"}))/SUM(SUMIFS('caseload data'!R:R,'caseload data'!$B:$B,{"licence","community"},'caseload data'!$C:$C,'community %'!$T$43)),"")</f>
        <v/>
      </c>
      <c r="AI47" s="187" t="str">
        <f>IFERROR(SUM(SUMIFS('caseload data'!S:S,'caseload data'!$C:$C,'community %'!$T$43,'caseload data'!$D:$D,"TPO",'caseload data'!$B:$B,{"licence","community"}))/SUM(SUMIFS('caseload data'!S:S,'caseload data'!$B:$B,{"licence","community"},'caseload data'!$C:$C,'community %'!$T$43)),"")</f>
        <v/>
      </c>
      <c r="AJ47" s="187" t="str">
        <f>IFERROR(SUM(SUMIFS('caseload data'!T:T,'caseload data'!$C:$C,'community %'!$T$43,'caseload data'!$D:$D,"TPO",'caseload data'!$B:$B,{"licence","community"}))/SUM(SUMIFS('caseload data'!T:T,'caseload data'!$B:$B,{"licence","community"},'caseload data'!$C:$C,'community %'!$T$43)),"")</f>
        <v/>
      </c>
    </row>
    <row r="48" spans="2:36" x14ac:dyDescent="0.15">
      <c r="B48" s="111" t="s">
        <v>1040</v>
      </c>
      <c r="C48" s="187" t="str">
        <f>IFERROR(SUM(SUMIFS('caseload data'!E:E,'caseload data'!$C:$C,'community %'!$B$43,'caseload data'!$D:$D,"SPO",'caseload data'!$B:$B,{"licence","community"}))/SUM(SUMIFS('caseload data'!E:E,'caseload data'!$B:$B,{"licence","community"},'caseload data'!$C:$C,'community %'!$B$43)),"")</f>
        <v/>
      </c>
      <c r="D48" s="187" t="str">
        <f>IFERROR(SUM(SUMIFS('caseload data'!F:F,'caseload data'!$C:$C,'community %'!$B$43,'caseload data'!$D:$D,"SPO",'caseload data'!$B:$B,{"licence","community"}))/SUM(SUMIFS('caseload data'!F:F,'caseload data'!$B:$B,{"licence","community"},'caseload data'!$C:$C,'community %'!$B$43)),"")</f>
        <v/>
      </c>
      <c r="E48" s="187" t="str">
        <f>IFERROR(SUM(SUMIFS('caseload data'!G:G,'caseload data'!$C:$C,'community %'!$B$43,'caseload data'!$D:$D,"SPO",'caseload data'!$B:$B,{"licence","community"}))/SUM(SUMIFS('caseload data'!G:G,'caseload data'!$B:$B,{"licence","community"},'caseload data'!$C:$C,'community %'!$B$43)),"")</f>
        <v/>
      </c>
      <c r="F48" s="187" t="str">
        <f>IFERROR(SUM(SUMIFS('caseload data'!H:H,'caseload data'!$C:$C,'community %'!$B$43,'caseload data'!$D:$D,"SPO",'caseload data'!$B:$B,{"licence","community"}))/SUM(SUMIFS('caseload data'!H:H,'caseload data'!$B:$B,{"licence","community"},'caseload data'!$C:$C,'community %'!$B$43)),"")</f>
        <v/>
      </c>
      <c r="G48" s="187" t="str">
        <f>IFERROR(SUM(SUMIFS('caseload data'!I:I,'caseload data'!$C:$C,'community %'!$B$43,'caseload data'!$D:$D,"SPO",'caseload data'!$B:$B,{"licence","community"}))/SUM(SUMIFS('caseload data'!I:I,'caseload data'!$B:$B,{"licence","community"},'caseload data'!$C:$C,'community %'!$B$43)),"")</f>
        <v/>
      </c>
      <c r="H48" s="187" t="str">
        <f>IFERROR(SUM(SUMIFS('caseload data'!J:J,'caseload data'!$C:$C,'community %'!$B$43,'caseload data'!$D:$D,"SPO",'caseload data'!$B:$B,{"licence","community"}))/SUM(SUMIFS('caseload data'!J:J,'caseload data'!$B:$B,{"licence","community"},'caseload data'!$C:$C,'community %'!$B$43)),"")</f>
        <v/>
      </c>
      <c r="I48" s="187" t="str">
        <f>IFERROR(SUM(SUMIFS('caseload data'!K:K,'caseload data'!$C:$C,'community %'!$B$43,'caseload data'!$D:$D,"SPO",'caseload data'!$B:$B,{"licence","community"}))/SUM(SUMIFS('caseload data'!K:K,'caseload data'!$B:$B,{"licence","community"},'caseload data'!$C:$C,'community %'!$B$43)),"")</f>
        <v/>
      </c>
      <c r="J48" s="187" t="str">
        <f>IFERROR(SUM(SUMIFS('caseload data'!L:L,'caseload data'!$C:$C,'community %'!$B$43,'caseload data'!$D:$D,"SPO",'caseload data'!$B:$B,{"licence","community"}))/SUM(SUMIFS('caseload data'!L:L,'caseload data'!$B:$B,{"licence","community"},'caseload data'!$C:$C,'community %'!$B$43)),"")</f>
        <v/>
      </c>
      <c r="K48" s="187" t="str">
        <f>IFERROR(SUM(SUMIFS('caseload data'!M:M,'caseload data'!$C:$C,'community %'!$B$43,'caseload data'!$D:$D,"SPO",'caseload data'!$B:$B,{"licence","community"}))/SUM(SUMIFS('caseload data'!M:M,'caseload data'!$B:$B,{"licence","community"},'caseload data'!$C:$C,'community %'!$B$43)),"")</f>
        <v/>
      </c>
      <c r="L48" s="187" t="str">
        <f>IFERROR(SUM(SUMIFS('caseload data'!N:N,'caseload data'!$C:$C,'community %'!$B$43,'caseload data'!$D:$D,"SPO",'caseload data'!$B:$B,{"licence","community"}))/SUM(SUMIFS('caseload data'!N:N,'caseload data'!$B:$B,{"licence","community"},'caseload data'!$C:$C,'community %'!$B$43)),"")</f>
        <v/>
      </c>
      <c r="M48" s="187" t="str">
        <f>IFERROR(SUM(SUMIFS('caseload data'!O:O,'caseload data'!$C:$C,'community %'!$B$43,'caseload data'!$D:$D,"SPO",'caseload data'!$B:$B,{"licence","community"}))/SUM(SUMIFS('caseload data'!O:O,'caseload data'!$B:$B,{"licence","community"},'caseload data'!$C:$C,'community %'!$B$43)),"")</f>
        <v/>
      </c>
      <c r="N48" s="187" t="str">
        <f>IFERROR(SUM(SUMIFS('caseload data'!P:P,'caseload data'!$C:$C,'community %'!$B$43,'caseload data'!$D:$D,"SPO",'caseload data'!$B:$B,{"licence","community"}))/SUM(SUMIFS('caseload data'!P:P,'caseload data'!$B:$B,{"licence","community"},'caseload data'!$C:$C,'community %'!$B$43)),"")</f>
        <v/>
      </c>
      <c r="O48" s="187" t="str">
        <f>IFERROR(SUM(SUMIFS('caseload data'!Q:Q,'caseload data'!$C:$C,'community %'!$B$43,'caseload data'!$D:$D,"SPO",'caseload data'!$B:$B,{"licence","community"}))/SUM(SUMIFS('caseload data'!Q:Q,'caseload data'!$B:$B,{"licence","community"},'caseload data'!$C:$C,'community %'!$B$43)),"")</f>
        <v/>
      </c>
      <c r="P48" s="187" t="str">
        <f>IFERROR(SUM(SUMIFS('caseload data'!R:R,'caseload data'!$C:$C,'community %'!$B$43,'caseload data'!$D:$D,"SPO",'caseload data'!$B:$B,{"licence","community"}))/SUM(SUMIFS('caseload data'!R:R,'caseload data'!$B:$B,{"licence","community"},'caseload data'!$C:$C,'community %'!$B$43)),"")</f>
        <v/>
      </c>
      <c r="Q48" s="187" t="str">
        <f>IFERROR(SUM(SUMIFS('caseload data'!S:S,'caseload data'!$C:$C,'community %'!$B$43,'caseload data'!$D:$D,"SPO",'caseload data'!$B:$B,{"licence","community"}))/SUM(SUMIFS('caseload data'!S:S,'caseload data'!$B:$B,{"licence","community"},'caseload data'!$C:$C,'community %'!$B$43)),"")</f>
        <v/>
      </c>
      <c r="R48" s="187" t="str">
        <f>IFERROR(SUM(SUMIFS('caseload data'!T:T,'caseload data'!$C:$C,'community %'!$B$43,'caseload data'!$D:$D,"SPO",'caseload data'!$B:$B,{"licence","community"}))/SUM(SUMIFS('caseload data'!T:T,'caseload data'!$B:$B,{"licence","community"},'caseload data'!$C:$C,'community %'!$B$43)),"")</f>
        <v/>
      </c>
      <c r="S48" s="76"/>
      <c r="T48" s="111" t="s">
        <v>1040</v>
      </c>
      <c r="U48" s="187" t="str">
        <f>IFERROR(SUM(SUMIFS('caseload data'!E:E,'caseload data'!$C:$C,'community %'!$T$43,'caseload data'!$D:$D,"SPO",'caseload data'!$B:$B,{"licence","community"}))/SUM(SUMIFS('caseload data'!E:E,'caseload data'!$B:$B,{"licence","community"},'caseload data'!$C:$C,'community %'!$T$43)),"")</f>
        <v/>
      </c>
      <c r="V48" s="187" t="str">
        <f>IFERROR(SUM(SUMIFS('caseload data'!F:F,'caseload data'!$C:$C,'community %'!$T$43,'caseload data'!$D:$D,"SPO",'caseload data'!$B:$B,{"licence","community"}))/SUM(SUMIFS('caseload data'!F:F,'caseload data'!$B:$B,{"licence","community"},'caseload data'!$C:$C,'community %'!$T$43)),"")</f>
        <v/>
      </c>
      <c r="W48" s="187" t="str">
        <f>IFERROR(SUM(SUMIFS('caseload data'!G:G,'caseload data'!$C:$C,'community %'!$T$43,'caseload data'!$D:$D,"SPO",'caseload data'!$B:$B,{"licence","community"}))/SUM(SUMIFS('caseload data'!G:G,'caseload data'!$B:$B,{"licence","community"},'caseload data'!$C:$C,'community %'!$T$43)),"")</f>
        <v/>
      </c>
      <c r="X48" s="187" t="str">
        <f>IFERROR(SUM(SUMIFS('caseload data'!H:H,'caseload data'!$C:$C,'community %'!$T$43,'caseload data'!$D:$D,"SPO",'caseload data'!$B:$B,{"licence","community"}))/SUM(SUMIFS('caseload data'!H:H,'caseload data'!$B:$B,{"licence","community"},'caseload data'!$C:$C,'community %'!$T$43)),"")</f>
        <v/>
      </c>
      <c r="Y48" s="187" t="str">
        <f>IFERROR(SUM(SUMIFS('caseload data'!I:I,'caseload data'!$C:$C,'community %'!$T$43,'caseload data'!$D:$D,"SPO",'caseload data'!$B:$B,{"licence","community"}))/SUM(SUMIFS('caseload data'!I:I,'caseload data'!$B:$B,{"licence","community"},'caseload data'!$C:$C,'community %'!$T$43)),"")</f>
        <v/>
      </c>
      <c r="Z48" s="187" t="str">
        <f>IFERROR(SUM(SUMIFS('caseload data'!J:J,'caseload data'!$C:$C,'community %'!$T$43,'caseload data'!$D:$D,"SPO",'caseload data'!$B:$B,{"licence","community"}))/SUM(SUMIFS('caseload data'!J:J,'caseload data'!$B:$B,{"licence","community"},'caseload data'!$C:$C,'community %'!$T$43)),"")</f>
        <v/>
      </c>
      <c r="AA48" s="187" t="str">
        <f>IFERROR(SUM(SUMIFS('caseload data'!K:K,'caseload data'!$C:$C,'community %'!$T$43,'caseload data'!$D:$D,"SPO",'caseload data'!$B:$B,{"licence","community"}))/SUM(SUMIFS('caseload data'!K:K,'caseload data'!$B:$B,{"licence","community"},'caseload data'!$C:$C,'community %'!$T$43)),"")</f>
        <v/>
      </c>
      <c r="AB48" s="187" t="str">
        <f>IFERROR(SUM(SUMIFS('caseload data'!L:L,'caseload data'!$C:$C,'community %'!$T$43,'caseload data'!$D:$D,"SPO",'caseload data'!$B:$B,{"licence","community"}))/SUM(SUMIFS('caseload data'!L:L,'caseload data'!$B:$B,{"licence","community"},'caseload data'!$C:$C,'community %'!$T$43)),"")</f>
        <v/>
      </c>
      <c r="AC48" s="187" t="str">
        <f>IFERROR(SUM(SUMIFS('caseload data'!M:M,'caseload data'!$C:$C,'community %'!$T$43,'caseload data'!$D:$D,"SPO",'caseload data'!$B:$B,{"licence","community"}))/SUM(SUMIFS('caseload data'!M:M,'caseload data'!$B:$B,{"licence","community"},'caseload data'!$C:$C,'community %'!$T$43)),"")</f>
        <v/>
      </c>
      <c r="AD48" s="187" t="str">
        <f>IFERROR(SUM(SUMIFS('caseload data'!N:N,'caseload data'!$C:$C,'community %'!$T$43,'caseload data'!$D:$D,"SPO",'caseload data'!$B:$B,{"licence","community"}))/SUM(SUMIFS('caseload data'!N:N,'caseload data'!$B:$B,{"licence","community"},'caseload data'!$C:$C,'community %'!$T$43)),"")</f>
        <v/>
      </c>
      <c r="AE48" s="187" t="str">
        <f>IFERROR(SUM(SUMIFS('caseload data'!O:O,'caseload data'!$C:$C,'community %'!$T$43,'caseload data'!$D:$D,"SPO",'caseload data'!$B:$B,{"licence","community"}))/SUM(SUMIFS('caseload data'!O:O,'caseload data'!$B:$B,{"licence","community"},'caseload data'!$C:$C,'community %'!$T$43)),"")</f>
        <v/>
      </c>
      <c r="AF48" s="187" t="str">
        <f>IFERROR(SUM(SUMIFS('caseload data'!P:P,'caseload data'!$C:$C,'community %'!$T$43,'caseload data'!$D:$D,"SPO",'caseload data'!$B:$B,{"licence","community"}))/SUM(SUMIFS('caseload data'!P:P,'caseload data'!$B:$B,{"licence","community"},'caseload data'!$C:$C,'community %'!$T$43)),"")</f>
        <v/>
      </c>
      <c r="AG48" s="187" t="str">
        <f>IFERROR(SUM(SUMIFS('caseload data'!Q:Q,'caseload data'!$C:$C,'community %'!$T$43,'caseload data'!$D:$D,"SPO",'caseload data'!$B:$B,{"licence","community"}))/SUM(SUMIFS('caseload data'!Q:Q,'caseload data'!$B:$B,{"licence","community"},'caseload data'!$C:$C,'community %'!$T$43)),"")</f>
        <v/>
      </c>
      <c r="AH48" s="187" t="str">
        <f>IFERROR(SUM(SUMIFS('caseload data'!R:R,'caseload data'!$C:$C,'community %'!$T$43,'caseload data'!$D:$D,"SPO",'caseload data'!$B:$B,{"licence","community"}))/SUM(SUMIFS('caseload data'!R:R,'caseload data'!$B:$B,{"licence","community"},'caseload data'!$C:$C,'community %'!$T$43)),"")</f>
        <v/>
      </c>
      <c r="AI48" s="187" t="str">
        <f>IFERROR(SUM(SUMIFS('caseload data'!S:S,'caseload data'!$C:$C,'community %'!$T$43,'caseload data'!$D:$D,"SPO",'caseload data'!$B:$B,{"licence","community"}))/SUM(SUMIFS('caseload data'!S:S,'caseload data'!$B:$B,{"licence","community"},'caseload data'!$C:$C,'community %'!$T$43)),"")</f>
        <v/>
      </c>
      <c r="AJ48" s="187" t="str">
        <f>IFERROR(SUM(SUMIFS('caseload data'!T:T,'caseload data'!$C:$C,'community %'!$T$43,'caseload data'!$D:$D,"SPO",'caseload data'!$B:$B,{"licence","community"}))/SUM(SUMIFS('caseload data'!T:T,'caseload data'!$B:$B,{"licence","community"},'caseload data'!$C:$C,'community %'!$T$43)),"")</f>
        <v/>
      </c>
    </row>
    <row r="49" spans="2:36" x14ac:dyDescent="0.15">
      <c r="B49" s="104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0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</row>
    <row r="50" spans="2:36" ht="44.25" customHeight="1" x14ac:dyDescent="0.15">
      <c r="B50" s="162" t="str">
        <f>HLOOKUP($B$5,Region_Table,14,0)</f>
        <v>Hammersmith, Fulham, Kensington, Chelsea and Westminster</v>
      </c>
      <c r="C50" s="333" t="s">
        <v>1269</v>
      </c>
      <c r="D50" s="334"/>
      <c r="E50" s="334"/>
      <c r="F50" s="334"/>
      <c r="G50" s="334"/>
      <c r="H50" s="334"/>
      <c r="I50" s="334"/>
      <c r="J50" s="334"/>
      <c r="K50" s="334"/>
      <c r="L50" s="334"/>
      <c r="M50" s="343"/>
      <c r="N50" s="343"/>
      <c r="O50" s="344"/>
      <c r="P50" s="337" cm="1">
        <f t="array" ref="P50">SUM(SUMIFS('caseload data'!V:V,'caseload data'!B:B,{"licence","community"},'caseload data'!$C:$C,B50))</f>
        <v>0</v>
      </c>
      <c r="Q50" s="345"/>
      <c r="R50" s="346"/>
      <c r="S50" s="76"/>
      <c r="T50" s="162" t="str">
        <f>HLOOKUP($B$5,Region_Table,15,0)</f>
        <v>Harrow and Barnet</v>
      </c>
      <c r="U50" s="333" t="s">
        <v>1269</v>
      </c>
      <c r="V50" s="334"/>
      <c r="W50" s="334"/>
      <c r="X50" s="334"/>
      <c r="Y50" s="334"/>
      <c r="Z50" s="334"/>
      <c r="AA50" s="334"/>
      <c r="AB50" s="334"/>
      <c r="AC50" s="334"/>
      <c r="AD50" s="334"/>
      <c r="AE50" s="343"/>
      <c r="AF50" s="343"/>
      <c r="AG50" s="344"/>
      <c r="AH50" s="337" cm="1">
        <f t="array" ref="AH50">SUM(SUMIFS('caseload data'!V:V,'caseload data'!B:B,{"licence","community"},'caseload data'!$C:$C,T50))</f>
        <v>0</v>
      </c>
      <c r="AI50" s="345"/>
      <c r="AJ50" s="346"/>
    </row>
    <row r="51" spans="2:36" x14ac:dyDescent="0.15">
      <c r="B51" s="108" t="s">
        <v>1199</v>
      </c>
      <c r="C51" s="42" t="s">
        <v>1019</v>
      </c>
      <c r="D51" s="42" t="s">
        <v>1020</v>
      </c>
      <c r="E51" s="42" t="s">
        <v>1021</v>
      </c>
      <c r="F51" s="42" t="s">
        <v>1022</v>
      </c>
      <c r="G51" s="42" t="s">
        <v>1023</v>
      </c>
      <c r="H51" s="42" t="s">
        <v>1024</v>
      </c>
      <c r="I51" s="42" t="s">
        <v>1025</v>
      </c>
      <c r="J51" s="42" t="s">
        <v>1026</v>
      </c>
      <c r="K51" s="42" t="s">
        <v>1027</v>
      </c>
      <c r="L51" s="42" t="s">
        <v>1028</v>
      </c>
      <c r="M51" s="42" t="s">
        <v>1029</v>
      </c>
      <c r="N51" s="42" t="s">
        <v>1030</v>
      </c>
      <c r="O51" s="42" t="s">
        <v>1031</v>
      </c>
      <c r="P51" s="42" t="s">
        <v>1032</v>
      </c>
      <c r="Q51" s="42" t="s">
        <v>1033</v>
      </c>
      <c r="R51" s="42" t="s">
        <v>1034</v>
      </c>
      <c r="S51" s="76"/>
      <c r="T51" s="108" t="s">
        <v>1199</v>
      </c>
      <c r="U51" s="42" t="s">
        <v>1019</v>
      </c>
      <c r="V51" s="42" t="s">
        <v>1020</v>
      </c>
      <c r="W51" s="42" t="s">
        <v>1021</v>
      </c>
      <c r="X51" s="42" t="s">
        <v>1022</v>
      </c>
      <c r="Y51" s="42" t="s">
        <v>1023</v>
      </c>
      <c r="Z51" s="42" t="s">
        <v>1024</v>
      </c>
      <c r="AA51" s="42" t="s">
        <v>1025</v>
      </c>
      <c r="AB51" s="42" t="s">
        <v>1026</v>
      </c>
      <c r="AC51" s="42" t="s">
        <v>1027</v>
      </c>
      <c r="AD51" s="42" t="s">
        <v>1028</v>
      </c>
      <c r="AE51" s="42" t="s">
        <v>1029</v>
      </c>
      <c r="AF51" s="42" t="s">
        <v>1030</v>
      </c>
      <c r="AG51" s="42" t="s">
        <v>1031</v>
      </c>
      <c r="AH51" s="42" t="s">
        <v>1032</v>
      </c>
      <c r="AI51" s="42" t="s">
        <v>1033</v>
      </c>
      <c r="AJ51" s="42" t="s">
        <v>1034</v>
      </c>
    </row>
    <row r="52" spans="2:36" x14ac:dyDescent="0.15">
      <c r="B52" s="109" t="s">
        <v>1037</v>
      </c>
      <c r="C52" s="187" t="str">
        <f>IFERROR(SUM(SUMIFS('caseload data'!E:E,'caseload data'!$C:$C,'community %'!$B$50,'caseload data'!$D:$D,"PO",'caseload data'!$B:$B,{"licence","community"}))/SUM(SUMIFS('caseload data'!E:E,'caseload data'!$B:$B,{"licence","community"},'caseload data'!$C:$C,'community %'!$B$50)),"")</f>
        <v/>
      </c>
      <c r="D52" s="187" t="str">
        <f>IFERROR(SUM(SUMIFS('caseload data'!F:F,'caseload data'!$C:$C,'community %'!$B$50,'caseload data'!$D:$D,"PO",'caseload data'!$B:$B,{"licence","community"}))/SUM(SUMIFS('caseload data'!F:F,'caseload data'!$B:$B,{"licence","community"},'caseload data'!$C:$C,'community %'!$B$50)),"")</f>
        <v/>
      </c>
      <c r="E52" s="187" t="str">
        <f>IFERROR(SUM(SUMIFS('caseload data'!G:G,'caseload data'!$C:$C,'community %'!$B$50,'caseload data'!$D:$D,"PO",'caseload data'!$B:$B,{"licence","community"}))/SUM(SUMIFS('caseload data'!G:G,'caseload data'!$B:$B,{"licence","community"},'caseload data'!$C:$C,'community %'!$B$50)),"")</f>
        <v/>
      </c>
      <c r="F52" s="187" t="str">
        <f>IFERROR(SUM(SUMIFS('caseload data'!H:H,'caseload data'!$C:$C,'community %'!$B$50,'caseload data'!$D:$D,"PO",'caseload data'!$B:$B,{"licence","community"}))/SUM(SUMIFS('caseload data'!H:H,'caseload data'!$B:$B,{"licence","community"},'caseload data'!$C:$C,'community %'!$B$50)),"")</f>
        <v/>
      </c>
      <c r="G52" s="187" t="str">
        <f>IFERROR(SUM(SUMIFS('caseload data'!I:I,'caseload data'!$C:$C,'community %'!$B$50,'caseload data'!$D:$D,"PO",'caseload data'!$B:$B,{"licence","community"}))/SUM(SUMIFS('caseload data'!I:I,'caseload data'!$B:$B,{"licence","community"},'caseload data'!$C:$C,'community %'!$B$50)),"")</f>
        <v/>
      </c>
      <c r="H52" s="187" t="str">
        <f>IFERROR(SUM(SUMIFS('caseload data'!J:J,'caseload data'!$C:$C,'community %'!$B$50,'caseload data'!$D:$D,"PO",'caseload data'!$B:$B,{"licence","community"}))/SUM(SUMIFS('caseload data'!J:J,'caseload data'!$B:$B,{"licence","community"},'caseload data'!$C:$C,'community %'!$B$50)),"")</f>
        <v/>
      </c>
      <c r="I52" s="187" t="str">
        <f>IFERROR(SUM(SUMIFS('caseload data'!K:K,'caseload data'!$C:$C,'community %'!$B$50,'caseload data'!$D:$D,"PO",'caseload data'!$B:$B,{"licence","community"}))/SUM(SUMIFS('caseload data'!K:K,'caseload data'!$B:$B,{"licence","community"},'caseload data'!$C:$C,'community %'!$B$50)),"")</f>
        <v/>
      </c>
      <c r="J52" s="187" t="str">
        <f>IFERROR(SUM(SUMIFS('caseload data'!L:L,'caseload data'!$C:$C,'community %'!$B$50,'caseload data'!$D:$D,"PO",'caseload data'!$B:$B,{"licence","community"}))/SUM(SUMIFS('caseload data'!L:L,'caseload data'!$B:$B,{"licence","community"},'caseload data'!$C:$C,'community %'!$B$50)),"")</f>
        <v/>
      </c>
      <c r="K52" s="187" t="str">
        <f>IFERROR(SUM(SUMIFS('caseload data'!M:M,'caseload data'!$C:$C,'community %'!$B$50,'caseload data'!$D:$D,"PO",'caseload data'!$B:$B,{"licence","community"}))/SUM(SUMIFS('caseload data'!M:M,'caseload data'!$B:$B,{"licence","community"},'caseload data'!$C:$C,'community %'!$B$50)),"")</f>
        <v/>
      </c>
      <c r="L52" s="187" t="str">
        <f>IFERROR(SUM(SUMIFS('caseload data'!N:N,'caseload data'!$C:$C,'community %'!$B$50,'caseload data'!$D:$D,"PO",'caseload data'!$B:$B,{"licence","community"}))/SUM(SUMIFS('caseload data'!N:N,'caseload data'!$B:$B,{"licence","community"},'caseload data'!$C:$C,'community %'!$B$50)),"")</f>
        <v/>
      </c>
      <c r="M52" s="187" t="str">
        <f>IFERROR(SUM(SUMIFS('caseload data'!O:O,'caseload data'!$C:$C,'community %'!$B$50,'caseload data'!$D:$D,"PO",'caseload data'!$B:$B,{"licence","community"}))/SUM(SUMIFS('caseload data'!O:O,'caseload data'!$B:$B,{"licence","community"},'caseload data'!$C:$C,'community %'!$B$50)),"")</f>
        <v/>
      </c>
      <c r="N52" s="187" t="str">
        <f>IFERROR(SUM(SUMIFS('caseload data'!P:P,'caseload data'!$C:$C,'community %'!$B$50,'caseload data'!$D:$D,"PO",'caseload data'!$B:$B,{"licence","community"}))/SUM(SUMIFS('caseload data'!P:P,'caseload data'!$B:$B,{"licence","community"},'caseload data'!$C:$C,'community %'!$B$50)),"")</f>
        <v/>
      </c>
      <c r="O52" s="187" t="str">
        <f>IFERROR(SUM(SUMIFS('caseload data'!Q:Q,'caseload data'!$C:$C,'community %'!$B$50,'caseload data'!$D:$D,"PO",'caseload data'!$B:$B,{"licence","community"}))/SUM(SUMIFS('caseload data'!Q:Q,'caseload data'!$B:$B,{"licence","community"},'caseload data'!$C:$C,'community %'!$B$50)),"")</f>
        <v/>
      </c>
      <c r="P52" s="187" t="str">
        <f>IFERROR(SUM(SUMIFS('caseload data'!R:R,'caseload data'!$C:$C,'community %'!$B$50,'caseload data'!$D:$D,"PO",'caseload data'!$B:$B,{"licence","community"}))/SUM(SUMIFS('caseload data'!R:R,'caseload data'!$B:$B,{"licence","community"},'caseload data'!$C:$C,'community %'!$B$50)),"")</f>
        <v/>
      </c>
      <c r="Q52" s="187" t="str">
        <f>IFERROR(SUM(SUMIFS('caseload data'!S:S,'caseload data'!$C:$C,'community %'!$B$50,'caseload data'!$D:$D,"PO",'caseload data'!$B:$B,{"licence","community"}))/SUM(SUMIFS('caseload data'!S:S,'caseload data'!$B:$B,{"licence","community"},'caseload data'!$C:$C,'community %'!$B$50)),"")</f>
        <v/>
      </c>
      <c r="R52" s="187" t="str">
        <f>IFERROR(SUM(SUMIFS('caseload data'!T:T,'caseload data'!$C:$C,'community %'!$B$50,'caseload data'!$D:$D,"PO",'caseload data'!$B:$B,{"licence","community"}))/SUM(SUMIFS('caseload data'!T:T,'caseload data'!$B:$B,{"licence","community"},'caseload data'!$C:$C,'community %'!$B$50)),"")</f>
        <v/>
      </c>
      <c r="S52" s="76"/>
      <c r="T52" s="109" t="s">
        <v>1037</v>
      </c>
      <c r="U52" s="187" t="str">
        <f>IFERROR(SUM(SUMIFS('caseload data'!E:E,'caseload data'!$C:$C,'community %'!$T$50,'caseload data'!$D:$D,"PO",'caseload data'!$B:$B,{"licence","community"}))/SUM(SUMIFS('caseload data'!E:E,'caseload data'!$B:$B,{"licence","community"},'caseload data'!$C:$C,'community %'!$T$50)),"")</f>
        <v/>
      </c>
      <c r="V52" s="187" t="str">
        <f>IFERROR(SUM(SUMIFS('caseload data'!F:F,'caseload data'!$C:$C,'community %'!$T$50,'caseload data'!$D:$D,"PO",'caseload data'!$B:$B,{"licence","community"}))/SUM(SUMIFS('caseload data'!F:F,'caseload data'!$B:$B,{"licence","community"},'caseload data'!$C:$C,'community %'!$T$50)),"")</f>
        <v/>
      </c>
      <c r="W52" s="187" t="str">
        <f>IFERROR(SUM(SUMIFS('caseload data'!G:G,'caseload data'!$C:$C,'community %'!$T$50,'caseload data'!$D:$D,"PO",'caseload data'!$B:$B,{"licence","community"}))/SUM(SUMIFS('caseload data'!G:G,'caseload data'!$B:$B,{"licence","community"},'caseload data'!$C:$C,'community %'!$T$50)),"")</f>
        <v/>
      </c>
      <c r="X52" s="187" t="str">
        <f>IFERROR(SUM(SUMIFS('caseload data'!H:H,'caseload data'!$C:$C,'community %'!$T$50,'caseload data'!$D:$D,"PO",'caseload data'!$B:$B,{"licence","community"}))/SUM(SUMIFS('caseload data'!H:H,'caseload data'!$B:$B,{"licence","community"},'caseload data'!$C:$C,'community %'!$T$50)),"")</f>
        <v/>
      </c>
      <c r="Y52" s="187" t="str">
        <f>IFERROR(SUM(SUMIFS('caseload data'!I:I,'caseload data'!$C:$C,'community %'!$T$50,'caseload data'!$D:$D,"PO",'caseload data'!$B:$B,{"licence","community"}))/SUM(SUMIFS('caseload data'!I:I,'caseload data'!$B:$B,{"licence","community"},'caseload data'!$C:$C,'community %'!$T$50)),"")</f>
        <v/>
      </c>
      <c r="Z52" s="187" t="str">
        <f>IFERROR(SUM(SUMIFS('caseload data'!J:J,'caseload data'!$C:$C,'community %'!$T$50,'caseload data'!$D:$D,"PO",'caseload data'!$B:$B,{"licence","community"}))/SUM(SUMIFS('caseload data'!J:J,'caseload data'!$B:$B,{"licence","community"},'caseload data'!$C:$C,'community %'!$T$50)),"")</f>
        <v/>
      </c>
      <c r="AA52" s="187" t="str">
        <f>IFERROR(SUM(SUMIFS('caseload data'!K:K,'caseload data'!$C:$C,'community %'!$T$50,'caseload data'!$D:$D,"PO",'caseload data'!$B:$B,{"licence","community"}))/SUM(SUMIFS('caseload data'!K:K,'caseload data'!$B:$B,{"licence","community"},'caseload data'!$C:$C,'community %'!$T$50)),"")</f>
        <v/>
      </c>
      <c r="AB52" s="187" t="str">
        <f>IFERROR(SUM(SUMIFS('caseload data'!L:L,'caseload data'!$C:$C,'community %'!$T$50,'caseload data'!$D:$D,"PO",'caseload data'!$B:$B,{"licence","community"}))/SUM(SUMIFS('caseload data'!L:L,'caseload data'!$B:$B,{"licence","community"},'caseload data'!$C:$C,'community %'!$T$50)),"")</f>
        <v/>
      </c>
      <c r="AC52" s="187" t="str">
        <f>IFERROR(SUM(SUMIFS('caseload data'!M:M,'caseload data'!$C:$C,'community %'!$T$50,'caseload data'!$D:$D,"PO",'caseload data'!$B:$B,{"licence","community"}))/SUM(SUMIFS('caseload data'!M:M,'caseload data'!$B:$B,{"licence","community"},'caseload data'!$C:$C,'community %'!$T$50)),"")</f>
        <v/>
      </c>
      <c r="AD52" s="187" t="str">
        <f>IFERROR(SUM(SUMIFS('caseload data'!N:N,'caseload data'!$C:$C,'community %'!$T$50,'caseload data'!$D:$D,"PO",'caseload data'!$B:$B,{"licence","community"}))/SUM(SUMIFS('caseload data'!N:N,'caseload data'!$B:$B,{"licence","community"},'caseload data'!$C:$C,'community %'!$T$50)),"")</f>
        <v/>
      </c>
      <c r="AE52" s="187" t="str">
        <f>IFERROR(SUM(SUMIFS('caseload data'!O:O,'caseload data'!$C:$C,'community %'!$T$50,'caseload data'!$D:$D,"PO",'caseload data'!$B:$B,{"licence","community"}))/SUM(SUMIFS('caseload data'!O:O,'caseload data'!$B:$B,{"licence","community"},'caseload data'!$C:$C,'community %'!$T$50)),"")</f>
        <v/>
      </c>
      <c r="AF52" s="187" t="str">
        <f>IFERROR(SUM(SUMIFS('caseload data'!P:P,'caseload data'!$C:$C,'community %'!$T$50,'caseload data'!$D:$D,"PO",'caseload data'!$B:$B,{"licence","community"}))/SUM(SUMIFS('caseload data'!P:P,'caseload data'!$B:$B,{"licence","community"},'caseload data'!$C:$C,'community %'!$T$50)),"")</f>
        <v/>
      </c>
      <c r="AG52" s="187" t="str">
        <f>IFERROR(SUM(SUMIFS('caseload data'!Q:Q,'caseload data'!$C:$C,'community %'!$T$50,'caseload data'!$D:$D,"PO",'caseload data'!$B:$B,{"licence","community"}))/SUM(SUMIFS('caseload data'!Q:Q,'caseload data'!$B:$B,{"licence","community"},'caseload data'!$C:$C,'community %'!$T$50)),"")</f>
        <v/>
      </c>
      <c r="AH52" s="187" t="str">
        <f>IFERROR(SUM(SUMIFS('caseload data'!R:R,'caseload data'!$C:$C,'community %'!$T$50,'caseload data'!$D:$D,"PO",'caseload data'!$B:$B,{"licence","community"}))/SUM(SUMIFS('caseload data'!R:R,'caseload data'!$B:$B,{"licence","community"},'caseload data'!$C:$C,'community %'!$T$50)),"")</f>
        <v/>
      </c>
      <c r="AI52" s="187" t="str">
        <f>IFERROR(SUM(SUMIFS('caseload data'!S:S,'caseload data'!$C:$C,'community %'!$T$50,'caseload data'!$D:$D,"PO",'caseload data'!$B:$B,{"licence","community"}))/SUM(SUMIFS('caseload data'!S:S,'caseload data'!$B:$B,{"licence","community"},'caseload data'!$C:$C,'community %'!$T$50)),"")</f>
        <v/>
      </c>
      <c r="AJ52" s="187" t="str">
        <f>IFERROR(SUM(SUMIFS('caseload data'!T:T,'caseload data'!$C:$C,'community %'!$T$50,'caseload data'!$D:$D,"PO",'caseload data'!$B:$B,{"licence","community"}))/SUM(SUMIFS('caseload data'!T:T,'caseload data'!$B:$B,{"licence","community"},'caseload data'!$C:$C,'community %'!$T$50)),"")</f>
        <v/>
      </c>
    </row>
    <row r="53" spans="2:36" x14ac:dyDescent="0.15">
      <c r="B53" s="110" t="s">
        <v>1038</v>
      </c>
      <c r="C53" s="187" t="str">
        <f>IFERROR(SUM(SUMIFS('caseload data'!E:E,'caseload data'!$C:$C,'community %'!$B$50,'caseload data'!$D:$D,"PSO",'caseload data'!$B:$B,{"licence","community"}))/SUM(SUMIFS('caseload data'!E:E,'caseload data'!$B:$B,{"licence","community"},'caseload data'!$C:$C,'community %'!$B$50)),"")</f>
        <v/>
      </c>
      <c r="D53" s="187" t="str">
        <f>IFERROR(SUM(SUMIFS('caseload data'!F:F,'caseload data'!$C:$C,'community %'!$B$50,'caseload data'!$D:$D,"PSO",'caseload data'!$B:$B,{"licence","community"}))/SUM(SUMIFS('caseload data'!F:F,'caseload data'!$B:$B,{"licence","community"},'caseload data'!$C:$C,'community %'!$B$50)),"")</f>
        <v/>
      </c>
      <c r="E53" s="187" t="str">
        <f>IFERROR(SUM(SUMIFS('caseload data'!G:G,'caseload data'!$C:$C,'community %'!$B$50,'caseload data'!$D:$D,"PSO",'caseload data'!$B:$B,{"licence","community"}))/SUM(SUMIFS('caseload data'!G:G,'caseload data'!$B:$B,{"licence","community"},'caseload data'!$C:$C,'community %'!$B$50)),"")</f>
        <v/>
      </c>
      <c r="F53" s="187" t="str">
        <f>IFERROR(SUM(SUMIFS('caseload data'!H:H,'caseload data'!$C:$C,'community %'!$B$50,'caseload data'!$D:$D,"PSO",'caseload data'!$B:$B,{"licence","community"}))/SUM(SUMIFS('caseload data'!H:H,'caseload data'!$B:$B,{"licence","community"},'caseload data'!$C:$C,'community %'!$B$50)),"")</f>
        <v/>
      </c>
      <c r="G53" s="187" t="str">
        <f>IFERROR(SUM(SUMIFS('caseload data'!I:I,'caseload data'!$C:$C,'community %'!$B$50,'caseload data'!$D:$D,"PSO",'caseload data'!$B:$B,{"licence","community"}))/SUM(SUMIFS('caseload data'!I:I,'caseload data'!$B:$B,{"licence","community"},'caseload data'!$C:$C,'community %'!$B$50)),"")</f>
        <v/>
      </c>
      <c r="H53" s="187" t="str">
        <f>IFERROR(SUM(SUMIFS('caseload data'!J:J,'caseload data'!$C:$C,'community %'!$B$50,'caseload data'!$D:$D,"PSO",'caseload data'!$B:$B,{"licence","community"}))/SUM(SUMIFS('caseload data'!J:J,'caseload data'!$B:$B,{"licence","community"},'caseload data'!$C:$C,'community %'!$B$50)),"")</f>
        <v/>
      </c>
      <c r="I53" s="187" t="str">
        <f>IFERROR(SUM(SUMIFS('caseload data'!K:K,'caseload data'!$C:$C,'community %'!$B$50,'caseload data'!$D:$D,"PSO",'caseload data'!$B:$B,{"licence","community"}))/SUM(SUMIFS('caseload data'!K:K,'caseload data'!$B:$B,{"licence","community"},'caseload data'!$C:$C,'community %'!$B$50)),"")</f>
        <v/>
      </c>
      <c r="J53" s="187" t="str">
        <f>IFERROR(SUM(SUMIFS('caseload data'!L:L,'caseload data'!$C:$C,'community %'!$B$50,'caseload data'!$D:$D,"PSO",'caseload data'!$B:$B,{"licence","community"}))/SUM(SUMIFS('caseload data'!L:L,'caseload data'!$B:$B,{"licence","community"},'caseload data'!$C:$C,'community %'!$B$50)),"")</f>
        <v/>
      </c>
      <c r="K53" s="187" t="str">
        <f>IFERROR(SUM(SUMIFS('caseload data'!M:M,'caseload data'!$C:$C,'community %'!$B$50,'caseload data'!$D:$D,"PSO",'caseload data'!$B:$B,{"licence","community"}))/SUM(SUMIFS('caseload data'!M:M,'caseload data'!$B:$B,{"licence","community"},'caseload data'!$C:$C,'community %'!$B$50)),"")</f>
        <v/>
      </c>
      <c r="L53" s="187" t="str">
        <f>IFERROR(SUM(SUMIFS('caseload data'!N:N,'caseload data'!$C:$C,'community %'!$B$50,'caseload data'!$D:$D,"PSO",'caseload data'!$B:$B,{"licence","community"}))/SUM(SUMIFS('caseload data'!N:N,'caseload data'!$B:$B,{"licence","community"},'caseload data'!$C:$C,'community %'!$B$50)),"")</f>
        <v/>
      </c>
      <c r="M53" s="187" t="str">
        <f>IFERROR(SUM(SUMIFS('caseload data'!O:O,'caseload data'!$C:$C,'community %'!$B$50,'caseload data'!$D:$D,"PSO",'caseload data'!$B:$B,{"licence","community"}))/SUM(SUMIFS('caseload data'!O:O,'caseload data'!$B:$B,{"licence","community"},'caseload data'!$C:$C,'community %'!$B$50)),"")</f>
        <v/>
      </c>
      <c r="N53" s="187" t="str">
        <f>IFERROR(SUM(SUMIFS('caseload data'!P:P,'caseload data'!$C:$C,'community %'!$B$50,'caseload data'!$D:$D,"PSO",'caseload data'!$B:$B,{"licence","community"}))/SUM(SUMIFS('caseload data'!P:P,'caseload data'!$B:$B,{"licence","community"},'caseload data'!$C:$C,'community %'!$B$50)),"")</f>
        <v/>
      </c>
      <c r="O53" s="187" t="str">
        <f>IFERROR(SUM(SUMIFS('caseload data'!Q:Q,'caseload data'!$C:$C,'community %'!$B$50,'caseload data'!$D:$D,"PSO",'caseload data'!$B:$B,{"licence","community"}))/SUM(SUMIFS('caseload data'!Q:Q,'caseload data'!$B:$B,{"licence","community"},'caseload data'!$C:$C,'community %'!$B$50)),"")</f>
        <v/>
      </c>
      <c r="P53" s="187" t="str">
        <f>IFERROR(SUM(SUMIFS('caseload data'!R:R,'caseload data'!$C:$C,'community %'!$B$50,'caseload data'!$D:$D,"PSO",'caseload data'!$B:$B,{"licence","community"}))/SUM(SUMIFS('caseload data'!R:R,'caseload data'!$B:$B,{"licence","community"},'caseload data'!$C:$C,'community %'!$B$50)),"")</f>
        <v/>
      </c>
      <c r="Q53" s="187" t="str">
        <f>IFERROR(SUM(SUMIFS('caseload data'!S:S,'caseload data'!$C:$C,'community %'!$B$50,'caseload data'!$D:$D,"PSO",'caseload data'!$B:$B,{"licence","community"}))/SUM(SUMIFS('caseload data'!S:S,'caseload data'!$B:$B,{"licence","community"},'caseload data'!$C:$C,'community %'!$B$50)),"")</f>
        <v/>
      </c>
      <c r="R53" s="187" t="str">
        <f>IFERROR(SUM(SUMIFS('caseload data'!T:T,'caseload data'!$C:$C,'community %'!$B$50,'caseload data'!$D:$D,"PSO",'caseload data'!$B:$B,{"licence","community"}))/SUM(SUMIFS('caseload data'!T:T,'caseload data'!$B:$B,{"licence","community"},'caseload data'!$C:$C,'community %'!$B$50)),"")</f>
        <v/>
      </c>
      <c r="S53" s="76"/>
      <c r="T53" s="110" t="s">
        <v>1038</v>
      </c>
      <c r="U53" s="187" t="str">
        <f>IFERROR(SUM(SUMIFS('caseload data'!E:E,'caseload data'!$C:$C,'community %'!$T$50,'caseload data'!$D:$D,"PSO",'caseload data'!$B:$B,{"licence","community"}))/SUM(SUMIFS('caseload data'!E:E,'caseload data'!$B:$B,{"licence","community"},'caseload data'!$C:$C,'community %'!$T$50)),"")</f>
        <v/>
      </c>
      <c r="V53" s="187" t="str">
        <f>IFERROR(SUM(SUMIFS('caseload data'!F:F,'caseload data'!$C:$C,'community %'!$T$50,'caseload data'!$D:$D,"PSO",'caseload data'!$B:$B,{"licence","community"}))/SUM(SUMIFS('caseload data'!F:F,'caseload data'!$B:$B,{"licence","community"},'caseload data'!$C:$C,'community %'!$T$50)),"")</f>
        <v/>
      </c>
      <c r="W53" s="187" t="str">
        <f>IFERROR(SUM(SUMIFS('caseload data'!G:G,'caseload data'!$C:$C,'community %'!$T$50,'caseload data'!$D:$D,"PSO",'caseload data'!$B:$B,{"licence","community"}))/SUM(SUMIFS('caseload data'!G:G,'caseload data'!$B:$B,{"licence","community"},'caseload data'!$C:$C,'community %'!$T$50)),"")</f>
        <v/>
      </c>
      <c r="X53" s="187" t="str">
        <f>IFERROR(SUM(SUMIFS('caseload data'!H:H,'caseload data'!$C:$C,'community %'!$T$50,'caseload data'!$D:$D,"PSO",'caseload data'!$B:$B,{"licence","community"}))/SUM(SUMIFS('caseload data'!H:H,'caseload data'!$B:$B,{"licence","community"},'caseload data'!$C:$C,'community %'!$T$50)),"")</f>
        <v/>
      </c>
      <c r="Y53" s="187" t="str">
        <f>IFERROR(SUM(SUMIFS('caseload data'!I:I,'caseload data'!$C:$C,'community %'!$T$50,'caseload data'!$D:$D,"PSO",'caseload data'!$B:$B,{"licence","community"}))/SUM(SUMIFS('caseload data'!I:I,'caseload data'!$B:$B,{"licence","community"},'caseload data'!$C:$C,'community %'!$T$50)),"")</f>
        <v/>
      </c>
      <c r="Z53" s="187" t="str">
        <f>IFERROR(SUM(SUMIFS('caseload data'!J:J,'caseload data'!$C:$C,'community %'!$T$50,'caseload data'!$D:$D,"PSO",'caseload data'!$B:$B,{"licence","community"}))/SUM(SUMIFS('caseload data'!J:J,'caseload data'!$B:$B,{"licence","community"},'caseload data'!$C:$C,'community %'!$T$50)),"")</f>
        <v/>
      </c>
      <c r="AA53" s="187" t="str">
        <f>IFERROR(SUM(SUMIFS('caseload data'!K:K,'caseload data'!$C:$C,'community %'!$T$50,'caseload data'!$D:$D,"PSO",'caseload data'!$B:$B,{"licence","community"}))/SUM(SUMIFS('caseload data'!K:K,'caseload data'!$B:$B,{"licence","community"},'caseload data'!$C:$C,'community %'!$T$50)),"")</f>
        <v/>
      </c>
      <c r="AB53" s="187" t="str">
        <f>IFERROR(SUM(SUMIFS('caseload data'!L:L,'caseload data'!$C:$C,'community %'!$T$50,'caseload data'!$D:$D,"PSO",'caseload data'!$B:$B,{"licence","community"}))/SUM(SUMIFS('caseload data'!L:L,'caseload data'!$B:$B,{"licence","community"},'caseload data'!$C:$C,'community %'!$T$50)),"")</f>
        <v/>
      </c>
      <c r="AC53" s="187" t="str">
        <f>IFERROR(SUM(SUMIFS('caseload data'!M:M,'caseload data'!$C:$C,'community %'!$T$50,'caseload data'!$D:$D,"PSO",'caseload data'!$B:$B,{"licence","community"}))/SUM(SUMIFS('caseload data'!M:M,'caseload data'!$B:$B,{"licence","community"},'caseload data'!$C:$C,'community %'!$T$50)),"")</f>
        <v/>
      </c>
      <c r="AD53" s="187" t="str">
        <f>IFERROR(SUM(SUMIFS('caseload data'!N:N,'caseload data'!$C:$C,'community %'!$T$50,'caseload data'!$D:$D,"PSO",'caseload data'!$B:$B,{"licence","community"}))/SUM(SUMIFS('caseload data'!N:N,'caseload data'!$B:$B,{"licence","community"},'caseload data'!$C:$C,'community %'!$T$50)),"")</f>
        <v/>
      </c>
      <c r="AE53" s="187" t="str">
        <f>IFERROR(SUM(SUMIFS('caseload data'!O:O,'caseload data'!$C:$C,'community %'!$T$50,'caseload data'!$D:$D,"PSO",'caseload data'!$B:$B,{"licence","community"}))/SUM(SUMIFS('caseload data'!O:O,'caseload data'!$B:$B,{"licence","community"},'caseload data'!$C:$C,'community %'!$T$50)),"")</f>
        <v/>
      </c>
      <c r="AF53" s="187" t="str">
        <f>IFERROR(SUM(SUMIFS('caseload data'!P:P,'caseload data'!$C:$C,'community %'!$T$50,'caseload data'!$D:$D,"PSO",'caseload data'!$B:$B,{"licence","community"}))/SUM(SUMIFS('caseload data'!P:P,'caseload data'!$B:$B,{"licence","community"},'caseload data'!$C:$C,'community %'!$T$50)),"")</f>
        <v/>
      </c>
      <c r="AG53" s="187" t="str">
        <f>IFERROR(SUM(SUMIFS('caseload data'!Q:Q,'caseload data'!$C:$C,'community %'!$T$50,'caseload data'!$D:$D,"PSO",'caseload data'!$B:$B,{"licence","community"}))/SUM(SUMIFS('caseload data'!Q:Q,'caseload data'!$B:$B,{"licence","community"},'caseload data'!$C:$C,'community %'!$T$50)),"")</f>
        <v/>
      </c>
      <c r="AH53" s="187" t="str">
        <f>IFERROR(SUM(SUMIFS('caseload data'!R:R,'caseload data'!$C:$C,'community %'!$T$50,'caseload data'!$D:$D,"PSO",'caseload data'!$B:$B,{"licence","community"}))/SUM(SUMIFS('caseload data'!R:R,'caseload data'!$B:$B,{"licence","community"},'caseload data'!$C:$C,'community %'!$T$50)),"")</f>
        <v/>
      </c>
      <c r="AI53" s="187" t="str">
        <f>IFERROR(SUM(SUMIFS('caseload data'!S:S,'caseload data'!$C:$C,'community %'!$T$50,'caseload data'!$D:$D,"PSO",'caseload data'!$B:$B,{"licence","community"}))/SUM(SUMIFS('caseload data'!S:S,'caseload data'!$B:$B,{"licence","community"},'caseload data'!$C:$C,'community %'!$T$50)),"")</f>
        <v/>
      </c>
      <c r="AJ53" s="187" t="str">
        <f>IFERROR(SUM(SUMIFS('caseload data'!T:T,'caseload data'!$C:$C,'community %'!$T$50,'caseload data'!$D:$D,"PSO",'caseload data'!$B:$B,{"licence","community"}))/SUM(SUMIFS('caseload data'!T:T,'caseload data'!$B:$B,{"licence","community"},'caseload data'!$C:$C,'community %'!$T$50)),"")</f>
        <v/>
      </c>
    </row>
    <row r="54" spans="2:36" x14ac:dyDescent="0.15">
      <c r="B54" s="110" t="s">
        <v>1039</v>
      </c>
      <c r="C54" s="187" t="str">
        <f>IFERROR(SUM(SUMIFS('caseload data'!E:E,'caseload data'!$C:$C,'community %'!$B$50,'caseload data'!$D:$D,"TPO",'caseload data'!$B:$B,{"licence","community"}))/SUM(SUMIFS('caseload data'!E:E,'caseload data'!$B:$B,{"licence","community"},'caseload data'!$C:$C,'community %'!$B$50)),"")</f>
        <v/>
      </c>
      <c r="D54" s="187" t="str">
        <f>IFERROR(SUM(SUMIFS('caseload data'!F:F,'caseload data'!$C:$C,'community %'!$B$50,'caseload data'!$D:$D,"TPO",'caseload data'!$B:$B,{"licence","community"}))/SUM(SUMIFS('caseload data'!F:F,'caseload data'!$B:$B,{"licence","community"},'caseload data'!$C:$C,'community %'!$B$50)),"")</f>
        <v/>
      </c>
      <c r="E54" s="187" t="str">
        <f>IFERROR(SUM(SUMIFS('caseload data'!G:G,'caseload data'!$C:$C,'community %'!$B$50,'caseload data'!$D:$D,"TPO",'caseload data'!$B:$B,{"licence","community"}))/SUM(SUMIFS('caseload data'!G:G,'caseload data'!$B:$B,{"licence","community"},'caseload data'!$C:$C,'community %'!$B$50)),"")</f>
        <v/>
      </c>
      <c r="F54" s="187" t="str">
        <f>IFERROR(SUM(SUMIFS('caseload data'!H:H,'caseload data'!$C:$C,'community %'!$B$50,'caseload data'!$D:$D,"TPO",'caseload data'!$B:$B,{"licence","community"}))/SUM(SUMIFS('caseload data'!H:H,'caseload data'!$B:$B,{"licence","community"},'caseload data'!$C:$C,'community %'!$B$50)),"")</f>
        <v/>
      </c>
      <c r="G54" s="187" t="str">
        <f>IFERROR(SUM(SUMIFS('caseload data'!I:I,'caseload data'!$C:$C,'community %'!$B$50,'caseload data'!$D:$D,"TPO",'caseload data'!$B:$B,{"licence","community"}))/SUM(SUMIFS('caseload data'!I:I,'caseload data'!$B:$B,{"licence","community"},'caseload data'!$C:$C,'community %'!$B$50)),"")</f>
        <v/>
      </c>
      <c r="H54" s="187" t="str">
        <f>IFERROR(SUM(SUMIFS('caseload data'!J:J,'caseload data'!$C:$C,'community %'!$B$50,'caseload data'!$D:$D,"TPO",'caseload data'!$B:$B,{"licence","community"}))/SUM(SUMIFS('caseload data'!J:J,'caseload data'!$B:$B,{"licence","community"},'caseload data'!$C:$C,'community %'!$B$50)),"")</f>
        <v/>
      </c>
      <c r="I54" s="187" t="str">
        <f>IFERROR(SUM(SUMIFS('caseload data'!K:K,'caseload data'!$C:$C,'community %'!$B$50,'caseload data'!$D:$D,"TPO",'caseload data'!$B:$B,{"licence","community"}))/SUM(SUMIFS('caseload data'!K:K,'caseload data'!$B:$B,{"licence","community"},'caseload data'!$C:$C,'community %'!$B$50)),"")</f>
        <v/>
      </c>
      <c r="J54" s="187" t="str">
        <f>IFERROR(SUM(SUMIFS('caseload data'!L:L,'caseload data'!$C:$C,'community %'!$B$50,'caseload data'!$D:$D,"TPO",'caseload data'!$B:$B,{"licence","community"}))/SUM(SUMIFS('caseload data'!L:L,'caseload data'!$B:$B,{"licence","community"},'caseload data'!$C:$C,'community %'!$B$50)),"")</f>
        <v/>
      </c>
      <c r="K54" s="187" t="str">
        <f>IFERROR(SUM(SUMIFS('caseload data'!M:M,'caseload data'!$C:$C,'community %'!$B$50,'caseload data'!$D:$D,"TPO",'caseload data'!$B:$B,{"licence","community"}))/SUM(SUMIFS('caseload data'!M:M,'caseload data'!$B:$B,{"licence","community"},'caseload data'!$C:$C,'community %'!$B$50)),"")</f>
        <v/>
      </c>
      <c r="L54" s="187" t="str">
        <f>IFERROR(SUM(SUMIFS('caseload data'!N:N,'caseload data'!$C:$C,'community %'!$B$50,'caseload data'!$D:$D,"TPO",'caseload data'!$B:$B,{"licence","community"}))/SUM(SUMIFS('caseload data'!N:N,'caseload data'!$B:$B,{"licence","community"},'caseload data'!$C:$C,'community %'!$B$50)),"")</f>
        <v/>
      </c>
      <c r="M54" s="187" t="str">
        <f>IFERROR(SUM(SUMIFS('caseload data'!O:O,'caseload data'!$C:$C,'community %'!$B$50,'caseload data'!$D:$D,"TPO",'caseload data'!$B:$B,{"licence","community"}))/SUM(SUMIFS('caseload data'!O:O,'caseload data'!$B:$B,{"licence","community"},'caseload data'!$C:$C,'community %'!$B$50)),"")</f>
        <v/>
      </c>
      <c r="N54" s="187" t="str">
        <f>IFERROR(SUM(SUMIFS('caseload data'!P:P,'caseload data'!$C:$C,'community %'!$B$50,'caseload data'!$D:$D,"TPO",'caseload data'!$B:$B,{"licence","community"}))/SUM(SUMIFS('caseload data'!P:P,'caseload data'!$B:$B,{"licence","community"},'caseload data'!$C:$C,'community %'!$B$50)),"")</f>
        <v/>
      </c>
      <c r="O54" s="187" t="str">
        <f>IFERROR(SUM(SUMIFS('caseload data'!Q:Q,'caseload data'!$C:$C,'community %'!$B$50,'caseload data'!$D:$D,"TPO",'caseload data'!$B:$B,{"licence","community"}))/SUM(SUMIFS('caseload data'!Q:Q,'caseload data'!$B:$B,{"licence","community"},'caseload data'!$C:$C,'community %'!$B$50)),"")</f>
        <v/>
      </c>
      <c r="P54" s="187" t="str">
        <f>IFERROR(SUM(SUMIFS('caseload data'!R:R,'caseload data'!$C:$C,'community %'!$B$50,'caseload data'!$D:$D,"TPO",'caseload data'!$B:$B,{"licence","community"}))/SUM(SUMIFS('caseload data'!R:R,'caseload data'!$B:$B,{"licence","community"},'caseload data'!$C:$C,'community %'!$B$50)),"")</f>
        <v/>
      </c>
      <c r="Q54" s="187" t="str">
        <f>IFERROR(SUM(SUMIFS('caseload data'!S:S,'caseload data'!$C:$C,'community %'!$B$50,'caseload data'!$D:$D,"TPO",'caseload data'!$B:$B,{"licence","community"}))/SUM(SUMIFS('caseload data'!S:S,'caseload data'!$B:$B,{"licence","community"},'caseload data'!$C:$C,'community %'!$B$50)),"")</f>
        <v/>
      </c>
      <c r="R54" s="187" t="str">
        <f>IFERROR(SUM(SUMIFS('caseload data'!T:T,'caseload data'!$C:$C,'community %'!$B$50,'caseload data'!$D:$D,"TPO",'caseload data'!$B:$B,{"licence","community"}))/SUM(SUMIFS('caseload data'!T:T,'caseload data'!$B:$B,{"licence","community"},'caseload data'!$C:$C,'community %'!$B$50)),"")</f>
        <v/>
      </c>
      <c r="S54" s="76"/>
      <c r="T54" s="110" t="s">
        <v>1039</v>
      </c>
      <c r="U54" s="187" t="str">
        <f>IFERROR(SUM(SUMIFS('caseload data'!E:E,'caseload data'!$C:$C,'community %'!$T$50,'caseload data'!$D:$D,"TPO",'caseload data'!$B:$B,{"licence","community"}))/SUM(SUMIFS('caseload data'!E:E,'caseload data'!$B:$B,{"licence","community"},'caseload data'!$C:$C,'community %'!$T$50)),"")</f>
        <v/>
      </c>
      <c r="V54" s="187" t="str">
        <f>IFERROR(SUM(SUMIFS('caseload data'!F:F,'caseload data'!$C:$C,'community %'!$T$50,'caseload data'!$D:$D,"TPO",'caseload data'!$B:$B,{"licence","community"}))/SUM(SUMIFS('caseload data'!F:F,'caseload data'!$B:$B,{"licence","community"},'caseload data'!$C:$C,'community %'!$T$50)),"")</f>
        <v/>
      </c>
      <c r="W54" s="187" t="str">
        <f>IFERROR(SUM(SUMIFS('caseload data'!G:G,'caseload data'!$C:$C,'community %'!$T$50,'caseload data'!$D:$D,"TPO",'caseload data'!$B:$B,{"licence","community"}))/SUM(SUMIFS('caseload data'!G:G,'caseload data'!$B:$B,{"licence","community"},'caseload data'!$C:$C,'community %'!$T$50)),"")</f>
        <v/>
      </c>
      <c r="X54" s="187" t="str">
        <f>IFERROR(SUM(SUMIFS('caseload data'!H:H,'caseload data'!$C:$C,'community %'!$T$50,'caseload data'!$D:$D,"TPO",'caseload data'!$B:$B,{"licence","community"}))/SUM(SUMIFS('caseload data'!H:H,'caseload data'!$B:$B,{"licence","community"},'caseload data'!$C:$C,'community %'!$T$50)),"")</f>
        <v/>
      </c>
      <c r="Y54" s="187" t="str">
        <f>IFERROR(SUM(SUMIFS('caseload data'!I:I,'caseload data'!$C:$C,'community %'!$T$50,'caseload data'!$D:$D,"TPO",'caseload data'!$B:$B,{"licence","community"}))/SUM(SUMIFS('caseload data'!I:I,'caseload data'!$B:$B,{"licence","community"},'caseload data'!$C:$C,'community %'!$T$50)),"")</f>
        <v/>
      </c>
      <c r="Z54" s="187" t="str">
        <f>IFERROR(SUM(SUMIFS('caseload data'!J:J,'caseload data'!$C:$C,'community %'!$T$50,'caseload data'!$D:$D,"TPO",'caseload data'!$B:$B,{"licence","community"}))/SUM(SUMIFS('caseload data'!J:J,'caseload data'!$B:$B,{"licence","community"},'caseload data'!$C:$C,'community %'!$T$50)),"")</f>
        <v/>
      </c>
      <c r="AA54" s="187" t="str">
        <f>IFERROR(SUM(SUMIFS('caseload data'!K:K,'caseload data'!$C:$C,'community %'!$T$50,'caseload data'!$D:$D,"TPO",'caseload data'!$B:$B,{"licence","community"}))/SUM(SUMIFS('caseload data'!K:K,'caseload data'!$B:$B,{"licence","community"},'caseload data'!$C:$C,'community %'!$T$50)),"")</f>
        <v/>
      </c>
      <c r="AB54" s="187" t="str">
        <f>IFERROR(SUM(SUMIFS('caseload data'!L:L,'caseload data'!$C:$C,'community %'!$T$50,'caseload data'!$D:$D,"TPO",'caseload data'!$B:$B,{"licence","community"}))/SUM(SUMIFS('caseload data'!L:L,'caseload data'!$B:$B,{"licence","community"},'caseload data'!$C:$C,'community %'!$T$50)),"")</f>
        <v/>
      </c>
      <c r="AC54" s="187" t="str">
        <f>IFERROR(SUM(SUMIFS('caseload data'!M:M,'caseload data'!$C:$C,'community %'!$T$50,'caseload data'!$D:$D,"TPO",'caseload data'!$B:$B,{"licence","community"}))/SUM(SUMIFS('caseload data'!M:M,'caseload data'!$B:$B,{"licence","community"},'caseload data'!$C:$C,'community %'!$T$50)),"")</f>
        <v/>
      </c>
      <c r="AD54" s="187" t="str">
        <f>IFERROR(SUM(SUMIFS('caseload data'!N:N,'caseload data'!$C:$C,'community %'!$T$50,'caseload data'!$D:$D,"TPO",'caseload data'!$B:$B,{"licence","community"}))/SUM(SUMIFS('caseload data'!N:N,'caseload data'!$B:$B,{"licence","community"},'caseload data'!$C:$C,'community %'!$T$50)),"")</f>
        <v/>
      </c>
      <c r="AE54" s="187" t="str">
        <f>IFERROR(SUM(SUMIFS('caseload data'!O:O,'caseload data'!$C:$C,'community %'!$T$50,'caseload data'!$D:$D,"TPO",'caseload data'!$B:$B,{"licence","community"}))/SUM(SUMIFS('caseload data'!O:O,'caseload data'!$B:$B,{"licence","community"},'caseload data'!$C:$C,'community %'!$T$50)),"")</f>
        <v/>
      </c>
      <c r="AF54" s="187" t="str">
        <f>IFERROR(SUM(SUMIFS('caseload data'!P:P,'caseload data'!$C:$C,'community %'!$T$50,'caseload data'!$D:$D,"TPO",'caseload data'!$B:$B,{"licence","community"}))/SUM(SUMIFS('caseload data'!P:P,'caseload data'!$B:$B,{"licence","community"},'caseload data'!$C:$C,'community %'!$T$50)),"")</f>
        <v/>
      </c>
      <c r="AG54" s="187" t="str">
        <f>IFERROR(SUM(SUMIFS('caseload data'!Q:Q,'caseload data'!$C:$C,'community %'!$T$50,'caseload data'!$D:$D,"TPO",'caseload data'!$B:$B,{"licence","community"}))/SUM(SUMIFS('caseload data'!Q:Q,'caseload data'!$B:$B,{"licence","community"},'caseload data'!$C:$C,'community %'!$T$50)),"")</f>
        <v/>
      </c>
      <c r="AH54" s="187" t="str">
        <f>IFERROR(SUM(SUMIFS('caseload data'!R:R,'caseload data'!$C:$C,'community %'!$T$50,'caseload data'!$D:$D,"TPO",'caseload data'!$B:$B,{"licence","community"}))/SUM(SUMIFS('caseload data'!R:R,'caseload data'!$B:$B,{"licence","community"},'caseload data'!$C:$C,'community %'!$T$50)),"")</f>
        <v/>
      </c>
      <c r="AI54" s="187" t="str">
        <f>IFERROR(SUM(SUMIFS('caseload data'!S:S,'caseload data'!$C:$C,'community %'!$T$50,'caseload data'!$D:$D,"TPO",'caseload data'!$B:$B,{"licence","community"}))/SUM(SUMIFS('caseload data'!S:S,'caseload data'!$B:$B,{"licence","community"},'caseload data'!$C:$C,'community %'!$T$50)),"")</f>
        <v/>
      </c>
      <c r="AJ54" s="187" t="str">
        <f>IFERROR(SUM(SUMIFS('caseload data'!T:T,'caseload data'!$C:$C,'community %'!$T$50,'caseload data'!$D:$D,"TPO",'caseload data'!$B:$B,{"licence","community"}))/SUM(SUMIFS('caseload data'!T:T,'caseload data'!$B:$B,{"licence","community"},'caseload data'!$C:$C,'community %'!$T$50)),"")</f>
        <v/>
      </c>
    </row>
    <row r="55" spans="2:36" x14ac:dyDescent="0.15">
      <c r="B55" s="111" t="s">
        <v>1040</v>
      </c>
      <c r="C55" s="187" t="str">
        <f>IFERROR(SUM(SUMIFS('caseload data'!E:E,'caseload data'!$C:$C,'community %'!$B$50,'caseload data'!$D:$D,"SPO",'caseload data'!$B:$B,{"licence","community"}))/SUM(SUMIFS('caseload data'!E:E,'caseload data'!$B:$B,{"licence","community"},'caseload data'!$C:$C,'community %'!$B$50)),"")</f>
        <v/>
      </c>
      <c r="D55" s="187" t="str">
        <f>IFERROR(SUM(SUMIFS('caseload data'!F:F,'caseload data'!$C:$C,'community %'!$B$50,'caseload data'!$D:$D,"SPO",'caseload data'!$B:$B,{"licence","community"}))/SUM(SUMIFS('caseload data'!F:F,'caseload data'!$B:$B,{"licence","community"},'caseload data'!$C:$C,'community %'!$B$50)),"")</f>
        <v/>
      </c>
      <c r="E55" s="187" t="str">
        <f>IFERROR(SUM(SUMIFS('caseload data'!G:G,'caseload data'!$C:$C,'community %'!$B$50,'caseload data'!$D:$D,"SPO",'caseload data'!$B:$B,{"licence","community"}))/SUM(SUMIFS('caseload data'!G:G,'caseload data'!$B:$B,{"licence","community"},'caseload data'!$C:$C,'community %'!$B$50)),"")</f>
        <v/>
      </c>
      <c r="F55" s="187" t="str">
        <f>IFERROR(SUM(SUMIFS('caseload data'!H:H,'caseload data'!$C:$C,'community %'!$B$50,'caseload data'!$D:$D,"SPO",'caseload data'!$B:$B,{"licence","community"}))/SUM(SUMIFS('caseload data'!H:H,'caseload data'!$B:$B,{"licence","community"},'caseload data'!$C:$C,'community %'!$B$50)),"")</f>
        <v/>
      </c>
      <c r="G55" s="187" t="str">
        <f>IFERROR(SUM(SUMIFS('caseload data'!I:I,'caseload data'!$C:$C,'community %'!$B$50,'caseload data'!$D:$D,"SPO",'caseload data'!$B:$B,{"licence","community"}))/SUM(SUMIFS('caseload data'!I:I,'caseload data'!$B:$B,{"licence","community"},'caseload data'!$C:$C,'community %'!$B$50)),"")</f>
        <v/>
      </c>
      <c r="H55" s="187" t="str">
        <f>IFERROR(SUM(SUMIFS('caseload data'!J:J,'caseload data'!$C:$C,'community %'!$B$50,'caseload data'!$D:$D,"SPO",'caseload data'!$B:$B,{"licence","community"}))/SUM(SUMIFS('caseload data'!J:J,'caseload data'!$B:$B,{"licence","community"},'caseload data'!$C:$C,'community %'!$B$50)),"")</f>
        <v/>
      </c>
      <c r="I55" s="187" t="str">
        <f>IFERROR(SUM(SUMIFS('caseload data'!K:K,'caseload data'!$C:$C,'community %'!$B$50,'caseload data'!$D:$D,"SPO",'caseload data'!$B:$B,{"licence","community"}))/SUM(SUMIFS('caseload data'!K:K,'caseload data'!$B:$B,{"licence","community"},'caseload data'!$C:$C,'community %'!$B$50)),"")</f>
        <v/>
      </c>
      <c r="J55" s="187" t="str">
        <f>IFERROR(SUM(SUMIFS('caseload data'!L:L,'caseload data'!$C:$C,'community %'!$B$50,'caseload data'!$D:$D,"SPO",'caseload data'!$B:$B,{"licence","community"}))/SUM(SUMIFS('caseload data'!L:L,'caseload data'!$B:$B,{"licence","community"},'caseload data'!$C:$C,'community %'!$B$50)),"")</f>
        <v/>
      </c>
      <c r="K55" s="187" t="str">
        <f>IFERROR(SUM(SUMIFS('caseload data'!M:M,'caseload data'!$C:$C,'community %'!$B$50,'caseload data'!$D:$D,"SPO",'caseload data'!$B:$B,{"licence","community"}))/SUM(SUMIFS('caseload data'!M:M,'caseload data'!$B:$B,{"licence","community"},'caseload data'!$C:$C,'community %'!$B$50)),"")</f>
        <v/>
      </c>
      <c r="L55" s="187" t="str">
        <f>IFERROR(SUM(SUMIFS('caseload data'!N:N,'caseload data'!$C:$C,'community %'!$B$50,'caseload data'!$D:$D,"SPO",'caseload data'!$B:$B,{"licence","community"}))/SUM(SUMIFS('caseload data'!N:N,'caseload data'!$B:$B,{"licence","community"},'caseload data'!$C:$C,'community %'!$B$50)),"")</f>
        <v/>
      </c>
      <c r="M55" s="187" t="str">
        <f>IFERROR(SUM(SUMIFS('caseload data'!O:O,'caseload data'!$C:$C,'community %'!$B$50,'caseload data'!$D:$D,"SPO",'caseload data'!$B:$B,{"licence","community"}))/SUM(SUMIFS('caseload data'!O:O,'caseload data'!$B:$B,{"licence","community"},'caseload data'!$C:$C,'community %'!$B$50)),"")</f>
        <v/>
      </c>
      <c r="N55" s="187" t="str">
        <f>IFERROR(SUM(SUMIFS('caseload data'!P:P,'caseload data'!$C:$C,'community %'!$B$50,'caseload data'!$D:$D,"SPO",'caseload data'!$B:$B,{"licence","community"}))/SUM(SUMIFS('caseload data'!P:P,'caseload data'!$B:$B,{"licence","community"},'caseload data'!$C:$C,'community %'!$B$50)),"")</f>
        <v/>
      </c>
      <c r="O55" s="187" t="str">
        <f>IFERROR(SUM(SUMIFS('caseload data'!Q:Q,'caseload data'!$C:$C,'community %'!$B$50,'caseload data'!$D:$D,"SPO",'caseload data'!$B:$B,{"licence","community"}))/SUM(SUMIFS('caseload data'!Q:Q,'caseload data'!$B:$B,{"licence","community"},'caseload data'!$C:$C,'community %'!$B$50)),"")</f>
        <v/>
      </c>
      <c r="P55" s="187" t="str">
        <f>IFERROR(SUM(SUMIFS('caseload data'!R:R,'caseload data'!$C:$C,'community %'!$B$50,'caseload data'!$D:$D,"SPO",'caseload data'!$B:$B,{"licence","community"}))/SUM(SUMIFS('caseload data'!R:R,'caseload data'!$B:$B,{"licence","community"},'caseload data'!$C:$C,'community %'!$B$50)),"")</f>
        <v/>
      </c>
      <c r="Q55" s="187" t="str">
        <f>IFERROR(SUM(SUMIFS('caseload data'!S:S,'caseload data'!$C:$C,'community %'!$B$50,'caseload data'!$D:$D,"SPO",'caseload data'!$B:$B,{"licence","community"}))/SUM(SUMIFS('caseload data'!S:S,'caseload data'!$B:$B,{"licence","community"},'caseload data'!$C:$C,'community %'!$B$50)),"")</f>
        <v/>
      </c>
      <c r="R55" s="187" t="str">
        <f>IFERROR(SUM(SUMIFS('caseload data'!T:T,'caseload data'!$C:$C,'community %'!$B$50,'caseload data'!$D:$D,"SPO",'caseload data'!$B:$B,{"licence","community"}))/SUM(SUMIFS('caseload data'!T:T,'caseload data'!$B:$B,{"licence","community"},'caseload data'!$C:$C,'community %'!$B$50)),"")</f>
        <v/>
      </c>
      <c r="S55" s="76"/>
      <c r="T55" s="111" t="s">
        <v>1040</v>
      </c>
      <c r="U55" s="187" t="str">
        <f>IFERROR(SUM(SUMIFS('caseload data'!E:E,'caseload data'!$C:$C,'community %'!$T$50,'caseload data'!$D:$D,"SPO",'caseload data'!$B:$B,{"licence","community"}))/SUM(SUMIFS('caseload data'!E:E,'caseload data'!$B:$B,{"licence","community"},'caseload data'!$C:$C,'community %'!$T$50)),"")</f>
        <v/>
      </c>
      <c r="V55" s="187" t="str">
        <f>IFERROR(SUM(SUMIFS('caseload data'!F:F,'caseload data'!$C:$C,'community %'!$T$50,'caseload data'!$D:$D,"SPO",'caseload data'!$B:$B,{"licence","community"}))/SUM(SUMIFS('caseload data'!F:F,'caseload data'!$B:$B,{"licence","community"},'caseload data'!$C:$C,'community %'!$T$50)),"")</f>
        <v/>
      </c>
      <c r="W55" s="187" t="str">
        <f>IFERROR(SUM(SUMIFS('caseload data'!G:G,'caseload data'!$C:$C,'community %'!$T$50,'caseload data'!$D:$D,"SPO",'caseload data'!$B:$B,{"licence","community"}))/SUM(SUMIFS('caseload data'!G:G,'caseload data'!$B:$B,{"licence","community"},'caseload data'!$C:$C,'community %'!$T$50)),"")</f>
        <v/>
      </c>
      <c r="X55" s="187" t="str">
        <f>IFERROR(SUM(SUMIFS('caseload data'!H:H,'caseload data'!$C:$C,'community %'!$T$50,'caseload data'!$D:$D,"SPO",'caseload data'!$B:$B,{"licence","community"}))/SUM(SUMIFS('caseload data'!H:H,'caseload data'!$B:$B,{"licence","community"},'caseload data'!$C:$C,'community %'!$T$50)),"")</f>
        <v/>
      </c>
      <c r="Y55" s="187" t="str">
        <f>IFERROR(SUM(SUMIFS('caseload data'!I:I,'caseload data'!$C:$C,'community %'!$T$50,'caseload data'!$D:$D,"SPO",'caseload data'!$B:$B,{"licence","community"}))/SUM(SUMIFS('caseload data'!I:I,'caseload data'!$B:$B,{"licence","community"},'caseload data'!$C:$C,'community %'!$T$50)),"")</f>
        <v/>
      </c>
      <c r="Z55" s="187" t="str">
        <f>IFERROR(SUM(SUMIFS('caseload data'!J:J,'caseload data'!$C:$C,'community %'!$T$50,'caseload data'!$D:$D,"SPO",'caseload data'!$B:$B,{"licence","community"}))/SUM(SUMIFS('caseload data'!J:J,'caseload data'!$B:$B,{"licence","community"},'caseload data'!$C:$C,'community %'!$T$50)),"")</f>
        <v/>
      </c>
      <c r="AA55" s="187" t="str">
        <f>IFERROR(SUM(SUMIFS('caseload data'!K:K,'caseload data'!$C:$C,'community %'!$T$50,'caseload data'!$D:$D,"SPO",'caseload data'!$B:$B,{"licence","community"}))/SUM(SUMIFS('caseload data'!K:K,'caseload data'!$B:$B,{"licence","community"},'caseload data'!$C:$C,'community %'!$T$50)),"")</f>
        <v/>
      </c>
      <c r="AB55" s="187" t="str">
        <f>IFERROR(SUM(SUMIFS('caseload data'!L:L,'caseload data'!$C:$C,'community %'!$T$50,'caseload data'!$D:$D,"SPO",'caseload data'!$B:$B,{"licence","community"}))/SUM(SUMIFS('caseload data'!L:L,'caseload data'!$B:$B,{"licence","community"},'caseload data'!$C:$C,'community %'!$T$50)),"")</f>
        <v/>
      </c>
      <c r="AC55" s="187" t="str">
        <f>IFERROR(SUM(SUMIFS('caseload data'!M:M,'caseload data'!$C:$C,'community %'!$T$50,'caseload data'!$D:$D,"SPO",'caseload data'!$B:$B,{"licence","community"}))/SUM(SUMIFS('caseload data'!M:M,'caseload data'!$B:$B,{"licence","community"},'caseload data'!$C:$C,'community %'!$T$50)),"")</f>
        <v/>
      </c>
      <c r="AD55" s="187" t="str">
        <f>IFERROR(SUM(SUMIFS('caseload data'!N:N,'caseload data'!$C:$C,'community %'!$T$50,'caseload data'!$D:$D,"SPO",'caseload data'!$B:$B,{"licence","community"}))/SUM(SUMIFS('caseload data'!N:N,'caseload data'!$B:$B,{"licence","community"},'caseload data'!$C:$C,'community %'!$T$50)),"")</f>
        <v/>
      </c>
      <c r="AE55" s="187" t="str">
        <f>IFERROR(SUM(SUMIFS('caseload data'!O:O,'caseload data'!$C:$C,'community %'!$T$50,'caseload data'!$D:$D,"SPO",'caseload data'!$B:$B,{"licence","community"}))/SUM(SUMIFS('caseload data'!O:O,'caseload data'!$B:$B,{"licence","community"},'caseload data'!$C:$C,'community %'!$T$50)),"")</f>
        <v/>
      </c>
      <c r="AF55" s="187" t="str">
        <f>IFERROR(SUM(SUMIFS('caseload data'!P:P,'caseload data'!$C:$C,'community %'!$T$50,'caseload data'!$D:$D,"SPO",'caseload data'!$B:$B,{"licence","community"}))/SUM(SUMIFS('caseload data'!P:P,'caseload data'!$B:$B,{"licence","community"},'caseload data'!$C:$C,'community %'!$T$50)),"")</f>
        <v/>
      </c>
      <c r="AG55" s="187" t="str">
        <f>IFERROR(SUM(SUMIFS('caseload data'!Q:Q,'caseload data'!$C:$C,'community %'!$T$50,'caseload data'!$D:$D,"SPO",'caseload data'!$B:$B,{"licence","community"}))/SUM(SUMIFS('caseload data'!Q:Q,'caseload data'!$B:$B,{"licence","community"},'caseload data'!$C:$C,'community %'!$T$50)),"")</f>
        <v/>
      </c>
      <c r="AH55" s="187" t="str">
        <f>IFERROR(SUM(SUMIFS('caseload data'!R:R,'caseload data'!$C:$C,'community %'!$T$50,'caseload data'!$D:$D,"SPO",'caseload data'!$B:$B,{"licence","community"}))/SUM(SUMIFS('caseload data'!R:R,'caseload data'!$B:$B,{"licence","community"},'caseload data'!$C:$C,'community %'!$T$50)),"")</f>
        <v/>
      </c>
      <c r="AI55" s="187" t="str">
        <f>IFERROR(SUM(SUMIFS('caseload data'!S:S,'caseload data'!$C:$C,'community %'!$T$50,'caseload data'!$D:$D,"SPO",'caseload data'!$B:$B,{"licence","community"}))/SUM(SUMIFS('caseload data'!S:S,'caseload data'!$B:$B,{"licence","community"},'caseload data'!$C:$C,'community %'!$T$50)),"")</f>
        <v/>
      </c>
      <c r="AJ55" s="187" t="str">
        <f>IFERROR(SUM(SUMIFS('caseload data'!T:T,'caseload data'!$C:$C,'community %'!$T$50,'caseload data'!$D:$D,"SPO",'caseload data'!$B:$B,{"licence","community"}))/SUM(SUMIFS('caseload data'!T:T,'caseload data'!$B:$B,{"licence","community"},'caseload data'!$C:$C,'community %'!$T$50)),"")</f>
        <v/>
      </c>
    </row>
    <row r="56" spans="2:36" x14ac:dyDescent="0.15">
      <c r="B56" s="104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04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</row>
    <row r="57" spans="2:36" ht="42.75" customHeight="1" x14ac:dyDescent="0.15">
      <c r="B57" s="162" t="str">
        <f>HLOOKUP($B$5,Region_Table,16,0)</f>
        <v>Headquarters - N07</v>
      </c>
      <c r="C57" s="333" t="s">
        <v>1269</v>
      </c>
      <c r="D57" s="334"/>
      <c r="E57" s="334"/>
      <c r="F57" s="334"/>
      <c r="G57" s="334"/>
      <c r="H57" s="334"/>
      <c r="I57" s="334"/>
      <c r="J57" s="334"/>
      <c r="K57" s="334"/>
      <c r="L57" s="334"/>
      <c r="M57" s="343"/>
      <c r="N57" s="343"/>
      <c r="O57" s="344"/>
      <c r="P57" s="337" cm="1">
        <f t="array" ref="P57">SUM(SUMIFS('caseload data'!V:V,'caseload data'!B:B,{"licence","community"},'caseload data'!$C:$C,B57))</f>
        <v>0</v>
      </c>
      <c r="Q57" s="345"/>
      <c r="R57" s="346"/>
      <c r="S57" s="76"/>
      <c r="T57" s="162" t="str">
        <f>HLOOKUP($B$5,Region_Table,17,0)</f>
        <v>Inactive Level 2(N07)</v>
      </c>
      <c r="U57" s="333" t="s">
        <v>1269</v>
      </c>
      <c r="V57" s="334"/>
      <c r="W57" s="334"/>
      <c r="X57" s="334"/>
      <c r="Y57" s="334"/>
      <c r="Z57" s="334"/>
      <c r="AA57" s="334"/>
      <c r="AB57" s="334"/>
      <c r="AC57" s="334"/>
      <c r="AD57" s="334"/>
      <c r="AE57" s="343"/>
      <c r="AF57" s="343"/>
      <c r="AG57" s="344"/>
      <c r="AH57" s="337" cm="1">
        <f t="array" ref="AH57">SUM(SUMIFS('caseload data'!V:V,'caseload data'!B:B,{"licence","community"},'caseload data'!$C:$C,T57))</f>
        <v>0</v>
      </c>
      <c r="AI57" s="345"/>
      <c r="AJ57" s="346"/>
    </row>
    <row r="58" spans="2:36" x14ac:dyDescent="0.15">
      <c r="B58" s="108" t="s">
        <v>1199</v>
      </c>
      <c r="C58" s="42" t="s">
        <v>1019</v>
      </c>
      <c r="D58" s="42" t="s">
        <v>1020</v>
      </c>
      <c r="E58" s="42" t="s">
        <v>1021</v>
      </c>
      <c r="F58" s="42" t="s">
        <v>1022</v>
      </c>
      <c r="G58" s="42" t="s">
        <v>1023</v>
      </c>
      <c r="H58" s="42" t="s">
        <v>1024</v>
      </c>
      <c r="I58" s="42" t="s">
        <v>1025</v>
      </c>
      <c r="J58" s="42" t="s">
        <v>1026</v>
      </c>
      <c r="K58" s="42" t="s">
        <v>1027</v>
      </c>
      <c r="L58" s="42" t="s">
        <v>1028</v>
      </c>
      <c r="M58" s="42" t="s">
        <v>1029</v>
      </c>
      <c r="N58" s="42" t="s">
        <v>1030</v>
      </c>
      <c r="O58" s="42" t="s">
        <v>1031</v>
      </c>
      <c r="P58" s="42" t="s">
        <v>1032</v>
      </c>
      <c r="Q58" s="42" t="s">
        <v>1033</v>
      </c>
      <c r="R58" s="42" t="s">
        <v>1034</v>
      </c>
      <c r="S58" s="76"/>
      <c r="T58" s="108" t="s">
        <v>1199</v>
      </c>
      <c r="U58" s="42" t="s">
        <v>1019</v>
      </c>
      <c r="V58" s="42" t="s">
        <v>1020</v>
      </c>
      <c r="W58" s="42" t="s">
        <v>1021</v>
      </c>
      <c r="X58" s="42" t="s">
        <v>1022</v>
      </c>
      <c r="Y58" s="42" t="s">
        <v>1023</v>
      </c>
      <c r="Z58" s="42" t="s">
        <v>1024</v>
      </c>
      <c r="AA58" s="42" t="s">
        <v>1025</v>
      </c>
      <c r="AB58" s="42" t="s">
        <v>1026</v>
      </c>
      <c r="AC58" s="42" t="s">
        <v>1027</v>
      </c>
      <c r="AD58" s="42" t="s">
        <v>1028</v>
      </c>
      <c r="AE58" s="42" t="s">
        <v>1029</v>
      </c>
      <c r="AF58" s="42" t="s">
        <v>1030</v>
      </c>
      <c r="AG58" s="42" t="s">
        <v>1031</v>
      </c>
      <c r="AH58" s="42" t="s">
        <v>1032</v>
      </c>
      <c r="AI58" s="42" t="s">
        <v>1033</v>
      </c>
      <c r="AJ58" s="42" t="s">
        <v>1034</v>
      </c>
    </row>
    <row r="59" spans="2:36" x14ac:dyDescent="0.15">
      <c r="B59" s="109" t="s">
        <v>1037</v>
      </c>
      <c r="C59" s="187" t="str">
        <f>IFERROR(SUM(SUMIFS('caseload data'!E:E,'caseload data'!$C:$C,'community %'!$B$57,'caseload data'!$D:$D,"PO",'caseload data'!$B:$B,{"licence","community"}))/SUM(SUMIFS('caseload data'!E:E,'caseload data'!$B:$B,{"licence","community"},'caseload data'!$C:$C,'community %'!$B$57)),"")</f>
        <v/>
      </c>
      <c r="D59" s="187" t="str">
        <f>IFERROR(SUM(SUMIFS('caseload data'!F:F,'caseload data'!$C:$C,'community %'!$B$57,'caseload data'!$D:$D,"PO",'caseload data'!$B:$B,{"licence","community"}))/SUM(SUMIFS('caseload data'!F:F,'caseload data'!$B:$B,{"licence","community"},'caseload data'!$C:$C,'community %'!$B$57)),"")</f>
        <v/>
      </c>
      <c r="E59" s="187" t="str">
        <f>IFERROR(SUM(SUMIFS('caseload data'!G:G,'caseload data'!$C:$C,'community %'!$B$57,'caseload data'!$D:$D,"PO",'caseload data'!$B:$B,{"licence","community"}))/SUM(SUMIFS('caseload data'!G:G,'caseload data'!$B:$B,{"licence","community"},'caseload data'!$C:$C,'community %'!$B$57)),"")</f>
        <v/>
      </c>
      <c r="F59" s="187" t="str">
        <f>IFERROR(SUM(SUMIFS('caseload data'!H:H,'caseload data'!$C:$C,'community %'!$B$57,'caseload data'!$D:$D,"PO",'caseload data'!$B:$B,{"licence","community"}))/SUM(SUMIFS('caseload data'!H:H,'caseload data'!$B:$B,{"licence","community"},'caseload data'!$C:$C,'community %'!$B$57)),"")</f>
        <v/>
      </c>
      <c r="G59" s="187" t="str">
        <f>IFERROR(SUM(SUMIFS('caseload data'!I:I,'caseload data'!$C:$C,'community %'!$B$57,'caseload data'!$D:$D,"PO",'caseload data'!$B:$B,{"licence","community"}))/SUM(SUMIFS('caseload data'!I:I,'caseload data'!$B:$B,{"licence","community"},'caseload data'!$C:$C,'community %'!$B$57)),"")</f>
        <v/>
      </c>
      <c r="H59" s="187" t="str">
        <f>IFERROR(SUM(SUMIFS('caseload data'!J:J,'caseload data'!$C:$C,'community %'!$B$57,'caseload data'!$D:$D,"PO",'caseload data'!$B:$B,{"licence","community"}))/SUM(SUMIFS('caseload data'!J:J,'caseload data'!$B:$B,{"licence","community"},'caseload data'!$C:$C,'community %'!$B$57)),"")</f>
        <v/>
      </c>
      <c r="I59" s="187" t="str">
        <f>IFERROR(SUM(SUMIFS('caseload data'!K:K,'caseload data'!$C:$C,'community %'!$B$57,'caseload data'!$D:$D,"PO",'caseload data'!$B:$B,{"licence","community"}))/SUM(SUMIFS('caseload data'!K:K,'caseload data'!$B:$B,{"licence","community"},'caseload data'!$C:$C,'community %'!$B$57)),"")</f>
        <v/>
      </c>
      <c r="J59" s="187" t="str">
        <f>IFERROR(SUM(SUMIFS('caseload data'!L:L,'caseload data'!$C:$C,'community %'!$B$57,'caseload data'!$D:$D,"PO",'caseload data'!$B:$B,{"licence","community"}))/SUM(SUMIFS('caseload data'!L:L,'caseload data'!$B:$B,{"licence","community"},'caseload data'!$C:$C,'community %'!$B$57)),"")</f>
        <v/>
      </c>
      <c r="K59" s="187" t="str">
        <f>IFERROR(SUM(SUMIFS('caseload data'!M:M,'caseload data'!$C:$C,'community %'!$B$57,'caseload data'!$D:$D,"PO",'caseload data'!$B:$B,{"licence","community"}))/SUM(SUMIFS('caseload data'!M:M,'caseload data'!$B:$B,{"licence","community"},'caseload data'!$C:$C,'community %'!$B$57)),"")</f>
        <v/>
      </c>
      <c r="L59" s="187" t="str">
        <f>IFERROR(SUM(SUMIFS('caseload data'!N:N,'caseload data'!$C:$C,'community %'!$B$57,'caseload data'!$D:$D,"PO",'caseload data'!$B:$B,{"licence","community"}))/SUM(SUMIFS('caseload data'!N:N,'caseload data'!$B:$B,{"licence","community"},'caseload data'!$C:$C,'community %'!$B$57)),"")</f>
        <v/>
      </c>
      <c r="M59" s="187" t="str">
        <f>IFERROR(SUM(SUMIFS('caseload data'!O:O,'caseload data'!$C:$C,'community %'!$B$57,'caseload data'!$D:$D,"PO",'caseload data'!$B:$B,{"licence","community"}))/SUM(SUMIFS('caseload data'!O:O,'caseload data'!$B:$B,{"licence","community"},'caseload data'!$C:$C,'community %'!$B$57)),"")</f>
        <v/>
      </c>
      <c r="N59" s="187" t="str">
        <f>IFERROR(SUM(SUMIFS('caseload data'!P:P,'caseload data'!$C:$C,'community %'!$B$57,'caseload data'!$D:$D,"PO",'caseload data'!$B:$B,{"licence","community"}))/SUM(SUMIFS('caseload data'!P:P,'caseload data'!$B:$B,{"licence","community"},'caseload data'!$C:$C,'community %'!$B$57)),"")</f>
        <v/>
      </c>
      <c r="O59" s="187" t="str">
        <f>IFERROR(SUM(SUMIFS('caseload data'!Q:Q,'caseload data'!$C:$C,'community %'!$B$57,'caseload data'!$D:$D,"PO",'caseload data'!$B:$B,{"licence","community"}))/SUM(SUMIFS('caseload data'!Q:Q,'caseload data'!$B:$B,{"licence","community"},'caseload data'!$C:$C,'community %'!$B$57)),"")</f>
        <v/>
      </c>
      <c r="P59" s="187" t="str">
        <f>IFERROR(SUM(SUMIFS('caseload data'!R:R,'caseload data'!$C:$C,'community %'!$B$57,'caseload data'!$D:$D,"PO",'caseload data'!$B:$B,{"licence","community"}))/SUM(SUMIFS('caseload data'!R:R,'caseload data'!$B:$B,{"licence","community"},'caseload data'!$C:$C,'community %'!$B$57)),"")</f>
        <v/>
      </c>
      <c r="Q59" s="187" t="str">
        <f>IFERROR(SUM(SUMIFS('caseload data'!S:S,'caseload data'!$C:$C,'community %'!$B$57,'caseload data'!$D:$D,"PO",'caseload data'!$B:$B,{"licence","community"}))/SUM(SUMIFS('caseload data'!S:S,'caseload data'!$B:$B,{"licence","community"},'caseload data'!$C:$C,'community %'!$B$57)),"")</f>
        <v/>
      </c>
      <c r="R59" s="187" t="str">
        <f>IFERROR(SUM(SUMIFS('caseload data'!T:T,'caseload data'!$C:$C,'community %'!$B$57,'caseload data'!$D:$D,"PO",'caseload data'!$B:$B,{"licence","community"}))/SUM(SUMIFS('caseload data'!T:T,'caseload data'!$B:$B,{"licence","community"},'caseload data'!$C:$C,'community %'!$B$57)),"")</f>
        <v/>
      </c>
      <c r="S59" s="76"/>
      <c r="T59" s="109" t="s">
        <v>1037</v>
      </c>
      <c r="U59" s="187" t="str">
        <f>IFERROR(SUM(SUMIFS('caseload data'!E:E,'caseload data'!$C:$C,'community %'!$T$57,'caseload data'!$D:$D,"PO",'caseload data'!$B:$B,{"licence","community"}))/SUM(SUMIFS('caseload data'!E:E,'caseload data'!$B:$B,{"licence","community"},'caseload data'!$C:$C,'community %'!$T$57)),"")</f>
        <v/>
      </c>
      <c r="V59" s="187" t="str">
        <f>IFERROR(SUM(SUMIFS('caseload data'!F:F,'caseload data'!$C:$C,'community %'!$T$57,'caseload data'!$D:$D,"PO",'caseload data'!$B:$B,{"licence","community"}))/SUM(SUMIFS('caseload data'!F:F,'caseload data'!$B:$B,{"licence","community"},'caseload data'!$C:$C,'community %'!$T$57)),"")</f>
        <v/>
      </c>
      <c r="W59" s="187" t="str">
        <f>IFERROR(SUM(SUMIFS('caseload data'!G:G,'caseload data'!$C:$C,'community %'!$T$57,'caseload data'!$D:$D,"PO",'caseload data'!$B:$B,{"licence","community"}))/SUM(SUMIFS('caseload data'!G:G,'caseload data'!$B:$B,{"licence","community"},'caseload data'!$C:$C,'community %'!$T$57)),"")</f>
        <v/>
      </c>
      <c r="X59" s="187" t="str">
        <f>IFERROR(SUM(SUMIFS('caseload data'!H:H,'caseload data'!$C:$C,'community %'!$T$57,'caseload data'!$D:$D,"PO",'caseload data'!$B:$B,{"licence","community"}))/SUM(SUMIFS('caseload data'!H:H,'caseload data'!$B:$B,{"licence","community"},'caseload data'!$C:$C,'community %'!$T$57)),"")</f>
        <v/>
      </c>
      <c r="Y59" s="187" t="str">
        <f>IFERROR(SUM(SUMIFS('caseload data'!I:I,'caseload data'!$C:$C,'community %'!$T$57,'caseload data'!$D:$D,"PO",'caseload data'!$B:$B,{"licence","community"}))/SUM(SUMIFS('caseload data'!I:I,'caseload data'!$B:$B,{"licence","community"},'caseload data'!$C:$C,'community %'!$T$57)),"")</f>
        <v/>
      </c>
      <c r="Z59" s="187" t="str">
        <f>IFERROR(SUM(SUMIFS('caseload data'!J:J,'caseload data'!$C:$C,'community %'!$T$57,'caseload data'!$D:$D,"PO",'caseload data'!$B:$B,{"licence","community"}))/SUM(SUMIFS('caseload data'!J:J,'caseload data'!$B:$B,{"licence","community"},'caseload data'!$C:$C,'community %'!$T$57)),"")</f>
        <v/>
      </c>
      <c r="AA59" s="187" t="str">
        <f>IFERROR(SUM(SUMIFS('caseload data'!K:K,'caseload data'!$C:$C,'community %'!$T$57,'caseload data'!$D:$D,"PO",'caseload data'!$B:$B,{"licence","community"}))/SUM(SUMIFS('caseload data'!K:K,'caseload data'!$B:$B,{"licence","community"},'caseload data'!$C:$C,'community %'!$T$57)),"")</f>
        <v/>
      </c>
      <c r="AB59" s="187" t="str">
        <f>IFERROR(SUM(SUMIFS('caseload data'!L:L,'caseload data'!$C:$C,'community %'!$T$57,'caseload data'!$D:$D,"PO",'caseload data'!$B:$B,{"licence","community"}))/SUM(SUMIFS('caseload data'!L:L,'caseload data'!$B:$B,{"licence","community"},'caseload data'!$C:$C,'community %'!$T$57)),"")</f>
        <v/>
      </c>
      <c r="AC59" s="187" t="str">
        <f>IFERROR(SUM(SUMIFS('caseload data'!M:M,'caseload data'!$C:$C,'community %'!$T$57,'caseload data'!$D:$D,"PO",'caseload data'!$B:$B,{"licence","community"}))/SUM(SUMIFS('caseload data'!M:M,'caseload data'!$B:$B,{"licence","community"},'caseload data'!$C:$C,'community %'!$T$57)),"")</f>
        <v/>
      </c>
      <c r="AD59" s="187" t="str">
        <f>IFERROR(SUM(SUMIFS('caseload data'!N:N,'caseload data'!$C:$C,'community %'!$T$57,'caseload data'!$D:$D,"PO",'caseload data'!$B:$B,{"licence","community"}))/SUM(SUMIFS('caseload data'!N:N,'caseload data'!$B:$B,{"licence","community"},'caseload data'!$C:$C,'community %'!$T$57)),"")</f>
        <v/>
      </c>
      <c r="AE59" s="187" t="str">
        <f>IFERROR(SUM(SUMIFS('caseload data'!O:O,'caseload data'!$C:$C,'community %'!$T$57,'caseload data'!$D:$D,"PO",'caseload data'!$B:$B,{"licence","community"}))/SUM(SUMIFS('caseload data'!O:O,'caseload data'!$B:$B,{"licence","community"},'caseload data'!$C:$C,'community %'!$T$57)),"")</f>
        <v/>
      </c>
      <c r="AF59" s="187" t="str">
        <f>IFERROR(SUM(SUMIFS('caseload data'!P:P,'caseload data'!$C:$C,'community %'!$T$57,'caseload data'!$D:$D,"PO",'caseload data'!$B:$B,{"licence","community"}))/SUM(SUMIFS('caseload data'!P:P,'caseload data'!$B:$B,{"licence","community"},'caseload data'!$C:$C,'community %'!$T$57)),"")</f>
        <v/>
      </c>
      <c r="AG59" s="187" t="str">
        <f>IFERROR(SUM(SUMIFS('caseload data'!Q:Q,'caseload data'!$C:$C,'community %'!$T$57,'caseload data'!$D:$D,"PO",'caseload data'!$B:$B,{"licence","community"}))/SUM(SUMIFS('caseload data'!Q:Q,'caseload data'!$B:$B,{"licence","community"},'caseload data'!$C:$C,'community %'!$T$57)),"")</f>
        <v/>
      </c>
      <c r="AH59" s="187" t="str">
        <f>IFERROR(SUM(SUMIFS('caseload data'!R:R,'caseload data'!$C:$C,'community %'!$T$57,'caseload data'!$D:$D,"PO",'caseload data'!$B:$B,{"licence","community"}))/SUM(SUMIFS('caseload data'!R:R,'caseload data'!$B:$B,{"licence","community"},'caseload data'!$C:$C,'community %'!$T$57)),"")</f>
        <v/>
      </c>
      <c r="AI59" s="187" t="str">
        <f>IFERROR(SUM(SUMIFS('caseload data'!S:S,'caseload data'!$C:$C,'community %'!$T$57,'caseload data'!$D:$D,"PO",'caseload data'!$B:$B,{"licence","community"}))/SUM(SUMIFS('caseload data'!S:S,'caseload data'!$B:$B,{"licence","community"},'caseload data'!$C:$C,'community %'!$T$57)),"")</f>
        <v/>
      </c>
      <c r="AJ59" s="187" t="str">
        <f>IFERROR(SUM(SUMIFS('caseload data'!T:T,'caseload data'!$C:$C,'community %'!$T$57,'caseload data'!$D:$D,"PO",'caseload data'!$B:$B,{"licence","community"}))/SUM(SUMIFS('caseload data'!T:T,'caseload data'!$B:$B,{"licence","community"},'caseload data'!$C:$C,'community %'!$T$57)),"")</f>
        <v/>
      </c>
    </row>
    <row r="60" spans="2:36" x14ac:dyDescent="0.15">
      <c r="B60" s="110" t="s">
        <v>1038</v>
      </c>
      <c r="C60" s="187" t="str">
        <f>IFERROR(SUM(SUMIFS('caseload data'!E:E,'caseload data'!$C:$C,'community %'!$B$57,'caseload data'!$D:$D,"PSO",'caseload data'!$B:$B,{"licence","community"}))/SUM(SUMIFS('caseload data'!E:E,'caseload data'!$B:$B,{"licence","community"},'caseload data'!$C:$C,'community %'!$B$57)),"")</f>
        <v/>
      </c>
      <c r="D60" s="187" t="str">
        <f>IFERROR(SUM(SUMIFS('caseload data'!F:F,'caseload data'!$C:$C,'community %'!$B$57,'caseload data'!$D:$D,"PSO",'caseload data'!$B:$B,{"licence","community"}))/SUM(SUMIFS('caseload data'!F:F,'caseload data'!$B:$B,{"licence","community"},'caseload data'!$C:$C,'community %'!$B$57)),"")</f>
        <v/>
      </c>
      <c r="E60" s="187" t="str">
        <f>IFERROR(SUM(SUMIFS('caseload data'!G:G,'caseload data'!$C:$C,'community %'!$B$57,'caseload data'!$D:$D,"PSO",'caseload data'!$B:$B,{"licence","community"}))/SUM(SUMIFS('caseload data'!G:G,'caseload data'!$B:$B,{"licence","community"},'caseload data'!$C:$C,'community %'!$B$57)),"")</f>
        <v/>
      </c>
      <c r="F60" s="187" t="str">
        <f>IFERROR(SUM(SUMIFS('caseload data'!H:H,'caseload data'!$C:$C,'community %'!$B$57,'caseload data'!$D:$D,"PSO",'caseload data'!$B:$B,{"licence","community"}))/SUM(SUMIFS('caseload data'!H:H,'caseload data'!$B:$B,{"licence","community"},'caseload data'!$C:$C,'community %'!$B$57)),"")</f>
        <v/>
      </c>
      <c r="G60" s="187" t="str">
        <f>IFERROR(SUM(SUMIFS('caseload data'!I:I,'caseload data'!$C:$C,'community %'!$B$57,'caseload data'!$D:$D,"PSO",'caseload data'!$B:$B,{"licence","community"}))/SUM(SUMIFS('caseload data'!I:I,'caseload data'!$B:$B,{"licence","community"},'caseload data'!$C:$C,'community %'!$B$57)),"")</f>
        <v/>
      </c>
      <c r="H60" s="187" t="str">
        <f>IFERROR(SUM(SUMIFS('caseload data'!J:J,'caseload data'!$C:$C,'community %'!$B$57,'caseload data'!$D:$D,"PSO",'caseload data'!$B:$B,{"licence","community"}))/SUM(SUMIFS('caseload data'!J:J,'caseload data'!$B:$B,{"licence","community"},'caseload data'!$C:$C,'community %'!$B$57)),"")</f>
        <v/>
      </c>
      <c r="I60" s="187" t="str">
        <f>IFERROR(SUM(SUMIFS('caseload data'!K:K,'caseload data'!$C:$C,'community %'!$B$57,'caseload data'!$D:$D,"PSO",'caseload data'!$B:$B,{"licence","community"}))/SUM(SUMIFS('caseload data'!K:K,'caseload data'!$B:$B,{"licence","community"},'caseload data'!$C:$C,'community %'!$B$57)),"")</f>
        <v/>
      </c>
      <c r="J60" s="187" t="str">
        <f>IFERROR(SUM(SUMIFS('caseload data'!L:L,'caseload data'!$C:$C,'community %'!$B$57,'caseload data'!$D:$D,"PSO",'caseload data'!$B:$B,{"licence","community"}))/SUM(SUMIFS('caseload data'!L:L,'caseload data'!$B:$B,{"licence","community"},'caseload data'!$C:$C,'community %'!$B$57)),"")</f>
        <v/>
      </c>
      <c r="K60" s="187" t="str">
        <f>IFERROR(SUM(SUMIFS('caseload data'!M:M,'caseload data'!$C:$C,'community %'!$B$57,'caseload data'!$D:$D,"PSO",'caseload data'!$B:$B,{"licence","community"}))/SUM(SUMIFS('caseload data'!M:M,'caseload data'!$B:$B,{"licence","community"},'caseload data'!$C:$C,'community %'!$B$57)),"")</f>
        <v/>
      </c>
      <c r="L60" s="187" t="str">
        <f>IFERROR(SUM(SUMIFS('caseload data'!N:N,'caseload data'!$C:$C,'community %'!$B$57,'caseload data'!$D:$D,"PSO",'caseload data'!$B:$B,{"licence","community"}))/SUM(SUMIFS('caseload data'!N:N,'caseload data'!$B:$B,{"licence","community"},'caseload data'!$C:$C,'community %'!$B$57)),"")</f>
        <v/>
      </c>
      <c r="M60" s="187" t="str">
        <f>IFERROR(SUM(SUMIFS('caseload data'!O:O,'caseload data'!$C:$C,'community %'!$B$57,'caseload data'!$D:$D,"PSO",'caseload data'!$B:$B,{"licence","community"}))/SUM(SUMIFS('caseload data'!O:O,'caseload data'!$B:$B,{"licence","community"},'caseload data'!$C:$C,'community %'!$B$57)),"")</f>
        <v/>
      </c>
      <c r="N60" s="187" t="str">
        <f>IFERROR(SUM(SUMIFS('caseload data'!P:P,'caseload data'!$C:$C,'community %'!$B$57,'caseload data'!$D:$D,"PSO",'caseload data'!$B:$B,{"licence","community"}))/SUM(SUMIFS('caseload data'!P:P,'caseload data'!$B:$B,{"licence","community"},'caseload data'!$C:$C,'community %'!$B$57)),"")</f>
        <v/>
      </c>
      <c r="O60" s="187" t="str">
        <f>IFERROR(SUM(SUMIFS('caseload data'!Q:Q,'caseload data'!$C:$C,'community %'!$B$57,'caseload data'!$D:$D,"PSO",'caseload data'!$B:$B,{"licence","community"}))/SUM(SUMIFS('caseload data'!Q:Q,'caseload data'!$B:$B,{"licence","community"},'caseload data'!$C:$C,'community %'!$B$57)),"")</f>
        <v/>
      </c>
      <c r="P60" s="187" t="str">
        <f>IFERROR(SUM(SUMIFS('caseload data'!R:R,'caseload data'!$C:$C,'community %'!$B$57,'caseload data'!$D:$D,"PSO",'caseload data'!$B:$B,{"licence","community"}))/SUM(SUMIFS('caseload data'!R:R,'caseload data'!$B:$B,{"licence","community"},'caseload data'!$C:$C,'community %'!$B$57)),"")</f>
        <v/>
      </c>
      <c r="Q60" s="187" t="str">
        <f>IFERROR(SUM(SUMIFS('caseload data'!S:S,'caseload data'!$C:$C,'community %'!$B$57,'caseload data'!$D:$D,"PSO",'caseload data'!$B:$B,{"licence","community"}))/SUM(SUMIFS('caseload data'!S:S,'caseload data'!$B:$B,{"licence","community"},'caseload data'!$C:$C,'community %'!$B$57)),"")</f>
        <v/>
      </c>
      <c r="R60" s="187" t="str">
        <f>IFERROR(SUM(SUMIFS('caseload data'!T:T,'caseload data'!$C:$C,'community %'!$B$57,'caseload data'!$D:$D,"PSO",'caseload data'!$B:$B,{"licence","community"}))/SUM(SUMIFS('caseload data'!T:T,'caseload data'!$B:$B,{"licence","community"},'caseload data'!$C:$C,'community %'!$B$57)),"")</f>
        <v/>
      </c>
      <c r="S60" s="76"/>
      <c r="T60" s="110" t="s">
        <v>1038</v>
      </c>
      <c r="U60" s="187" t="str">
        <f>IFERROR(SUM(SUMIFS('caseload data'!E:E,'caseload data'!$C:$C,'community %'!$T$57,'caseload data'!$D:$D,"PSO",'caseload data'!$B:$B,{"licence","community"}))/SUM(SUMIFS('caseload data'!E:E,'caseload data'!$B:$B,{"licence","community"},'caseload data'!$C:$C,'community %'!$T$57)),"")</f>
        <v/>
      </c>
      <c r="V60" s="187" t="str">
        <f>IFERROR(SUM(SUMIFS('caseload data'!F:F,'caseload data'!$C:$C,'community %'!$T$57,'caseload data'!$D:$D,"PSO",'caseload data'!$B:$B,{"licence","community"}))/SUM(SUMIFS('caseload data'!F:F,'caseload data'!$B:$B,{"licence","community"},'caseload data'!$C:$C,'community %'!$T$57)),"")</f>
        <v/>
      </c>
      <c r="W60" s="187" t="str">
        <f>IFERROR(SUM(SUMIFS('caseload data'!G:G,'caseload data'!$C:$C,'community %'!$T$57,'caseload data'!$D:$D,"PSO",'caseload data'!$B:$B,{"licence","community"}))/SUM(SUMIFS('caseload data'!G:G,'caseload data'!$B:$B,{"licence","community"},'caseload data'!$C:$C,'community %'!$T$57)),"")</f>
        <v/>
      </c>
      <c r="X60" s="187" t="str">
        <f>IFERROR(SUM(SUMIFS('caseload data'!H:H,'caseload data'!$C:$C,'community %'!$T$57,'caseload data'!$D:$D,"PSO",'caseload data'!$B:$B,{"licence","community"}))/SUM(SUMIFS('caseload data'!H:H,'caseload data'!$B:$B,{"licence","community"},'caseload data'!$C:$C,'community %'!$T$57)),"")</f>
        <v/>
      </c>
      <c r="Y60" s="187" t="str">
        <f>IFERROR(SUM(SUMIFS('caseload data'!I:I,'caseload data'!$C:$C,'community %'!$T$57,'caseload data'!$D:$D,"PSO",'caseload data'!$B:$B,{"licence","community"}))/SUM(SUMIFS('caseload data'!I:I,'caseload data'!$B:$B,{"licence","community"},'caseload data'!$C:$C,'community %'!$T$57)),"")</f>
        <v/>
      </c>
      <c r="Z60" s="187" t="str">
        <f>IFERROR(SUM(SUMIFS('caseload data'!J:J,'caseload data'!$C:$C,'community %'!$T$57,'caseload data'!$D:$D,"PSO",'caseload data'!$B:$B,{"licence","community"}))/SUM(SUMIFS('caseload data'!J:J,'caseload data'!$B:$B,{"licence","community"},'caseload data'!$C:$C,'community %'!$T$57)),"")</f>
        <v/>
      </c>
      <c r="AA60" s="187" t="str">
        <f>IFERROR(SUM(SUMIFS('caseload data'!K:K,'caseload data'!$C:$C,'community %'!$T$57,'caseload data'!$D:$D,"PSO",'caseload data'!$B:$B,{"licence","community"}))/SUM(SUMIFS('caseload data'!K:K,'caseload data'!$B:$B,{"licence","community"},'caseload data'!$C:$C,'community %'!$T$57)),"")</f>
        <v/>
      </c>
      <c r="AB60" s="187" t="str">
        <f>IFERROR(SUM(SUMIFS('caseload data'!L:L,'caseload data'!$C:$C,'community %'!$T$57,'caseload data'!$D:$D,"PSO",'caseload data'!$B:$B,{"licence","community"}))/SUM(SUMIFS('caseload data'!L:L,'caseload data'!$B:$B,{"licence","community"},'caseload data'!$C:$C,'community %'!$T$57)),"")</f>
        <v/>
      </c>
      <c r="AC60" s="187" t="str">
        <f>IFERROR(SUM(SUMIFS('caseload data'!M:M,'caseload data'!$C:$C,'community %'!$T$57,'caseload data'!$D:$D,"PSO",'caseload data'!$B:$B,{"licence","community"}))/SUM(SUMIFS('caseload data'!M:M,'caseload data'!$B:$B,{"licence","community"},'caseload data'!$C:$C,'community %'!$T$57)),"")</f>
        <v/>
      </c>
      <c r="AD60" s="187" t="str">
        <f>IFERROR(SUM(SUMIFS('caseload data'!N:N,'caseload data'!$C:$C,'community %'!$T$57,'caseload data'!$D:$D,"PSO",'caseload data'!$B:$B,{"licence","community"}))/SUM(SUMIFS('caseload data'!N:N,'caseload data'!$B:$B,{"licence","community"},'caseload data'!$C:$C,'community %'!$T$57)),"")</f>
        <v/>
      </c>
      <c r="AE60" s="187" t="str">
        <f>IFERROR(SUM(SUMIFS('caseload data'!O:O,'caseload data'!$C:$C,'community %'!$T$57,'caseload data'!$D:$D,"PSO",'caseload data'!$B:$B,{"licence","community"}))/SUM(SUMIFS('caseload data'!O:O,'caseload data'!$B:$B,{"licence","community"},'caseload data'!$C:$C,'community %'!$T$57)),"")</f>
        <v/>
      </c>
      <c r="AF60" s="187" t="str">
        <f>IFERROR(SUM(SUMIFS('caseload data'!P:P,'caseload data'!$C:$C,'community %'!$T$57,'caseload data'!$D:$D,"PSO",'caseload data'!$B:$B,{"licence","community"}))/SUM(SUMIFS('caseload data'!P:P,'caseload data'!$B:$B,{"licence","community"},'caseload data'!$C:$C,'community %'!$T$57)),"")</f>
        <v/>
      </c>
      <c r="AG60" s="187" t="str">
        <f>IFERROR(SUM(SUMIFS('caseload data'!Q:Q,'caseload data'!$C:$C,'community %'!$T$57,'caseload data'!$D:$D,"PSO",'caseload data'!$B:$B,{"licence","community"}))/SUM(SUMIFS('caseload data'!Q:Q,'caseload data'!$B:$B,{"licence","community"},'caseload data'!$C:$C,'community %'!$T$57)),"")</f>
        <v/>
      </c>
      <c r="AH60" s="187" t="str">
        <f>IFERROR(SUM(SUMIFS('caseload data'!R:R,'caseload data'!$C:$C,'community %'!$T$57,'caseload data'!$D:$D,"PSO",'caseload data'!$B:$B,{"licence","community"}))/SUM(SUMIFS('caseload data'!R:R,'caseload data'!$B:$B,{"licence","community"},'caseload data'!$C:$C,'community %'!$T$57)),"")</f>
        <v/>
      </c>
      <c r="AI60" s="187" t="str">
        <f>IFERROR(SUM(SUMIFS('caseload data'!S:S,'caseload data'!$C:$C,'community %'!$T$57,'caseload data'!$D:$D,"PSO",'caseload data'!$B:$B,{"licence","community"}))/SUM(SUMIFS('caseload data'!S:S,'caseload data'!$B:$B,{"licence","community"},'caseload data'!$C:$C,'community %'!$T$57)),"")</f>
        <v/>
      </c>
      <c r="AJ60" s="187" t="str">
        <f>IFERROR(SUM(SUMIFS('caseload data'!T:T,'caseload data'!$C:$C,'community %'!$T$57,'caseload data'!$D:$D,"PSO",'caseload data'!$B:$B,{"licence","community"}))/SUM(SUMIFS('caseload data'!T:T,'caseload data'!$B:$B,{"licence","community"},'caseload data'!$C:$C,'community %'!$T$57)),"")</f>
        <v/>
      </c>
    </row>
    <row r="61" spans="2:36" x14ac:dyDescent="0.15">
      <c r="B61" s="110" t="s">
        <v>1039</v>
      </c>
      <c r="C61" s="187" t="str">
        <f>IFERROR(SUM(SUMIFS('caseload data'!E:E,'caseload data'!$C:$C,'community %'!$B$57,'caseload data'!$D:$D,"TPO",'caseload data'!$B:$B,{"licence","community"}))/SUM(SUMIFS('caseload data'!E:E,'caseload data'!$B:$B,{"licence","community"},'caseload data'!$C:$C,'community %'!$B$57)),"")</f>
        <v/>
      </c>
      <c r="D61" s="187" t="str">
        <f>IFERROR(SUM(SUMIFS('caseload data'!F:F,'caseload data'!$C:$C,'community %'!$B$57,'caseload data'!$D:$D,"TPO",'caseload data'!$B:$B,{"licence","community"}))/SUM(SUMIFS('caseload data'!F:F,'caseload data'!$B:$B,{"licence","community"},'caseload data'!$C:$C,'community %'!$B$57)),"")</f>
        <v/>
      </c>
      <c r="E61" s="187" t="str">
        <f>IFERROR(SUM(SUMIFS('caseload data'!G:G,'caseload data'!$C:$C,'community %'!$B$57,'caseload data'!$D:$D,"TPO",'caseload data'!$B:$B,{"licence","community"}))/SUM(SUMIFS('caseload data'!G:G,'caseload data'!$B:$B,{"licence","community"},'caseload data'!$C:$C,'community %'!$B$57)),"")</f>
        <v/>
      </c>
      <c r="F61" s="187" t="str">
        <f>IFERROR(SUM(SUMIFS('caseload data'!H:H,'caseload data'!$C:$C,'community %'!$B$57,'caseload data'!$D:$D,"TPO",'caseload data'!$B:$B,{"licence","community"}))/SUM(SUMIFS('caseload data'!H:H,'caseload data'!$B:$B,{"licence","community"},'caseload data'!$C:$C,'community %'!$B$57)),"")</f>
        <v/>
      </c>
      <c r="G61" s="187" t="str">
        <f>IFERROR(SUM(SUMIFS('caseload data'!I:I,'caseload data'!$C:$C,'community %'!$B$57,'caseload data'!$D:$D,"TPO",'caseload data'!$B:$B,{"licence","community"}))/SUM(SUMIFS('caseload data'!I:I,'caseload data'!$B:$B,{"licence","community"},'caseload data'!$C:$C,'community %'!$B$57)),"")</f>
        <v/>
      </c>
      <c r="H61" s="187" t="str">
        <f>IFERROR(SUM(SUMIFS('caseload data'!J:J,'caseload data'!$C:$C,'community %'!$B$57,'caseload data'!$D:$D,"TPO",'caseload data'!$B:$B,{"licence","community"}))/SUM(SUMIFS('caseload data'!J:J,'caseload data'!$B:$B,{"licence","community"},'caseload data'!$C:$C,'community %'!$B$57)),"")</f>
        <v/>
      </c>
      <c r="I61" s="187" t="str">
        <f>IFERROR(SUM(SUMIFS('caseload data'!K:K,'caseload data'!$C:$C,'community %'!$B$57,'caseload data'!$D:$D,"TPO",'caseload data'!$B:$B,{"licence","community"}))/SUM(SUMIFS('caseload data'!K:K,'caseload data'!$B:$B,{"licence","community"},'caseload data'!$C:$C,'community %'!$B$57)),"")</f>
        <v/>
      </c>
      <c r="J61" s="187" t="str">
        <f>IFERROR(SUM(SUMIFS('caseload data'!L:L,'caseload data'!$C:$C,'community %'!$B$57,'caseload data'!$D:$D,"TPO",'caseload data'!$B:$B,{"licence","community"}))/SUM(SUMIFS('caseload data'!L:L,'caseload data'!$B:$B,{"licence","community"},'caseload data'!$C:$C,'community %'!$B$57)),"")</f>
        <v/>
      </c>
      <c r="K61" s="187" t="str">
        <f>IFERROR(SUM(SUMIFS('caseload data'!M:M,'caseload data'!$C:$C,'community %'!$B$57,'caseload data'!$D:$D,"TPO",'caseload data'!$B:$B,{"licence","community"}))/SUM(SUMIFS('caseload data'!M:M,'caseload data'!$B:$B,{"licence","community"},'caseload data'!$C:$C,'community %'!$B$57)),"")</f>
        <v/>
      </c>
      <c r="L61" s="187" t="str">
        <f>IFERROR(SUM(SUMIFS('caseload data'!N:N,'caseload data'!$C:$C,'community %'!$B$57,'caseload data'!$D:$D,"TPO",'caseload data'!$B:$B,{"licence","community"}))/SUM(SUMIFS('caseload data'!N:N,'caseload data'!$B:$B,{"licence","community"},'caseload data'!$C:$C,'community %'!$B$57)),"")</f>
        <v/>
      </c>
      <c r="M61" s="187" t="str">
        <f>IFERROR(SUM(SUMIFS('caseload data'!O:O,'caseload data'!$C:$C,'community %'!$B$57,'caseload data'!$D:$D,"TPO",'caseload data'!$B:$B,{"licence","community"}))/SUM(SUMIFS('caseload data'!O:O,'caseload data'!$B:$B,{"licence","community"},'caseload data'!$C:$C,'community %'!$B$57)),"")</f>
        <v/>
      </c>
      <c r="N61" s="187" t="str">
        <f>IFERROR(SUM(SUMIFS('caseload data'!P:P,'caseload data'!$C:$C,'community %'!$B$57,'caseload data'!$D:$D,"TPO",'caseload data'!$B:$B,{"licence","community"}))/SUM(SUMIFS('caseload data'!P:P,'caseload data'!$B:$B,{"licence","community"},'caseload data'!$C:$C,'community %'!$B$57)),"")</f>
        <v/>
      </c>
      <c r="O61" s="187" t="str">
        <f>IFERROR(SUM(SUMIFS('caseload data'!Q:Q,'caseload data'!$C:$C,'community %'!$B$57,'caseload data'!$D:$D,"TPO",'caseload data'!$B:$B,{"licence","community"}))/SUM(SUMIFS('caseload data'!Q:Q,'caseload data'!$B:$B,{"licence","community"},'caseload data'!$C:$C,'community %'!$B$57)),"")</f>
        <v/>
      </c>
      <c r="P61" s="187" t="str">
        <f>IFERROR(SUM(SUMIFS('caseload data'!R:R,'caseload data'!$C:$C,'community %'!$B$57,'caseload data'!$D:$D,"TPO",'caseload data'!$B:$B,{"licence","community"}))/SUM(SUMIFS('caseload data'!R:R,'caseload data'!$B:$B,{"licence","community"},'caseload data'!$C:$C,'community %'!$B$57)),"")</f>
        <v/>
      </c>
      <c r="Q61" s="187" t="str">
        <f>IFERROR(SUM(SUMIFS('caseload data'!S:S,'caseload data'!$C:$C,'community %'!$B$57,'caseload data'!$D:$D,"TPO",'caseload data'!$B:$B,{"licence","community"}))/SUM(SUMIFS('caseload data'!S:S,'caseload data'!$B:$B,{"licence","community"},'caseload data'!$C:$C,'community %'!$B$57)),"")</f>
        <v/>
      </c>
      <c r="R61" s="187" t="str">
        <f>IFERROR(SUM(SUMIFS('caseload data'!T:T,'caseload data'!$C:$C,'community %'!$B$57,'caseload data'!$D:$D,"TPO",'caseload data'!$B:$B,{"licence","community"}))/SUM(SUMIFS('caseload data'!T:T,'caseload data'!$B:$B,{"licence","community"},'caseload data'!$C:$C,'community %'!$B$57)),"")</f>
        <v/>
      </c>
      <c r="S61" s="76"/>
      <c r="T61" s="110" t="s">
        <v>1039</v>
      </c>
      <c r="U61" s="187" t="str">
        <f>IFERROR(SUM(SUMIFS('caseload data'!E:E,'caseload data'!$C:$C,'community %'!$T$57,'caseload data'!$D:$D,"TPO",'caseload data'!$B:$B,{"licence","community"}))/SUM(SUMIFS('caseload data'!E:E,'caseload data'!$B:$B,{"licence","community"},'caseload data'!$C:$C,'community %'!$T$57)),"")</f>
        <v/>
      </c>
      <c r="V61" s="187" t="str">
        <f>IFERROR(SUM(SUMIFS('caseload data'!F:F,'caseload data'!$C:$C,'community %'!$T$57,'caseload data'!$D:$D,"TPO",'caseload data'!$B:$B,{"licence","community"}))/SUM(SUMIFS('caseload data'!F:F,'caseload data'!$B:$B,{"licence","community"},'caseload data'!$C:$C,'community %'!$T$57)),"")</f>
        <v/>
      </c>
      <c r="W61" s="187" t="str">
        <f>IFERROR(SUM(SUMIFS('caseload data'!G:G,'caseload data'!$C:$C,'community %'!$T$57,'caseload data'!$D:$D,"TPO",'caseload data'!$B:$B,{"licence","community"}))/SUM(SUMIFS('caseload data'!G:G,'caseload data'!$B:$B,{"licence","community"},'caseload data'!$C:$C,'community %'!$T$57)),"")</f>
        <v/>
      </c>
      <c r="X61" s="187" t="str">
        <f>IFERROR(SUM(SUMIFS('caseload data'!H:H,'caseload data'!$C:$C,'community %'!$T$57,'caseload data'!$D:$D,"TPO",'caseload data'!$B:$B,{"licence","community"}))/SUM(SUMIFS('caseload data'!H:H,'caseload data'!$B:$B,{"licence","community"},'caseload data'!$C:$C,'community %'!$T$57)),"")</f>
        <v/>
      </c>
      <c r="Y61" s="187" t="str">
        <f>IFERROR(SUM(SUMIFS('caseload data'!I:I,'caseload data'!$C:$C,'community %'!$T$57,'caseload data'!$D:$D,"TPO",'caseload data'!$B:$B,{"licence","community"}))/SUM(SUMIFS('caseload data'!I:I,'caseload data'!$B:$B,{"licence","community"},'caseload data'!$C:$C,'community %'!$T$57)),"")</f>
        <v/>
      </c>
      <c r="Z61" s="187" t="str">
        <f>IFERROR(SUM(SUMIFS('caseload data'!J:J,'caseload data'!$C:$C,'community %'!$T$57,'caseload data'!$D:$D,"TPO",'caseload data'!$B:$B,{"licence","community"}))/SUM(SUMIFS('caseload data'!J:J,'caseload data'!$B:$B,{"licence","community"},'caseload data'!$C:$C,'community %'!$T$57)),"")</f>
        <v/>
      </c>
      <c r="AA61" s="187" t="str">
        <f>IFERROR(SUM(SUMIFS('caseload data'!K:K,'caseload data'!$C:$C,'community %'!$T$57,'caseload data'!$D:$D,"TPO",'caseload data'!$B:$B,{"licence","community"}))/SUM(SUMIFS('caseload data'!K:K,'caseload data'!$B:$B,{"licence","community"},'caseload data'!$C:$C,'community %'!$T$57)),"")</f>
        <v/>
      </c>
      <c r="AB61" s="187" t="str">
        <f>IFERROR(SUM(SUMIFS('caseload data'!L:L,'caseload data'!$C:$C,'community %'!$T$57,'caseload data'!$D:$D,"TPO",'caseload data'!$B:$B,{"licence","community"}))/SUM(SUMIFS('caseload data'!L:L,'caseload data'!$B:$B,{"licence","community"},'caseload data'!$C:$C,'community %'!$T$57)),"")</f>
        <v/>
      </c>
      <c r="AC61" s="187" t="str">
        <f>IFERROR(SUM(SUMIFS('caseload data'!M:M,'caseload data'!$C:$C,'community %'!$T$57,'caseload data'!$D:$D,"TPO",'caseload data'!$B:$B,{"licence","community"}))/SUM(SUMIFS('caseload data'!M:M,'caseload data'!$B:$B,{"licence","community"},'caseload data'!$C:$C,'community %'!$T$57)),"")</f>
        <v/>
      </c>
      <c r="AD61" s="187" t="str">
        <f>IFERROR(SUM(SUMIFS('caseload data'!N:N,'caseload data'!$C:$C,'community %'!$T$57,'caseload data'!$D:$D,"TPO",'caseload data'!$B:$B,{"licence","community"}))/SUM(SUMIFS('caseload data'!N:N,'caseload data'!$B:$B,{"licence","community"},'caseload data'!$C:$C,'community %'!$T$57)),"")</f>
        <v/>
      </c>
      <c r="AE61" s="187" t="str">
        <f>IFERROR(SUM(SUMIFS('caseload data'!O:O,'caseload data'!$C:$C,'community %'!$T$57,'caseload data'!$D:$D,"TPO",'caseload data'!$B:$B,{"licence","community"}))/SUM(SUMIFS('caseload data'!O:O,'caseload data'!$B:$B,{"licence","community"},'caseload data'!$C:$C,'community %'!$T$57)),"")</f>
        <v/>
      </c>
      <c r="AF61" s="187" t="str">
        <f>IFERROR(SUM(SUMIFS('caseload data'!P:P,'caseload data'!$C:$C,'community %'!$T$57,'caseload data'!$D:$D,"TPO",'caseload data'!$B:$B,{"licence","community"}))/SUM(SUMIFS('caseload data'!P:P,'caseload data'!$B:$B,{"licence","community"},'caseload data'!$C:$C,'community %'!$T$57)),"")</f>
        <v/>
      </c>
      <c r="AG61" s="187" t="str">
        <f>IFERROR(SUM(SUMIFS('caseload data'!Q:Q,'caseload data'!$C:$C,'community %'!$T$57,'caseload data'!$D:$D,"TPO",'caseload data'!$B:$B,{"licence","community"}))/SUM(SUMIFS('caseload data'!Q:Q,'caseload data'!$B:$B,{"licence","community"},'caseload data'!$C:$C,'community %'!$T$57)),"")</f>
        <v/>
      </c>
      <c r="AH61" s="187" t="str">
        <f>IFERROR(SUM(SUMIFS('caseload data'!R:R,'caseload data'!$C:$C,'community %'!$T$57,'caseload data'!$D:$D,"TPO",'caseload data'!$B:$B,{"licence","community"}))/SUM(SUMIFS('caseload data'!R:R,'caseload data'!$B:$B,{"licence","community"},'caseload data'!$C:$C,'community %'!$T$57)),"")</f>
        <v/>
      </c>
      <c r="AI61" s="187" t="str">
        <f>IFERROR(SUM(SUMIFS('caseload data'!S:S,'caseload data'!$C:$C,'community %'!$T$57,'caseload data'!$D:$D,"TPO",'caseload data'!$B:$B,{"licence","community"}))/SUM(SUMIFS('caseload data'!S:S,'caseload data'!$B:$B,{"licence","community"},'caseload data'!$C:$C,'community %'!$T$57)),"")</f>
        <v/>
      </c>
      <c r="AJ61" s="187" t="str">
        <f>IFERROR(SUM(SUMIFS('caseload data'!T:T,'caseload data'!$C:$C,'community %'!$T$57,'caseload data'!$D:$D,"TPO",'caseload data'!$B:$B,{"licence","community"}))/SUM(SUMIFS('caseload data'!T:T,'caseload data'!$B:$B,{"licence","community"},'caseload data'!$C:$C,'community %'!$T$57)),"")</f>
        <v/>
      </c>
    </row>
    <row r="62" spans="2:36" x14ac:dyDescent="0.15">
      <c r="B62" s="111" t="s">
        <v>1040</v>
      </c>
      <c r="C62" s="187" t="str">
        <f>IFERROR(SUM(SUMIFS('caseload data'!E:E,'caseload data'!$C:$C,'community %'!$B$57,'caseload data'!$D:$D,"SPO",'caseload data'!$B:$B,{"licence","community"}))/SUM(SUMIFS('caseload data'!E:E,'caseload data'!$B:$B,{"licence","community"},'caseload data'!$C:$C,'community %'!$B$57)),"")</f>
        <v/>
      </c>
      <c r="D62" s="187" t="str">
        <f>IFERROR(SUM(SUMIFS('caseload data'!F:F,'caseload data'!$C:$C,'community %'!$B$57,'caseload data'!$D:$D,"SPO",'caseload data'!$B:$B,{"licence","community"}))/SUM(SUMIFS('caseload data'!F:F,'caseload data'!$B:$B,{"licence","community"},'caseload data'!$C:$C,'community %'!$B$57)),"")</f>
        <v/>
      </c>
      <c r="E62" s="187" t="str">
        <f>IFERROR(SUM(SUMIFS('caseload data'!G:G,'caseload data'!$C:$C,'community %'!$B$57,'caseload data'!$D:$D,"SPO",'caseload data'!$B:$B,{"licence","community"}))/SUM(SUMIFS('caseload data'!G:G,'caseload data'!$B:$B,{"licence","community"},'caseload data'!$C:$C,'community %'!$B$57)),"")</f>
        <v/>
      </c>
      <c r="F62" s="187" t="str">
        <f>IFERROR(SUM(SUMIFS('caseload data'!H:H,'caseload data'!$C:$C,'community %'!$B$57,'caseload data'!$D:$D,"SPO",'caseload data'!$B:$B,{"licence","community"}))/SUM(SUMIFS('caseload data'!H:H,'caseload data'!$B:$B,{"licence","community"},'caseload data'!$C:$C,'community %'!$B$57)),"")</f>
        <v/>
      </c>
      <c r="G62" s="187" t="str">
        <f>IFERROR(SUM(SUMIFS('caseload data'!I:I,'caseload data'!$C:$C,'community %'!$B$57,'caseload data'!$D:$D,"SPO",'caseload data'!$B:$B,{"licence","community"}))/SUM(SUMIFS('caseload data'!I:I,'caseload data'!$B:$B,{"licence","community"},'caseload data'!$C:$C,'community %'!$B$57)),"")</f>
        <v/>
      </c>
      <c r="H62" s="187" t="str">
        <f>IFERROR(SUM(SUMIFS('caseload data'!J:J,'caseload data'!$C:$C,'community %'!$B$57,'caseload data'!$D:$D,"SPO",'caseload data'!$B:$B,{"licence","community"}))/SUM(SUMIFS('caseload data'!J:J,'caseload data'!$B:$B,{"licence","community"},'caseload data'!$C:$C,'community %'!$B$57)),"")</f>
        <v/>
      </c>
      <c r="I62" s="187" t="str">
        <f>IFERROR(SUM(SUMIFS('caseload data'!K:K,'caseload data'!$C:$C,'community %'!$B$57,'caseload data'!$D:$D,"SPO",'caseload data'!$B:$B,{"licence","community"}))/SUM(SUMIFS('caseload data'!K:K,'caseload data'!$B:$B,{"licence","community"},'caseload data'!$C:$C,'community %'!$B$57)),"")</f>
        <v/>
      </c>
      <c r="J62" s="187" t="str">
        <f>IFERROR(SUM(SUMIFS('caseload data'!L:L,'caseload data'!$C:$C,'community %'!$B$57,'caseload data'!$D:$D,"SPO",'caseload data'!$B:$B,{"licence","community"}))/SUM(SUMIFS('caseload data'!L:L,'caseload data'!$B:$B,{"licence","community"},'caseload data'!$C:$C,'community %'!$B$57)),"")</f>
        <v/>
      </c>
      <c r="K62" s="187" t="str">
        <f>IFERROR(SUM(SUMIFS('caseload data'!M:M,'caseload data'!$C:$C,'community %'!$B$57,'caseload data'!$D:$D,"SPO",'caseload data'!$B:$B,{"licence","community"}))/SUM(SUMIFS('caseload data'!M:M,'caseload data'!$B:$B,{"licence","community"},'caseload data'!$C:$C,'community %'!$B$57)),"")</f>
        <v/>
      </c>
      <c r="L62" s="187" t="str">
        <f>IFERROR(SUM(SUMIFS('caseload data'!N:N,'caseload data'!$C:$C,'community %'!$B$57,'caseload data'!$D:$D,"SPO",'caseload data'!$B:$B,{"licence","community"}))/SUM(SUMIFS('caseload data'!N:N,'caseload data'!$B:$B,{"licence","community"},'caseload data'!$C:$C,'community %'!$B$57)),"")</f>
        <v/>
      </c>
      <c r="M62" s="187" t="str">
        <f>IFERROR(SUM(SUMIFS('caseload data'!O:O,'caseload data'!$C:$C,'community %'!$B$57,'caseload data'!$D:$D,"SPO",'caseload data'!$B:$B,{"licence","community"}))/SUM(SUMIFS('caseload data'!O:O,'caseload data'!$B:$B,{"licence","community"},'caseload data'!$C:$C,'community %'!$B$57)),"")</f>
        <v/>
      </c>
      <c r="N62" s="187" t="str">
        <f>IFERROR(SUM(SUMIFS('caseload data'!P:P,'caseload data'!$C:$C,'community %'!$B$57,'caseload data'!$D:$D,"SPO",'caseload data'!$B:$B,{"licence","community"}))/SUM(SUMIFS('caseload data'!P:P,'caseload data'!$B:$B,{"licence","community"},'caseload data'!$C:$C,'community %'!$B$57)),"")</f>
        <v/>
      </c>
      <c r="O62" s="187" t="str">
        <f>IFERROR(SUM(SUMIFS('caseload data'!Q:Q,'caseload data'!$C:$C,'community %'!$B$57,'caseload data'!$D:$D,"SPO",'caseload data'!$B:$B,{"licence","community"}))/SUM(SUMIFS('caseload data'!Q:Q,'caseload data'!$B:$B,{"licence","community"},'caseload data'!$C:$C,'community %'!$B$57)),"")</f>
        <v/>
      </c>
      <c r="P62" s="187" t="str">
        <f>IFERROR(SUM(SUMIFS('caseload data'!R:R,'caseload data'!$C:$C,'community %'!$B$57,'caseload data'!$D:$D,"SPO",'caseload data'!$B:$B,{"licence","community"}))/SUM(SUMIFS('caseload data'!R:R,'caseload data'!$B:$B,{"licence","community"},'caseload data'!$C:$C,'community %'!$B$57)),"")</f>
        <v/>
      </c>
      <c r="Q62" s="187" t="str">
        <f>IFERROR(SUM(SUMIFS('caseload data'!S:S,'caseload data'!$C:$C,'community %'!$B$57,'caseload data'!$D:$D,"SPO",'caseload data'!$B:$B,{"licence","community"}))/SUM(SUMIFS('caseload data'!S:S,'caseload data'!$B:$B,{"licence","community"},'caseload data'!$C:$C,'community %'!$B$57)),"")</f>
        <v/>
      </c>
      <c r="R62" s="187" t="str">
        <f>IFERROR(SUM(SUMIFS('caseload data'!T:T,'caseload data'!$C:$C,'community %'!$B$57,'caseload data'!$D:$D,"SPO",'caseload data'!$B:$B,{"licence","community"}))/SUM(SUMIFS('caseload data'!T:T,'caseload data'!$B:$B,{"licence","community"},'caseload data'!$C:$C,'community %'!$B$57)),"")</f>
        <v/>
      </c>
      <c r="S62" s="76"/>
      <c r="T62" s="111" t="s">
        <v>1040</v>
      </c>
      <c r="U62" s="187" t="str">
        <f>IFERROR(SUM(SUMIFS('caseload data'!E:E,'caseload data'!$C:$C,'community %'!$T$57,'caseload data'!$D:$D,"SPO",'caseload data'!$B:$B,{"licence","community"}))/SUM(SUMIFS('caseload data'!E:E,'caseload data'!$B:$B,{"licence","community"},'caseload data'!$C:$C,'community %'!$T$57)),"")</f>
        <v/>
      </c>
      <c r="V62" s="187" t="str">
        <f>IFERROR(SUM(SUMIFS('caseload data'!F:F,'caseload data'!$C:$C,'community %'!$T$57,'caseload data'!$D:$D,"SPO",'caseload data'!$B:$B,{"licence","community"}))/SUM(SUMIFS('caseload data'!F:F,'caseload data'!$B:$B,{"licence","community"},'caseload data'!$C:$C,'community %'!$T$57)),"")</f>
        <v/>
      </c>
      <c r="W62" s="187" t="str">
        <f>IFERROR(SUM(SUMIFS('caseload data'!G:G,'caseload data'!$C:$C,'community %'!$T$57,'caseload data'!$D:$D,"SPO",'caseload data'!$B:$B,{"licence","community"}))/SUM(SUMIFS('caseload data'!G:G,'caseload data'!$B:$B,{"licence","community"},'caseload data'!$C:$C,'community %'!$T$57)),"")</f>
        <v/>
      </c>
      <c r="X62" s="187" t="str">
        <f>IFERROR(SUM(SUMIFS('caseload data'!H:H,'caseload data'!$C:$C,'community %'!$T$57,'caseload data'!$D:$D,"SPO",'caseload data'!$B:$B,{"licence","community"}))/SUM(SUMIFS('caseload data'!H:H,'caseload data'!$B:$B,{"licence","community"},'caseload data'!$C:$C,'community %'!$T$57)),"")</f>
        <v/>
      </c>
      <c r="Y62" s="187" t="str">
        <f>IFERROR(SUM(SUMIFS('caseload data'!I:I,'caseload data'!$C:$C,'community %'!$T$57,'caseload data'!$D:$D,"SPO",'caseload data'!$B:$B,{"licence","community"}))/SUM(SUMIFS('caseload data'!I:I,'caseload data'!$B:$B,{"licence","community"},'caseload data'!$C:$C,'community %'!$T$57)),"")</f>
        <v/>
      </c>
      <c r="Z62" s="187" t="str">
        <f>IFERROR(SUM(SUMIFS('caseload data'!J:J,'caseload data'!$C:$C,'community %'!$T$57,'caseload data'!$D:$D,"SPO",'caseload data'!$B:$B,{"licence","community"}))/SUM(SUMIFS('caseload data'!J:J,'caseload data'!$B:$B,{"licence","community"},'caseload data'!$C:$C,'community %'!$T$57)),"")</f>
        <v/>
      </c>
      <c r="AA62" s="187" t="str">
        <f>IFERROR(SUM(SUMIFS('caseload data'!K:K,'caseload data'!$C:$C,'community %'!$T$57,'caseload data'!$D:$D,"SPO",'caseload data'!$B:$B,{"licence","community"}))/SUM(SUMIFS('caseload data'!K:K,'caseload data'!$B:$B,{"licence","community"},'caseload data'!$C:$C,'community %'!$T$57)),"")</f>
        <v/>
      </c>
      <c r="AB62" s="187" t="str">
        <f>IFERROR(SUM(SUMIFS('caseload data'!L:L,'caseload data'!$C:$C,'community %'!$T$57,'caseload data'!$D:$D,"SPO",'caseload data'!$B:$B,{"licence","community"}))/SUM(SUMIFS('caseload data'!L:L,'caseload data'!$B:$B,{"licence","community"},'caseload data'!$C:$C,'community %'!$T$57)),"")</f>
        <v/>
      </c>
      <c r="AC62" s="187" t="str">
        <f>IFERROR(SUM(SUMIFS('caseload data'!M:M,'caseload data'!$C:$C,'community %'!$T$57,'caseload data'!$D:$D,"SPO",'caseload data'!$B:$B,{"licence","community"}))/SUM(SUMIFS('caseload data'!M:M,'caseload data'!$B:$B,{"licence","community"},'caseload data'!$C:$C,'community %'!$T$57)),"")</f>
        <v/>
      </c>
      <c r="AD62" s="187" t="str">
        <f>IFERROR(SUM(SUMIFS('caseload data'!N:N,'caseload data'!$C:$C,'community %'!$T$57,'caseload data'!$D:$D,"SPO",'caseload data'!$B:$B,{"licence","community"}))/SUM(SUMIFS('caseload data'!N:N,'caseload data'!$B:$B,{"licence","community"},'caseload data'!$C:$C,'community %'!$T$57)),"")</f>
        <v/>
      </c>
      <c r="AE62" s="187" t="str">
        <f>IFERROR(SUM(SUMIFS('caseload data'!O:O,'caseload data'!$C:$C,'community %'!$T$57,'caseload data'!$D:$D,"SPO",'caseload data'!$B:$B,{"licence","community"}))/SUM(SUMIFS('caseload data'!O:O,'caseload data'!$B:$B,{"licence","community"},'caseload data'!$C:$C,'community %'!$T$57)),"")</f>
        <v/>
      </c>
      <c r="AF62" s="187" t="str">
        <f>IFERROR(SUM(SUMIFS('caseload data'!P:P,'caseload data'!$C:$C,'community %'!$T$57,'caseload data'!$D:$D,"SPO",'caseload data'!$B:$B,{"licence","community"}))/SUM(SUMIFS('caseload data'!P:P,'caseload data'!$B:$B,{"licence","community"},'caseload data'!$C:$C,'community %'!$T$57)),"")</f>
        <v/>
      </c>
      <c r="AG62" s="187" t="str">
        <f>IFERROR(SUM(SUMIFS('caseload data'!Q:Q,'caseload data'!$C:$C,'community %'!$T$57,'caseload data'!$D:$D,"SPO",'caseload data'!$B:$B,{"licence","community"}))/SUM(SUMIFS('caseload data'!Q:Q,'caseload data'!$B:$B,{"licence","community"},'caseload data'!$C:$C,'community %'!$T$57)),"")</f>
        <v/>
      </c>
      <c r="AH62" s="187" t="str">
        <f>IFERROR(SUM(SUMIFS('caseload data'!R:R,'caseload data'!$C:$C,'community %'!$T$57,'caseload data'!$D:$D,"SPO",'caseload data'!$B:$B,{"licence","community"}))/SUM(SUMIFS('caseload data'!R:R,'caseload data'!$B:$B,{"licence","community"},'caseload data'!$C:$C,'community %'!$T$57)),"")</f>
        <v/>
      </c>
      <c r="AI62" s="187" t="str">
        <f>IFERROR(SUM(SUMIFS('caseload data'!S:S,'caseload data'!$C:$C,'community %'!$T$57,'caseload data'!$D:$D,"SPO",'caseload data'!$B:$B,{"licence","community"}))/SUM(SUMIFS('caseload data'!S:S,'caseload data'!$B:$B,{"licence","community"},'caseload data'!$C:$C,'community %'!$T$57)),"")</f>
        <v/>
      </c>
      <c r="AJ62" s="187" t="str">
        <f>IFERROR(SUM(SUMIFS('caseload data'!T:T,'caseload data'!$C:$C,'community %'!$T$57,'caseload data'!$D:$D,"SPO",'caseload data'!$B:$B,{"licence","community"}))/SUM(SUMIFS('caseload data'!T:T,'caseload data'!$B:$B,{"licence","community"},'caseload data'!$C:$C,'community %'!$T$57)),"")</f>
        <v/>
      </c>
    </row>
    <row r="64" spans="2:36" x14ac:dyDescent="0.15">
      <c r="B64" s="162" t="str">
        <f>HLOOKUP($B$5,Region_Table,18,0)</f>
        <v>Kingston, Richmond and Hounslow</v>
      </c>
      <c r="C64" s="333" t="s">
        <v>1269</v>
      </c>
      <c r="D64" s="334"/>
      <c r="E64" s="334"/>
      <c r="F64" s="334"/>
      <c r="G64" s="334"/>
      <c r="H64" s="334"/>
      <c r="I64" s="334"/>
      <c r="J64" s="334"/>
      <c r="K64" s="334"/>
      <c r="L64" s="334"/>
      <c r="M64" s="343"/>
      <c r="N64" s="343"/>
      <c r="O64" s="344"/>
      <c r="P64" s="337" cm="1">
        <f t="array" ref="P64">SUM(SUMIFS('caseload data'!V:V,'caseload data'!B:B,{"licence","community"},'caseload data'!$C:$C,B64))</f>
        <v>0</v>
      </c>
      <c r="Q64" s="345"/>
      <c r="R64" s="346"/>
      <c r="S64" s="76"/>
      <c r="T64" s="162" t="str">
        <f>HLOOKUP($B$5,Region_Table,19,0)</f>
        <v>Lambeth - N07</v>
      </c>
      <c r="U64" s="333" t="s">
        <v>1269</v>
      </c>
      <c r="V64" s="334"/>
      <c r="W64" s="334"/>
      <c r="X64" s="334"/>
      <c r="Y64" s="334"/>
      <c r="Z64" s="334"/>
      <c r="AA64" s="334"/>
      <c r="AB64" s="334"/>
      <c r="AC64" s="334"/>
      <c r="AD64" s="334"/>
      <c r="AE64" s="343"/>
      <c r="AF64" s="343"/>
      <c r="AG64" s="344"/>
      <c r="AH64" s="337" cm="1">
        <f t="array" ref="AH64">SUM(SUMIFS('caseload data'!V:V,'caseload data'!B:B,{"licence","community"},'caseload data'!$C:$C,T64))</f>
        <v>0</v>
      </c>
      <c r="AI64" s="345"/>
      <c r="AJ64" s="346"/>
    </row>
    <row r="65" spans="2:36" x14ac:dyDescent="0.15">
      <c r="B65" s="108" t="s">
        <v>1199</v>
      </c>
      <c r="C65" s="42" t="s">
        <v>1019</v>
      </c>
      <c r="D65" s="42" t="s">
        <v>1020</v>
      </c>
      <c r="E65" s="42" t="s">
        <v>1021</v>
      </c>
      <c r="F65" s="42" t="s">
        <v>1022</v>
      </c>
      <c r="G65" s="42" t="s">
        <v>1023</v>
      </c>
      <c r="H65" s="42" t="s">
        <v>1024</v>
      </c>
      <c r="I65" s="42" t="s">
        <v>1025</v>
      </c>
      <c r="J65" s="42" t="s">
        <v>1026</v>
      </c>
      <c r="K65" s="42" t="s">
        <v>1027</v>
      </c>
      <c r="L65" s="42" t="s">
        <v>1028</v>
      </c>
      <c r="M65" s="42" t="s">
        <v>1029</v>
      </c>
      <c r="N65" s="42" t="s">
        <v>1030</v>
      </c>
      <c r="O65" s="42" t="s">
        <v>1031</v>
      </c>
      <c r="P65" s="42" t="s">
        <v>1032</v>
      </c>
      <c r="Q65" s="42" t="s">
        <v>1033</v>
      </c>
      <c r="R65" s="42" t="s">
        <v>1034</v>
      </c>
      <c r="S65" s="76"/>
      <c r="T65" s="108" t="s">
        <v>1199</v>
      </c>
      <c r="U65" s="42" t="s">
        <v>1019</v>
      </c>
      <c r="V65" s="42" t="s">
        <v>1020</v>
      </c>
      <c r="W65" s="42" t="s">
        <v>1021</v>
      </c>
      <c r="X65" s="42" t="s">
        <v>1022</v>
      </c>
      <c r="Y65" s="42" t="s">
        <v>1023</v>
      </c>
      <c r="Z65" s="42" t="s">
        <v>1024</v>
      </c>
      <c r="AA65" s="42" t="s">
        <v>1025</v>
      </c>
      <c r="AB65" s="42" t="s">
        <v>1026</v>
      </c>
      <c r="AC65" s="42" t="s">
        <v>1027</v>
      </c>
      <c r="AD65" s="42" t="s">
        <v>1028</v>
      </c>
      <c r="AE65" s="42" t="s">
        <v>1029</v>
      </c>
      <c r="AF65" s="42" t="s">
        <v>1030</v>
      </c>
      <c r="AG65" s="42" t="s">
        <v>1031</v>
      </c>
      <c r="AH65" s="42" t="s">
        <v>1032</v>
      </c>
      <c r="AI65" s="42" t="s">
        <v>1033</v>
      </c>
      <c r="AJ65" s="42" t="s">
        <v>1034</v>
      </c>
    </row>
    <row r="66" spans="2:36" x14ac:dyDescent="0.15">
      <c r="B66" s="109" t="s">
        <v>1037</v>
      </c>
      <c r="C66" s="187" t="str">
        <f>IFERROR(SUM(SUMIFS('caseload data'!E:E,'caseload data'!$C:$C,'community %'!$B$64,'caseload data'!$D:$D,"PO",'caseload data'!$B:$B,{"licence","community"}))/SUM(SUMIFS('caseload data'!E:E,'caseload data'!$B:$B,{"licence","community"},'caseload data'!$C:$C,'community %'!$B$64)),"")</f>
        <v/>
      </c>
      <c r="D66" s="187" t="str">
        <f>IFERROR(SUM(SUMIFS('caseload data'!F:F,'caseload data'!$C:$C,'community %'!$B$64,'caseload data'!$D:$D,"PO",'caseload data'!$B:$B,{"licence","community"}))/SUM(SUMIFS('caseload data'!F:F,'caseload data'!$B:$B,{"licence","community"},'caseload data'!$C:$C,'community %'!$B$64)),"")</f>
        <v/>
      </c>
      <c r="E66" s="187" t="str">
        <f>IFERROR(SUM(SUMIFS('caseload data'!G:G,'caseload data'!$C:$C,'community %'!$B$64,'caseload data'!$D:$D,"PO",'caseload data'!$B:$B,{"licence","community"}))/SUM(SUMIFS('caseload data'!G:G,'caseload data'!$B:$B,{"licence","community"},'caseload data'!$C:$C,'community %'!$B$64)),"")</f>
        <v/>
      </c>
      <c r="F66" s="187" t="str">
        <f>IFERROR(SUM(SUMIFS('caseload data'!H:H,'caseload data'!$C:$C,'community %'!$B$64,'caseload data'!$D:$D,"PO",'caseload data'!$B:$B,{"licence","community"}))/SUM(SUMIFS('caseload data'!H:H,'caseload data'!$B:$B,{"licence","community"},'caseload data'!$C:$C,'community %'!$B$64)),"")</f>
        <v/>
      </c>
      <c r="G66" s="187" t="str">
        <f>IFERROR(SUM(SUMIFS('caseload data'!I:I,'caseload data'!$C:$C,'community %'!$B$64,'caseload data'!$D:$D,"PO",'caseload data'!$B:$B,{"licence","community"}))/SUM(SUMIFS('caseload data'!I:I,'caseload data'!$B:$B,{"licence","community"},'caseload data'!$C:$C,'community %'!$B$64)),"")</f>
        <v/>
      </c>
      <c r="H66" s="187" t="str">
        <f>IFERROR(SUM(SUMIFS('caseload data'!J:J,'caseload data'!$C:$C,'community %'!$B$64,'caseload data'!$D:$D,"PO",'caseload data'!$B:$B,{"licence","community"}))/SUM(SUMIFS('caseload data'!J:J,'caseload data'!$B:$B,{"licence","community"},'caseload data'!$C:$C,'community %'!$B$64)),"")</f>
        <v/>
      </c>
      <c r="I66" s="187" t="str">
        <f>IFERROR(SUM(SUMIFS('caseload data'!K:K,'caseload data'!$C:$C,'community %'!$B$64,'caseload data'!$D:$D,"PO",'caseload data'!$B:$B,{"licence","community"}))/SUM(SUMIFS('caseload data'!K:K,'caseload data'!$B:$B,{"licence","community"},'caseload data'!$C:$C,'community %'!$B$64)),"")</f>
        <v/>
      </c>
      <c r="J66" s="187" t="str">
        <f>IFERROR(SUM(SUMIFS('caseload data'!L:L,'caseload data'!$C:$C,'community %'!$B$64,'caseload data'!$D:$D,"PO",'caseload data'!$B:$B,{"licence","community"}))/SUM(SUMIFS('caseload data'!L:L,'caseload data'!$B:$B,{"licence","community"},'caseload data'!$C:$C,'community %'!$B$64)),"")</f>
        <v/>
      </c>
      <c r="K66" s="187" t="str">
        <f>IFERROR(SUM(SUMIFS('caseload data'!M:M,'caseload data'!$C:$C,'community %'!$B$64,'caseload data'!$D:$D,"PO",'caseload data'!$B:$B,{"licence","community"}))/SUM(SUMIFS('caseload data'!M:M,'caseload data'!$B:$B,{"licence","community"},'caseload data'!$C:$C,'community %'!$B$64)),"")</f>
        <v/>
      </c>
      <c r="L66" s="187" t="str">
        <f>IFERROR(SUM(SUMIFS('caseload data'!N:N,'caseload data'!$C:$C,'community %'!$B$64,'caseload data'!$D:$D,"PO",'caseload data'!$B:$B,{"licence","community"}))/SUM(SUMIFS('caseload data'!N:N,'caseload data'!$B:$B,{"licence","community"},'caseload data'!$C:$C,'community %'!$B$64)),"")</f>
        <v/>
      </c>
      <c r="M66" s="187" t="str">
        <f>IFERROR(SUM(SUMIFS('caseload data'!O:O,'caseload data'!$C:$C,'community %'!$B$64,'caseload data'!$D:$D,"PO",'caseload data'!$B:$B,{"licence","community"}))/SUM(SUMIFS('caseload data'!O:O,'caseload data'!$B:$B,{"licence","community"},'caseload data'!$C:$C,'community %'!$B$64)),"")</f>
        <v/>
      </c>
      <c r="N66" s="187" t="str">
        <f>IFERROR(SUM(SUMIFS('caseload data'!P:P,'caseload data'!$C:$C,'community %'!$B$64,'caseload data'!$D:$D,"PO",'caseload data'!$B:$B,{"licence","community"}))/SUM(SUMIFS('caseload data'!P:P,'caseload data'!$B:$B,{"licence","community"},'caseload data'!$C:$C,'community %'!$B$64)),"")</f>
        <v/>
      </c>
      <c r="O66" s="187" t="str">
        <f>IFERROR(SUM(SUMIFS('caseload data'!Q:Q,'caseload data'!$C:$C,'community %'!$B$64,'caseload data'!$D:$D,"PO",'caseload data'!$B:$B,{"licence","community"}))/SUM(SUMIFS('caseload data'!Q:Q,'caseload data'!$B:$B,{"licence","community"},'caseload data'!$C:$C,'community %'!$B$64)),"")</f>
        <v/>
      </c>
      <c r="P66" s="187" t="str">
        <f>IFERROR(SUM(SUMIFS('caseload data'!R:R,'caseload data'!$C:$C,'community %'!$B$64,'caseload data'!$D:$D,"PO",'caseload data'!$B:$B,{"licence","community"}))/SUM(SUMIFS('caseload data'!R:R,'caseload data'!$B:$B,{"licence","community"},'caseload data'!$C:$C,'community %'!$B$64)),"")</f>
        <v/>
      </c>
      <c r="Q66" s="187" t="str">
        <f>IFERROR(SUM(SUMIFS('caseload data'!S:S,'caseload data'!$C:$C,'community %'!$B$64,'caseload data'!$D:$D,"PO",'caseload data'!$B:$B,{"licence","community"}))/SUM(SUMIFS('caseload data'!S:S,'caseload data'!$B:$B,{"licence","community"},'caseload data'!$C:$C,'community %'!$B$64)),"")</f>
        <v/>
      </c>
      <c r="R66" s="187" t="str">
        <f>IFERROR(SUM(SUMIFS('caseload data'!T:T,'caseload data'!$C:$C,'community %'!$B$64,'caseload data'!$D:$D,"PO",'caseload data'!$B:$B,{"licence","community"}))/SUM(SUMIFS('caseload data'!T:T,'caseload data'!$B:$B,{"licence","community"},'caseload data'!$C:$C,'community %'!$B$64)),"")</f>
        <v/>
      </c>
      <c r="S66" s="76"/>
      <c r="T66" s="109" t="s">
        <v>1037</v>
      </c>
      <c r="U66" s="187" t="str">
        <f>IFERROR(SUM(SUMIFS('caseload data'!E:E,'caseload data'!$C:$C,'community %'!$T$64,'caseload data'!$D:$D,"PO",'caseload data'!$B:$B,{"licence","community"}))/SUM(SUMIFS('caseload data'!E:E,'caseload data'!$B:$B,{"licence","community"},'caseload data'!$C:$C,'community %'!$T$64)),"")</f>
        <v/>
      </c>
      <c r="V66" s="187" t="str">
        <f>IFERROR(SUM(SUMIFS('caseload data'!F:F,'caseload data'!$C:$C,'community %'!$T$64,'caseload data'!$D:$D,"PO",'caseload data'!$B:$B,{"licence","community"}))/SUM(SUMIFS('caseload data'!F:F,'caseload data'!$B:$B,{"licence","community"},'caseload data'!$C:$C,'community %'!$T$64)),"")</f>
        <v/>
      </c>
      <c r="W66" s="187" t="str">
        <f>IFERROR(SUM(SUMIFS('caseload data'!G:G,'caseload data'!$C:$C,'community %'!$T$64,'caseload data'!$D:$D,"PO",'caseload data'!$B:$B,{"licence","community"}))/SUM(SUMIFS('caseload data'!G:G,'caseload data'!$B:$B,{"licence","community"},'caseload data'!$C:$C,'community %'!$T$64)),"")</f>
        <v/>
      </c>
      <c r="X66" s="187" t="str">
        <f>IFERROR(SUM(SUMIFS('caseload data'!H:H,'caseload data'!$C:$C,'community %'!$T$64,'caseload data'!$D:$D,"PO",'caseload data'!$B:$B,{"licence","community"}))/SUM(SUMIFS('caseload data'!H:H,'caseload data'!$B:$B,{"licence","community"},'caseload data'!$C:$C,'community %'!$T$64)),"")</f>
        <v/>
      </c>
      <c r="Y66" s="187" t="str">
        <f>IFERROR(SUM(SUMIFS('caseload data'!I:I,'caseload data'!$C:$C,'community %'!$T$64,'caseload data'!$D:$D,"PO",'caseload data'!$B:$B,{"licence","community"}))/SUM(SUMIFS('caseload data'!I:I,'caseload data'!$B:$B,{"licence","community"},'caseload data'!$C:$C,'community %'!$T$64)),"")</f>
        <v/>
      </c>
      <c r="Z66" s="187" t="str">
        <f>IFERROR(SUM(SUMIFS('caseload data'!J:J,'caseload data'!$C:$C,'community %'!$T$64,'caseload data'!$D:$D,"PO",'caseload data'!$B:$B,{"licence","community"}))/SUM(SUMIFS('caseload data'!J:J,'caseload data'!$B:$B,{"licence","community"},'caseload data'!$C:$C,'community %'!$T$64)),"")</f>
        <v/>
      </c>
      <c r="AA66" s="187" t="str">
        <f>IFERROR(SUM(SUMIFS('caseload data'!K:K,'caseload data'!$C:$C,'community %'!$T$64,'caseload data'!$D:$D,"PO",'caseload data'!$B:$B,{"licence","community"}))/SUM(SUMIFS('caseload data'!K:K,'caseload data'!$B:$B,{"licence","community"},'caseload data'!$C:$C,'community %'!$T$64)),"")</f>
        <v/>
      </c>
      <c r="AB66" s="187" t="str">
        <f>IFERROR(SUM(SUMIFS('caseload data'!L:L,'caseload data'!$C:$C,'community %'!$T$64,'caseload data'!$D:$D,"PO",'caseload data'!$B:$B,{"licence","community"}))/SUM(SUMIFS('caseload data'!L:L,'caseload data'!$B:$B,{"licence","community"},'caseload data'!$C:$C,'community %'!$T$64)),"")</f>
        <v/>
      </c>
      <c r="AC66" s="187" t="str">
        <f>IFERROR(SUM(SUMIFS('caseload data'!M:M,'caseload data'!$C:$C,'community %'!$T$64,'caseload data'!$D:$D,"PO",'caseload data'!$B:$B,{"licence","community"}))/SUM(SUMIFS('caseload data'!M:M,'caseload data'!$B:$B,{"licence","community"},'caseload data'!$C:$C,'community %'!$T$64)),"")</f>
        <v/>
      </c>
      <c r="AD66" s="187" t="str">
        <f>IFERROR(SUM(SUMIFS('caseload data'!N:N,'caseload data'!$C:$C,'community %'!$T$64,'caseload data'!$D:$D,"PO",'caseload data'!$B:$B,{"licence","community"}))/SUM(SUMIFS('caseload data'!N:N,'caseload data'!$B:$B,{"licence","community"},'caseload data'!$C:$C,'community %'!$T$64)),"")</f>
        <v/>
      </c>
      <c r="AE66" s="187" t="str">
        <f>IFERROR(SUM(SUMIFS('caseload data'!O:O,'caseload data'!$C:$C,'community %'!$T$64,'caseload data'!$D:$D,"PO",'caseload data'!$B:$B,{"licence","community"}))/SUM(SUMIFS('caseload data'!O:O,'caseload data'!$B:$B,{"licence","community"},'caseload data'!$C:$C,'community %'!$T$64)),"")</f>
        <v/>
      </c>
      <c r="AF66" s="187" t="str">
        <f>IFERROR(SUM(SUMIFS('caseload data'!P:P,'caseload data'!$C:$C,'community %'!$T$64,'caseload data'!$D:$D,"PO",'caseload data'!$B:$B,{"licence","community"}))/SUM(SUMIFS('caseload data'!P:P,'caseload data'!$B:$B,{"licence","community"},'caseload data'!$C:$C,'community %'!$T$64)),"")</f>
        <v/>
      </c>
      <c r="AG66" s="187" t="str">
        <f>IFERROR(SUM(SUMIFS('caseload data'!Q:Q,'caseload data'!$C:$C,'community %'!$T$64,'caseload data'!$D:$D,"PO",'caseload data'!$B:$B,{"licence","community"}))/SUM(SUMIFS('caseload data'!Q:Q,'caseload data'!$B:$B,{"licence","community"},'caseload data'!$C:$C,'community %'!$T$64)),"")</f>
        <v/>
      </c>
      <c r="AH66" s="187" t="str">
        <f>IFERROR(SUM(SUMIFS('caseload data'!R:R,'caseload data'!$C:$C,'community %'!$T$64,'caseload data'!$D:$D,"PO",'caseload data'!$B:$B,{"licence","community"}))/SUM(SUMIFS('caseload data'!R:R,'caseload data'!$B:$B,{"licence","community"},'caseload data'!$C:$C,'community %'!$T$64)),"")</f>
        <v/>
      </c>
      <c r="AI66" s="187" t="str">
        <f>IFERROR(SUM(SUMIFS('caseload data'!S:S,'caseload data'!$C:$C,'community %'!$T$64,'caseload data'!$D:$D,"PO",'caseload data'!$B:$B,{"licence","community"}))/SUM(SUMIFS('caseload data'!S:S,'caseload data'!$B:$B,{"licence","community"},'caseload data'!$C:$C,'community %'!$T$64)),"")</f>
        <v/>
      </c>
      <c r="AJ66" s="187" t="str">
        <f>IFERROR(SUM(SUMIFS('caseload data'!T:T,'caseload data'!$C:$C,'community %'!$T$64,'caseload data'!$D:$D,"PO",'caseload data'!$B:$B,{"licence","community"}))/SUM(SUMIFS('caseload data'!T:T,'caseload data'!$B:$B,{"licence","community"},'caseload data'!$C:$C,'community %'!$T$64)),"")</f>
        <v/>
      </c>
    </row>
    <row r="67" spans="2:36" x14ac:dyDescent="0.15">
      <c r="B67" s="110" t="s">
        <v>1038</v>
      </c>
      <c r="C67" s="187" t="str">
        <f>IFERROR(SUM(SUMIFS('caseload data'!E:E,'caseload data'!$C:$C,'community %'!$B$64,'caseload data'!$D:$D,"PSO",'caseload data'!$B:$B,{"licence","community"}))/SUM(SUMIFS('caseload data'!E:E,'caseload data'!$B:$B,{"licence","community"},'caseload data'!$C:$C,'community %'!$B$64)),"")</f>
        <v/>
      </c>
      <c r="D67" s="187" t="str">
        <f>IFERROR(SUM(SUMIFS('caseload data'!F:F,'caseload data'!$C:$C,'community %'!$B$64,'caseload data'!$D:$D,"PSO",'caseload data'!$B:$B,{"licence","community"}))/SUM(SUMIFS('caseload data'!F:F,'caseload data'!$B:$B,{"licence","community"},'caseload data'!$C:$C,'community %'!$B$64)),"")</f>
        <v/>
      </c>
      <c r="E67" s="187" t="str">
        <f>IFERROR(SUM(SUMIFS('caseload data'!G:G,'caseload data'!$C:$C,'community %'!$B$64,'caseload data'!$D:$D,"PSO",'caseload data'!$B:$B,{"licence","community"}))/SUM(SUMIFS('caseload data'!G:G,'caseload data'!$B:$B,{"licence","community"},'caseload data'!$C:$C,'community %'!$B$64)),"")</f>
        <v/>
      </c>
      <c r="F67" s="187" t="str">
        <f>IFERROR(SUM(SUMIFS('caseload data'!H:H,'caseload data'!$C:$C,'community %'!$B$64,'caseload data'!$D:$D,"PSO",'caseload data'!$B:$B,{"licence","community"}))/SUM(SUMIFS('caseload data'!H:H,'caseload data'!$B:$B,{"licence","community"},'caseload data'!$C:$C,'community %'!$B$64)),"")</f>
        <v/>
      </c>
      <c r="G67" s="187" t="str">
        <f>IFERROR(SUM(SUMIFS('caseload data'!I:I,'caseload data'!$C:$C,'community %'!$B$64,'caseload data'!$D:$D,"PSO",'caseload data'!$B:$B,{"licence","community"}))/SUM(SUMIFS('caseload data'!I:I,'caseload data'!$B:$B,{"licence","community"},'caseload data'!$C:$C,'community %'!$B$64)),"")</f>
        <v/>
      </c>
      <c r="H67" s="187" t="str">
        <f>IFERROR(SUM(SUMIFS('caseload data'!J:J,'caseload data'!$C:$C,'community %'!$B$64,'caseload data'!$D:$D,"PSO",'caseload data'!$B:$B,{"licence","community"}))/SUM(SUMIFS('caseload data'!J:J,'caseload data'!$B:$B,{"licence","community"},'caseload data'!$C:$C,'community %'!$B$64)),"")</f>
        <v/>
      </c>
      <c r="I67" s="187" t="str">
        <f>IFERROR(SUM(SUMIFS('caseload data'!K:K,'caseload data'!$C:$C,'community %'!$B$64,'caseload data'!$D:$D,"PSO",'caseload data'!$B:$B,{"licence","community"}))/SUM(SUMIFS('caseload data'!K:K,'caseload data'!$B:$B,{"licence","community"},'caseload data'!$C:$C,'community %'!$B$64)),"")</f>
        <v/>
      </c>
      <c r="J67" s="187" t="str">
        <f>IFERROR(SUM(SUMIFS('caseload data'!L:L,'caseload data'!$C:$C,'community %'!$B$64,'caseload data'!$D:$D,"PSO",'caseload data'!$B:$B,{"licence","community"}))/SUM(SUMIFS('caseload data'!L:L,'caseload data'!$B:$B,{"licence","community"},'caseload data'!$C:$C,'community %'!$B$64)),"")</f>
        <v/>
      </c>
      <c r="K67" s="187" t="str">
        <f>IFERROR(SUM(SUMIFS('caseload data'!M:M,'caseload data'!$C:$C,'community %'!$B$64,'caseload data'!$D:$D,"PSO",'caseload data'!$B:$B,{"licence","community"}))/SUM(SUMIFS('caseload data'!M:M,'caseload data'!$B:$B,{"licence","community"},'caseload data'!$C:$C,'community %'!$B$64)),"")</f>
        <v/>
      </c>
      <c r="L67" s="187" t="str">
        <f>IFERROR(SUM(SUMIFS('caseload data'!N:N,'caseload data'!$C:$C,'community %'!$B$64,'caseload data'!$D:$D,"PSO",'caseload data'!$B:$B,{"licence","community"}))/SUM(SUMIFS('caseload data'!N:N,'caseload data'!$B:$B,{"licence","community"},'caseload data'!$C:$C,'community %'!$B$64)),"")</f>
        <v/>
      </c>
      <c r="M67" s="187" t="str">
        <f>IFERROR(SUM(SUMIFS('caseload data'!O:O,'caseload data'!$C:$C,'community %'!$B$64,'caseload data'!$D:$D,"PSO",'caseload data'!$B:$B,{"licence","community"}))/SUM(SUMIFS('caseload data'!O:O,'caseload data'!$B:$B,{"licence","community"},'caseload data'!$C:$C,'community %'!$B$64)),"")</f>
        <v/>
      </c>
      <c r="N67" s="187" t="str">
        <f>IFERROR(SUM(SUMIFS('caseload data'!P:P,'caseload data'!$C:$C,'community %'!$B$64,'caseload data'!$D:$D,"PSO",'caseload data'!$B:$B,{"licence","community"}))/SUM(SUMIFS('caseload data'!P:P,'caseload data'!$B:$B,{"licence","community"},'caseload data'!$C:$C,'community %'!$B$64)),"")</f>
        <v/>
      </c>
      <c r="O67" s="187" t="str">
        <f>IFERROR(SUM(SUMIFS('caseload data'!Q:Q,'caseload data'!$C:$C,'community %'!$B$64,'caseload data'!$D:$D,"PSO",'caseload data'!$B:$B,{"licence","community"}))/SUM(SUMIFS('caseload data'!Q:Q,'caseload data'!$B:$B,{"licence","community"},'caseload data'!$C:$C,'community %'!$B$64)),"")</f>
        <v/>
      </c>
      <c r="P67" s="187" t="str">
        <f>IFERROR(SUM(SUMIFS('caseload data'!R:R,'caseload data'!$C:$C,'community %'!$B$64,'caseload data'!$D:$D,"PSO",'caseload data'!$B:$B,{"licence","community"}))/SUM(SUMIFS('caseload data'!R:R,'caseload data'!$B:$B,{"licence","community"},'caseload data'!$C:$C,'community %'!$B$64)),"")</f>
        <v/>
      </c>
      <c r="Q67" s="187" t="str">
        <f>IFERROR(SUM(SUMIFS('caseload data'!S:S,'caseload data'!$C:$C,'community %'!$B$64,'caseload data'!$D:$D,"PSO",'caseload data'!$B:$B,{"licence","community"}))/SUM(SUMIFS('caseload data'!S:S,'caseload data'!$B:$B,{"licence","community"},'caseload data'!$C:$C,'community %'!$B$64)),"")</f>
        <v/>
      </c>
      <c r="R67" s="187" t="str">
        <f>IFERROR(SUM(SUMIFS('caseload data'!T:T,'caseload data'!$C:$C,'community %'!$B$64,'caseload data'!$D:$D,"PSO",'caseload data'!$B:$B,{"licence","community"}))/SUM(SUMIFS('caseload data'!T:T,'caseload data'!$B:$B,{"licence","community"},'caseload data'!$C:$C,'community %'!$B$64)),"")</f>
        <v/>
      </c>
      <c r="S67" s="76"/>
      <c r="T67" s="110" t="s">
        <v>1038</v>
      </c>
      <c r="U67" s="187" t="str">
        <f>IFERROR(SUM(SUMIFS('caseload data'!E:E,'caseload data'!$C:$C,'community %'!$T$64,'caseload data'!$D:$D,"PSO",'caseload data'!$B:$B,{"licence","community"}))/SUM(SUMIFS('caseload data'!E:E,'caseload data'!$B:$B,{"licence","community"},'caseload data'!$C:$C,'community %'!$T$64)),"")</f>
        <v/>
      </c>
      <c r="V67" s="187" t="str">
        <f>IFERROR(SUM(SUMIFS('caseload data'!F:F,'caseload data'!$C:$C,'community %'!$T$64,'caseload data'!$D:$D,"PSO",'caseload data'!$B:$B,{"licence","community"}))/SUM(SUMIFS('caseload data'!F:F,'caseload data'!$B:$B,{"licence","community"},'caseload data'!$C:$C,'community %'!$T$64)),"")</f>
        <v/>
      </c>
      <c r="W67" s="187" t="str">
        <f>IFERROR(SUM(SUMIFS('caseload data'!G:G,'caseload data'!$C:$C,'community %'!$T$64,'caseload data'!$D:$D,"PSO",'caseload data'!$B:$B,{"licence","community"}))/SUM(SUMIFS('caseload data'!G:G,'caseload data'!$B:$B,{"licence","community"},'caseload data'!$C:$C,'community %'!$T$64)),"")</f>
        <v/>
      </c>
      <c r="X67" s="187" t="str">
        <f>IFERROR(SUM(SUMIFS('caseload data'!H:H,'caseload data'!$C:$C,'community %'!$T$64,'caseload data'!$D:$D,"PSO",'caseload data'!$B:$B,{"licence","community"}))/SUM(SUMIFS('caseload data'!H:H,'caseload data'!$B:$B,{"licence","community"},'caseload data'!$C:$C,'community %'!$T$64)),"")</f>
        <v/>
      </c>
      <c r="Y67" s="187" t="str">
        <f>IFERROR(SUM(SUMIFS('caseload data'!I:I,'caseload data'!$C:$C,'community %'!$T$64,'caseload data'!$D:$D,"PSO",'caseload data'!$B:$B,{"licence","community"}))/SUM(SUMIFS('caseload data'!I:I,'caseload data'!$B:$B,{"licence","community"},'caseload data'!$C:$C,'community %'!$T$64)),"")</f>
        <v/>
      </c>
      <c r="Z67" s="187" t="str">
        <f>IFERROR(SUM(SUMIFS('caseload data'!J:J,'caseload data'!$C:$C,'community %'!$T$64,'caseload data'!$D:$D,"PSO",'caseload data'!$B:$B,{"licence","community"}))/SUM(SUMIFS('caseload data'!J:J,'caseload data'!$B:$B,{"licence","community"},'caseload data'!$C:$C,'community %'!$T$64)),"")</f>
        <v/>
      </c>
      <c r="AA67" s="187" t="str">
        <f>IFERROR(SUM(SUMIFS('caseload data'!K:K,'caseload data'!$C:$C,'community %'!$T$64,'caseload data'!$D:$D,"PSO",'caseload data'!$B:$B,{"licence","community"}))/SUM(SUMIFS('caseload data'!K:K,'caseload data'!$B:$B,{"licence","community"},'caseload data'!$C:$C,'community %'!$T$64)),"")</f>
        <v/>
      </c>
      <c r="AB67" s="187" t="str">
        <f>IFERROR(SUM(SUMIFS('caseload data'!L:L,'caseload data'!$C:$C,'community %'!$T$64,'caseload data'!$D:$D,"PSO",'caseload data'!$B:$B,{"licence","community"}))/SUM(SUMIFS('caseload data'!L:L,'caseload data'!$B:$B,{"licence","community"},'caseload data'!$C:$C,'community %'!$T$64)),"")</f>
        <v/>
      </c>
      <c r="AC67" s="187" t="str">
        <f>IFERROR(SUM(SUMIFS('caseload data'!M:M,'caseload data'!$C:$C,'community %'!$T$64,'caseload data'!$D:$D,"PSO",'caseload data'!$B:$B,{"licence","community"}))/SUM(SUMIFS('caseload data'!M:M,'caseload data'!$B:$B,{"licence","community"},'caseload data'!$C:$C,'community %'!$T$64)),"")</f>
        <v/>
      </c>
      <c r="AD67" s="187" t="str">
        <f>IFERROR(SUM(SUMIFS('caseload data'!N:N,'caseload data'!$C:$C,'community %'!$T$64,'caseload data'!$D:$D,"PSO",'caseload data'!$B:$B,{"licence","community"}))/SUM(SUMIFS('caseload data'!N:N,'caseload data'!$B:$B,{"licence","community"},'caseload data'!$C:$C,'community %'!$T$64)),"")</f>
        <v/>
      </c>
      <c r="AE67" s="187" t="str">
        <f>IFERROR(SUM(SUMIFS('caseload data'!O:O,'caseload data'!$C:$C,'community %'!$T$64,'caseload data'!$D:$D,"PSO",'caseload data'!$B:$B,{"licence","community"}))/SUM(SUMIFS('caseload data'!O:O,'caseload data'!$B:$B,{"licence","community"},'caseload data'!$C:$C,'community %'!$T$64)),"")</f>
        <v/>
      </c>
      <c r="AF67" s="187" t="str">
        <f>IFERROR(SUM(SUMIFS('caseload data'!P:P,'caseload data'!$C:$C,'community %'!$T$64,'caseload data'!$D:$D,"PSO",'caseload data'!$B:$B,{"licence","community"}))/SUM(SUMIFS('caseload data'!P:P,'caseload data'!$B:$B,{"licence","community"},'caseload data'!$C:$C,'community %'!$T$64)),"")</f>
        <v/>
      </c>
      <c r="AG67" s="187" t="str">
        <f>IFERROR(SUM(SUMIFS('caseload data'!Q:Q,'caseload data'!$C:$C,'community %'!$T$64,'caseload data'!$D:$D,"PSO",'caseload data'!$B:$B,{"licence","community"}))/SUM(SUMIFS('caseload data'!Q:Q,'caseload data'!$B:$B,{"licence","community"},'caseload data'!$C:$C,'community %'!$T$64)),"")</f>
        <v/>
      </c>
      <c r="AH67" s="187" t="str">
        <f>IFERROR(SUM(SUMIFS('caseload data'!R:R,'caseload data'!$C:$C,'community %'!$T$64,'caseload data'!$D:$D,"PSO",'caseload data'!$B:$B,{"licence","community"}))/SUM(SUMIFS('caseload data'!R:R,'caseload data'!$B:$B,{"licence","community"},'caseload data'!$C:$C,'community %'!$T$64)),"")</f>
        <v/>
      </c>
      <c r="AI67" s="187" t="str">
        <f>IFERROR(SUM(SUMIFS('caseload data'!S:S,'caseload data'!$C:$C,'community %'!$T$64,'caseload data'!$D:$D,"PSO",'caseload data'!$B:$B,{"licence","community"}))/SUM(SUMIFS('caseload data'!S:S,'caseload data'!$B:$B,{"licence","community"},'caseload data'!$C:$C,'community %'!$T$64)),"")</f>
        <v/>
      </c>
      <c r="AJ67" s="187" t="str">
        <f>IFERROR(SUM(SUMIFS('caseload data'!T:T,'caseload data'!$C:$C,'community %'!$T$64,'caseload data'!$D:$D,"PSO",'caseload data'!$B:$B,{"licence","community"}))/SUM(SUMIFS('caseload data'!T:T,'caseload data'!$B:$B,{"licence","community"},'caseload data'!$C:$C,'community %'!$T$64)),"")</f>
        <v/>
      </c>
    </row>
    <row r="68" spans="2:36" x14ac:dyDescent="0.15">
      <c r="B68" s="110" t="s">
        <v>1039</v>
      </c>
      <c r="C68" s="187" t="str">
        <f>IFERROR(SUM(SUMIFS('caseload data'!E:E,'caseload data'!$C:$C,'community %'!$B$64,'caseload data'!$D:$D,"TPO",'caseload data'!$B:$B,{"licence","community"}))/SUM(SUMIFS('caseload data'!E:E,'caseload data'!$B:$B,{"licence","community"},'caseload data'!$C:$C,'community %'!$B$64)),"")</f>
        <v/>
      </c>
      <c r="D68" s="187" t="str">
        <f>IFERROR(SUM(SUMIFS('caseload data'!F:F,'caseload data'!$C:$C,'community %'!$B$64,'caseload data'!$D:$D,"TPO",'caseload data'!$B:$B,{"licence","community"}))/SUM(SUMIFS('caseload data'!F:F,'caseload data'!$B:$B,{"licence","community"},'caseload data'!$C:$C,'community %'!$B$64)),"")</f>
        <v/>
      </c>
      <c r="E68" s="187" t="str">
        <f>IFERROR(SUM(SUMIFS('caseload data'!G:G,'caseload data'!$C:$C,'community %'!$B$64,'caseload data'!$D:$D,"TPO",'caseload data'!$B:$B,{"licence","community"}))/SUM(SUMIFS('caseload data'!G:G,'caseload data'!$B:$B,{"licence","community"},'caseload data'!$C:$C,'community %'!$B$64)),"")</f>
        <v/>
      </c>
      <c r="F68" s="187" t="str">
        <f>IFERROR(SUM(SUMIFS('caseload data'!H:H,'caseload data'!$C:$C,'community %'!$B$64,'caseload data'!$D:$D,"TPO",'caseload data'!$B:$B,{"licence","community"}))/SUM(SUMIFS('caseload data'!H:H,'caseload data'!$B:$B,{"licence","community"},'caseload data'!$C:$C,'community %'!$B$64)),"")</f>
        <v/>
      </c>
      <c r="G68" s="187" t="str">
        <f>IFERROR(SUM(SUMIFS('caseload data'!I:I,'caseload data'!$C:$C,'community %'!$B$64,'caseload data'!$D:$D,"TPO",'caseload data'!$B:$B,{"licence","community"}))/SUM(SUMIFS('caseload data'!I:I,'caseload data'!$B:$B,{"licence","community"},'caseload data'!$C:$C,'community %'!$B$64)),"")</f>
        <v/>
      </c>
      <c r="H68" s="187" t="str">
        <f>IFERROR(SUM(SUMIFS('caseload data'!J:J,'caseload data'!$C:$C,'community %'!$B$64,'caseload data'!$D:$D,"TPO",'caseload data'!$B:$B,{"licence","community"}))/SUM(SUMIFS('caseload data'!J:J,'caseload data'!$B:$B,{"licence","community"},'caseload data'!$C:$C,'community %'!$B$64)),"")</f>
        <v/>
      </c>
      <c r="I68" s="187" t="str">
        <f>IFERROR(SUM(SUMIFS('caseload data'!K:K,'caseload data'!$C:$C,'community %'!$B$64,'caseload data'!$D:$D,"TPO",'caseload data'!$B:$B,{"licence","community"}))/SUM(SUMIFS('caseload data'!K:K,'caseload data'!$B:$B,{"licence","community"},'caseload data'!$C:$C,'community %'!$B$64)),"")</f>
        <v/>
      </c>
      <c r="J68" s="187" t="str">
        <f>IFERROR(SUM(SUMIFS('caseload data'!L:L,'caseload data'!$C:$C,'community %'!$B$64,'caseload data'!$D:$D,"TPO",'caseload data'!$B:$B,{"licence","community"}))/SUM(SUMIFS('caseload data'!L:L,'caseload data'!$B:$B,{"licence","community"},'caseload data'!$C:$C,'community %'!$B$64)),"")</f>
        <v/>
      </c>
      <c r="K68" s="187" t="str">
        <f>IFERROR(SUM(SUMIFS('caseload data'!M:M,'caseload data'!$C:$C,'community %'!$B$64,'caseload data'!$D:$D,"TPO",'caseload data'!$B:$B,{"licence","community"}))/SUM(SUMIFS('caseload data'!M:M,'caseload data'!$B:$B,{"licence","community"},'caseload data'!$C:$C,'community %'!$B$64)),"")</f>
        <v/>
      </c>
      <c r="L68" s="187" t="str">
        <f>IFERROR(SUM(SUMIFS('caseload data'!N:N,'caseload data'!$C:$C,'community %'!$B$64,'caseload data'!$D:$D,"TPO",'caseload data'!$B:$B,{"licence","community"}))/SUM(SUMIFS('caseload data'!N:N,'caseload data'!$B:$B,{"licence","community"},'caseload data'!$C:$C,'community %'!$B$64)),"")</f>
        <v/>
      </c>
      <c r="M68" s="187" t="str">
        <f>IFERROR(SUM(SUMIFS('caseload data'!O:O,'caseload data'!$C:$C,'community %'!$B$64,'caseload data'!$D:$D,"TPO",'caseload data'!$B:$B,{"licence","community"}))/SUM(SUMIFS('caseload data'!O:O,'caseload data'!$B:$B,{"licence","community"},'caseload data'!$C:$C,'community %'!$B$64)),"")</f>
        <v/>
      </c>
      <c r="N68" s="187" t="str">
        <f>IFERROR(SUM(SUMIFS('caseload data'!P:P,'caseload data'!$C:$C,'community %'!$B$64,'caseload data'!$D:$D,"TPO",'caseload data'!$B:$B,{"licence","community"}))/SUM(SUMIFS('caseload data'!P:P,'caseload data'!$B:$B,{"licence","community"},'caseload data'!$C:$C,'community %'!$B$64)),"")</f>
        <v/>
      </c>
      <c r="O68" s="187" t="str">
        <f>IFERROR(SUM(SUMIFS('caseload data'!Q:Q,'caseload data'!$C:$C,'community %'!$B$64,'caseload data'!$D:$D,"TPO",'caseload data'!$B:$B,{"licence","community"}))/SUM(SUMIFS('caseload data'!Q:Q,'caseload data'!$B:$B,{"licence","community"},'caseload data'!$C:$C,'community %'!$B$64)),"")</f>
        <v/>
      </c>
      <c r="P68" s="187" t="str">
        <f>IFERROR(SUM(SUMIFS('caseload data'!R:R,'caseload data'!$C:$C,'community %'!$B$64,'caseload data'!$D:$D,"TPO",'caseload data'!$B:$B,{"licence","community"}))/SUM(SUMIFS('caseload data'!R:R,'caseload data'!$B:$B,{"licence","community"},'caseload data'!$C:$C,'community %'!$B$64)),"")</f>
        <v/>
      </c>
      <c r="Q68" s="187" t="str">
        <f>IFERROR(SUM(SUMIFS('caseload data'!S:S,'caseload data'!$C:$C,'community %'!$B$64,'caseload data'!$D:$D,"TPO",'caseload data'!$B:$B,{"licence","community"}))/SUM(SUMIFS('caseload data'!S:S,'caseload data'!$B:$B,{"licence","community"},'caseload data'!$C:$C,'community %'!$B$64)),"")</f>
        <v/>
      </c>
      <c r="R68" s="187" t="str">
        <f>IFERROR(SUM(SUMIFS('caseload data'!T:T,'caseload data'!$C:$C,'community %'!$B$64,'caseload data'!$D:$D,"TPO",'caseload data'!$B:$B,{"licence","community"}))/SUM(SUMIFS('caseload data'!T:T,'caseload data'!$B:$B,{"licence","community"},'caseload data'!$C:$C,'community %'!$B$64)),"")</f>
        <v/>
      </c>
      <c r="S68" s="76"/>
      <c r="T68" s="110" t="s">
        <v>1039</v>
      </c>
      <c r="U68" s="187" t="str">
        <f>IFERROR(SUM(SUMIFS('caseload data'!E:E,'caseload data'!$C:$C,'community %'!$T$64,'caseload data'!$D:$D,"TPO",'caseload data'!$B:$B,{"licence","community"}))/SUM(SUMIFS('caseload data'!E:E,'caseload data'!$B:$B,{"licence","community"},'caseload data'!$C:$C,'community %'!$T$64)),"")</f>
        <v/>
      </c>
      <c r="V68" s="187" t="str">
        <f>IFERROR(SUM(SUMIFS('caseload data'!F:F,'caseload data'!$C:$C,'community %'!$T$64,'caseload data'!$D:$D,"TPO",'caseload data'!$B:$B,{"licence","community"}))/SUM(SUMIFS('caseload data'!F:F,'caseload data'!$B:$B,{"licence","community"},'caseload data'!$C:$C,'community %'!$T$64)),"")</f>
        <v/>
      </c>
      <c r="W68" s="187" t="str">
        <f>IFERROR(SUM(SUMIFS('caseload data'!G:G,'caseload data'!$C:$C,'community %'!$T$64,'caseload data'!$D:$D,"TPO",'caseload data'!$B:$B,{"licence","community"}))/SUM(SUMIFS('caseload data'!G:G,'caseload data'!$B:$B,{"licence","community"},'caseload data'!$C:$C,'community %'!$T$64)),"")</f>
        <v/>
      </c>
      <c r="X68" s="187" t="str">
        <f>IFERROR(SUM(SUMIFS('caseload data'!H:H,'caseload data'!$C:$C,'community %'!$T$64,'caseload data'!$D:$D,"TPO",'caseload data'!$B:$B,{"licence","community"}))/SUM(SUMIFS('caseload data'!H:H,'caseload data'!$B:$B,{"licence","community"},'caseload data'!$C:$C,'community %'!$T$64)),"")</f>
        <v/>
      </c>
      <c r="Y68" s="187" t="str">
        <f>IFERROR(SUM(SUMIFS('caseload data'!I:I,'caseload data'!$C:$C,'community %'!$T$64,'caseload data'!$D:$D,"TPO",'caseload data'!$B:$B,{"licence","community"}))/SUM(SUMIFS('caseload data'!I:I,'caseload data'!$B:$B,{"licence","community"},'caseload data'!$C:$C,'community %'!$T$64)),"")</f>
        <v/>
      </c>
      <c r="Z68" s="187" t="str">
        <f>IFERROR(SUM(SUMIFS('caseload data'!J:J,'caseload data'!$C:$C,'community %'!$T$64,'caseload data'!$D:$D,"TPO",'caseload data'!$B:$B,{"licence","community"}))/SUM(SUMIFS('caseload data'!J:J,'caseload data'!$B:$B,{"licence","community"},'caseload data'!$C:$C,'community %'!$T$64)),"")</f>
        <v/>
      </c>
      <c r="AA68" s="187" t="str">
        <f>IFERROR(SUM(SUMIFS('caseload data'!K:K,'caseload data'!$C:$C,'community %'!$T$64,'caseload data'!$D:$D,"TPO",'caseload data'!$B:$B,{"licence","community"}))/SUM(SUMIFS('caseload data'!K:K,'caseload data'!$B:$B,{"licence","community"},'caseload data'!$C:$C,'community %'!$T$64)),"")</f>
        <v/>
      </c>
      <c r="AB68" s="187" t="str">
        <f>IFERROR(SUM(SUMIFS('caseload data'!L:L,'caseload data'!$C:$C,'community %'!$T$64,'caseload data'!$D:$D,"TPO",'caseload data'!$B:$B,{"licence","community"}))/SUM(SUMIFS('caseload data'!L:L,'caseload data'!$B:$B,{"licence","community"},'caseload data'!$C:$C,'community %'!$T$64)),"")</f>
        <v/>
      </c>
      <c r="AC68" s="187" t="str">
        <f>IFERROR(SUM(SUMIFS('caseload data'!M:M,'caseload data'!$C:$C,'community %'!$T$64,'caseload data'!$D:$D,"TPO",'caseload data'!$B:$B,{"licence","community"}))/SUM(SUMIFS('caseload data'!M:M,'caseload data'!$B:$B,{"licence","community"},'caseload data'!$C:$C,'community %'!$T$64)),"")</f>
        <v/>
      </c>
      <c r="AD68" s="187" t="str">
        <f>IFERROR(SUM(SUMIFS('caseload data'!N:N,'caseload data'!$C:$C,'community %'!$T$64,'caseload data'!$D:$D,"TPO",'caseload data'!$B:$B,{"licence","community"}))/SUM(SUMIFS('caseload data'!N:N,'caseload data'!$B:$B,{"licence","community"},'caseload data'!$C:$C,'community %'!$T$64)),"")</f>
        <v/>
      </c>
      <c r="AE68" s="187" t="str">
        <f>IFERROR(SUM(SUMIFS('caseload data'!O:O,'caseload data'!$C:$C,'community %'!$T$64,'caseload data'!$D:$D,"TPO",'caseload data'!$B:$B,{"licence","community"}))/SUM(SUMIFS('caseload data'!O:O,'caseload data'!$B:$B,{"licence","community"},'caseload data'!$C:$C,'community %'!$T$64)),"")</f>
        <v/>
      </c>
      <c r="AF68" s="187" t="str">
        <f>IFERROR(SUM(SUMIFS('caseload data'!P:P,'caseload data'!$C:$C,'community %'!$T$64,'caseload data'!$D:$D,"TPO",'caseload data'!$B:$B,{"licence","community"}))/SUM(SUMIFS('caseload data'!P:P,'caseload data'!$B:$B,{"licence","community"},'caseload data'!$C:$C,'community %'!$T$64)),"")</f>
        <v/>
      </c>
      <c r="AG68" s="187" t="str">
        <f>IFERROR(SUM(SUMIFS('caseload data'!Q:Q,'caseload data'!$C:$C,'community %'!$T$64,'caseload data'!$D:$D,"TPO",'caseload data'!$B:$B,{"licence","community"}))/SUM(SUMIFS('caseload data'!Q:Q,'caseload data'!$B:$B,{"licence","community"},'caseload data'!$C:$C,'community %'!$T$64)),"")</f>
        <v/>
      </c>
      <c r="AH68" s="187" t="str">
        <f>IFERROR(SUM(SUMIFS('caseload data'!R:R,'caseload data'!$C:$C,'community %'!$T$64,'caseload data'!$D:$D,"TPO",'caseload data'!$B:$B,{"licence","community"}))/SUM(SUMIFS('caseload data'!R:R,'caseload data'!$B:$B,{"licence","community"},'caseload data'!$C:$C,'community %'!$T$64)),"")</f>
        <v/>
      </c>
      <c r="AI68" s="187" t="str">
        <f>IFERROR(SUM(SUMIFS('caseload data'!S:S,'caseload data'!$C:$C,'community %'!$T$64,'caseload data'!$D:$D,"TPO",'caseload data'!$B:$B,{"licence","community"}))/SUM(SUMIFS('caseload data'!S:S,'caseload data'!$B:$B,{"licence","community"},'caseload data'!$C:$C,'community %'!$T$64)),"")</f>
        <v/>
      </c>
      <c r="AJ68" s="187" t="str">
        <f>IFERROR(SUM(SUMIFS('caseload data'!T:T,'caseload data'!$C:$C,'community %'!$T$64,'caseload data'!$D:$D,"TPO",'caseload data'!$B:$B,{"licence","community"}))/SUM(SUMIFS('caseload data'!T:T,'caseload data'!$B:$B,{"licence","community"},'caseload data'!$C:$C,'community %'!$T$64)),"")</f>
        <v/>
      </c>
    </row>
    <row r="69" spans="2:36" x14ac:dyDescent="0.15">
      <c r="B69" s="111" t="s">
        <v>1040</v>
      </c>
      <c r="C69" s="187" t="str">
        <f>IFERROR(SUM(SUMIFS('caseload data'!E:E,'caseload data'!$C:$C,'community %'!$B$64,'caseload data'!$D:$D,"SPO",'caseload data'!$B:$B,{"licence","community"}))/SUM(SUMIFS('caseload data'!E:E,'caseload data'!$B:$B,{"licence","community"},'caseload data'!$C:$C,'community %'!$B$64)),"")</f>
        <v/>
      </c>
      <c r="D69" s="187" t="str">
        <f>IFERROR(SUM(SUMIFS('caseload data'!F:F,'caseload data'!$C:$C,'community %'!$B$64,'caseload data'!$D:$D,"SPO",'caseload data'!$B:$B,{"licence","community"}))/SUM(SUMIFS('caseload data'!F:F,'caseload data'!$B:$B,{"licence","community"},'caseload data'!$C:$C,'community %'!$B$64)),"")</f>
        <v/>
      </c>
      <c r="E69" s="187" t="str">
        <f>IFERROR(SUM(SUMIFS('caseload data'!G:G,'caseload data'!$C:$C,'community %'!$B$64,'caseload data'!$D:$D,"SPO",'caseload data'!$B:$B,{"licence","community"}))/SUM(SUMIFS('caseload data'!G:G,'caseload data'!$B:$B,{"licence","community"},'caseload data'!$C:$C,'community %'!$B$64)),"")</f>
        <v/>
      </c>
      <c r="F69" s="187" t="str">
        <f>IFERROR(SUM(SUMIFS('caseload data'!H:H,'caseload data'!$C:$C,'community %'!$B$64,'caseload data'!$D:$D,"SPO",'caseload data'!$B:$B,{"licence","community"}))/SUM(SUMIFS('caseload data'!H:H,'caseload data'!$B:$B,{"licence","community"},'caseload data'!$C:$C,'community %'!$B$64)),"")</f>
        <v/>
      </c>
      <c r="G69" s="187" t="str">
        <f>IFERROR(SUM(SUMIFS('caseload data'!I:I,'caseload data'!$C:$C,'community %'!$B$64,'caseload data'!$D:$D,"SPO",'caseload data'!$B:$B,{"licence","community"}))/SUM(SUMIFS('caseload data'!I:I,'caseload data'!$B:$B,{"licence","community"},'caseload data'!$C:$C,'community %'!$B$64)),"")</f>
        <v/>
      </c>
      <c r="H69" s="187" t="str">
        <f>IFERROR(SUM(SUMIFS('caseload data'!J:J,'caseload data'!$C:$C,'community %'!$B$64,'caseload data'!$D:$D,"SPO",'caseload data'!$B:$B,{"licence","community"}))/SUM(SUMIFS('caseload data'!J:J,'caseload data'!$B:$B,{"licence","community"},'caseload data'!$C:$C,'community %'!$B$64)),"")</f>
        <v/>
      </c>
      <c r="I69" s="187" t="str">
        <f>IFERROR(SUM(SUMIFS('caseload data'!K:K,'caseload data'!$C:$C,'community %'!$B$64,'caseload data'!$D:$D,"SPO",'caseload data'!$B:$B,{"licence","community"}))/SUM(SUMIFS('caseload data'!K:K,'caseload data'!$B:$B,{"licence","community"},'caseload data'!$C:$C,'community %'!$B$64)),"")</f>
        <v/>
      </c>
      <c r="J69" s="187" t="str">
        <f>IFERROR(SUM(SUMIFS('caseload data'!L:L,'caseload data'!$C:$C,'community %'!$B$64,'caseload data'!$D:$D,"SPO",'caseload data'!$B:$B,{"licence","community"}))/SUM(SUMIFS('caseload data'!L:L,'caseload data'!$B:$B,{"licence","community"},'caseload data'!$C:$C,'community %'!$B$64)),"")</f>
        <v/>
      </c>
      <c r="K69" s="187" t="str">
        <f>IFERROR(SUM(SUMIFS('caseload data'!M:M,'caseload data'!$C:$C,'community %'!$B$64,'caseload data'!$D:$D,"SPO",'caseload data'!$B:$B,{"licence","community"}))/SUM(SUMIFS('caseload data'!M:M,'caseload data'!$B:$B,{"licence","community"},'caseload data'!$C:$C,'community %'!$B$64)),"")</f>
        <v/>
      </c>
      <c r="L69" s="187" t="str">
        <f>IFERROR(SUM(SUMIFS('caseload data'!N:N,'caseload data'!$C:$C,'community %'!$B$64,'caseload data'!$D:$D,"SPO",'caseload data'!$B:$B,{"licence","community"}))/SUM(SUMIFS('caseload data'!N:N,'caseload data'!$B:$B,{"licence","community"},'caseload data'!$C:$C,'community %'!$B$64)),"")</f>
        <v/>
      </c>
      <c r="M69" s="187" t="str">
        <f>IFERROR(SUM(SUMIFS('caseload data'!O:O,'caseload data'!$C:$C,'community %'!$B$64,'caseload data'!$D:$D,"SPO",'caseload data'!$B:$B,{"licence","community"}))/SUM(SUMIFS('caseload data'!O:O,'caseload data'!$B:$B,{"licence","community"},'caseload data'!$C:$C,'community %'!$B$64)),"")</f>
        <v/>
      </c>
      <c r="N69" s="187" t="str">
        <f>IFERROR(SUM(SUMIFS('caseload data'!P:P,'caseload data'!$C:$C,'community %'!$B$64,'caseload data'!$D:$D,"SPO",'caseload data'!$B:$B,{"licence","community"}))/SUM(SUMIFS('caseload data'!P:P,'caseload data'!$B:$B,{"licence","community"},'caseload data'!$C:$C,'community %'!$B$64)),"")</f>
        <v/>
      </c>
      <c r="O69" s="187" t="str">
        <f>IFERROR(SUM(SUMIFS('caseload data'!Q:Q,'caseload data'!$C:$C,'community %'!$B$64,'caseload data'!$D:$D,"SPO",'caseload data'!$B:$B,{"licence","community"}))/SUM(SUMIFS('caseload data'!Q:Q,'caseload data'!$B:$B,{"licence","community"},'caseload data'!$C:$C,'community %'!$B$64)),"")</f>
        <v/>
      </c>
      <c r="P69" s="187" t="str">
        <f>IFERROR(SUM(SUMIFS('caseload data'!R:R,'caseload data'!$C:$C,'community %'!$B$64,'caseload data'!$D:$D,"SPO",'caseload data'!$B:$B,{"licence","community"}))/SUM(SUMIFS('caseload data'!R:R,'caseload data'!$B:$B,{"licence","community"},'caseload data'!$C:$C,'community %'!$B$64)),"")</f>
        <v/>
      </c>
      <c r="Q69" s="187" t="str">
        <f>IFERROR(SUM(SUMIFS('caseload data'!S:S,'caseload data'!$C:$C,'community %'!$B$64,'caseload data'!$D:$D,"SPO",'caseload data'!$B:$B,{"licence","community"}))/SUM(SUMIFS('caseload data'!S:S,'caseload data'!$B:$B,{"licence","community"},'caseload data'!$C:$C,'community %'!$B$64)),"")</f>
        <v/>
      </c>
      <c r="R69" s="187" t="str">
        <f>IFERROR(SUM(SUMIFS('caseload data'!T:T,'caseload data'!$C:$C,'community %'!$B$64,'caseload data'!$D:$D,"SPO",'caseload data'!$B:$B,{"licence","community"}))/SUM(SUMIFS('caseload data'!T:T,'caseload data'!$B:$B,{"licence","community"},'caseload data'!$C:$C,'community %'!$B$64)),"")</f>
        <v/>
      </c>
      <c r="S69" s="76"/>
      <c r="T69" s="111" t="s">
        <v>1040</v>
      </c>
      <c r="U69" s="187" t="str">
        <f>IFERROR(SUM(SUMIFS('caseload data'!E:E,'caseload data'!$C:$C,'community %'!$T$64,'caseload data'!$D:$D,"SPO",'caseload data'!$B:$B,{"licence","community"}))/SUM(SUMIFS('caseload data'!E:E,'caseload data'!$B:$B,{"licence","community"},'caseload data'!$C:$C,'community %'!$T$64)),"")</f>
        <v/>
      </c>
      <c r="V69" s="187" t="str">
        <f>IFERROR(SUM(SUMIFS('caseload data'!F:F,'caseload data'!$C:$C,'community %'!$T$64,'caseload data'!$D:$D,"SPO",'caseload data'!$B:$B,{"licence","community"}))/SUM(SUMIFS('caseload data'!F:F,'caseload data'!$B:$B,{"licence","community"},'caseload data'!$C:$C,'community %'!$T$64)),"")</f>
        <v/>
      </c>
      <c r="W69" s="187" t="str">
        <f>IFERROR(SUM(SUMIFS('caseload data'!G:G,'caseload data'!$C:$C,'community %'!$T$64,'caseload data'!$D:$D,"SPO",'caseload data'!$B:$B,{"licence","community"}))/SUM(SUMIFS('caseload data'!G:G,'caseload data'!$B:$B,{"licence","community"},'caseload data'!$C:$C,'community %'!$T$64)),"")</f>
        <v/>
      </c>
      <c r="X69" s="187" t="str">
        <f>IFERROR(SUM(SUMIFS('caseload data'!H:H,'caseload data'!$C:$C,'community %'!$T$64,'caseload data'!$D:$D,"SPO",'caseload data'!$B:$B,{"licence","community"}))/SUM(SUMIFS('caseload data'!H:H,'caseload data'!$B:$B,{"licence","community"},'caseload data'!$C:$C,'community %'!$T$64)),"")</f>
        <v/>
      </c>
      <c r="Y69" s="187" t="str">
        <f>IFERROR(SUM(SUMIFS('caseload data'!I:I,'caseload data'!$C:$C,'community %'!$T$64,'caseload data'!$D:$D,"SPO",'caseload data'!$B:$B,{"licence","community"}))/SUM(SUMIFS('caseload data'!I:I,'caseload data'!$B:$B,{"licence","community"},'caseload data'!$C:$C,'community %'!$T$64)),"")</f>
        <v/>
      </c>
      <c r="Z69" s="187" t="str">
        <f>IFERROR(SUM(SUMIFS('caseload data'!J:J,'caseload data'!$C:$C,'community %'!$T$64,'caseload data'!$D:$D,"SPO",'caseload data'!$B:$B,{"licence","community"}))/SUM(SUMIFS('caseload data'!J:J,'caseload data'!$B:$B,{"licence","community"},'caseload data'!$C:$C,'community %'!$T$64)),"")</f>
        <v/>
      </c>
      <c r="AA69" s="187" t="str">
        <f>IFERROR(SUM(SUMIFS('caseload data'!K:K,'caseload data'!$C:$C,'community %'!$T$64,'caseload data'!$D:$D,"SPO",'caseload data'!$B:$B,{"licence","community"}))/SUM(SUMIFS('caseload data'!K:K,'caseload data'!$B:$B,{"licence","community"},'caseload data'!$C:$C,'community %'!$T$64)),"")</f>
        <v/>
      </c>
      <c r="AB69" s="187" t="str">
        <f>IFERROR(SUM(SUMIFS('caseload data'!L:L,'caseload data'!$C:$C,'community %'!$T$64,'caseload data'!$D:$D,"SPO",'caseload data'!$B:$B,{"licence","community"}))/SUM(SUMIFS('caseload data'!L:L,'caseload data'!$B:$B,{"licence","community"},'caseload data'!$C:$C,'community %'!$T$64)),"")</f>
        <v/>
      </c>
      <c r="AC69" s="187" t="str">
        <f>IFERROR(SUM(SUMIFS('caseload data'!M:M,'caseload data'!$C:$C,'community %'!$T$64,'caseload data'!$D:$D,"SPO",'caseload data'!$B:$B,{"licence","community"}))/SUM(SUMIFS('caseload data'!M:M,'caseload data'!$B:$B,{"licence","community"},'caseload data'!$C:$C,'community %'!$T$64)),"")</f>
        <v/>
      </c>
      <c r="AD69" s="187" t="str">
        <f>IFERROR(SUM(SUMIFS('caseload data'!N:N,'caseload data'!$C:$C,'community %'!$T$64,'caseload data'!$D:$D,"SPO",'caseload data'!$B:$B,{"licence","community"}))/SUM(SUMIFS('caseload data'!N:N,'caseload data'!$B:$B,{"licence","community"},'caseload data'!$C:$C,'community %'!$T$64)),"")</f>
        <v/>
      </c>
      <c r="AE69" s="187" t="str">
        <f>IFERROR(SUM(SUMIFS('caseload data'!O:O,'caseload data'!$C:$C,'community %'!$T$64,'caseload data'!$D:$D,"SPO",'caseload data'!$B:$B,{"licence","community"}))/SUM(SUMIFS('caseload data'!O:O,'caseload data'!$B:$B,{"licence","community"},'caseload data'!$C:$C,'community %'!$T$64)),"")</f>
        <v/>
      </c>
      <c r="AF69" s="187" t="str">
        <f>IFERROR(SUM(SUMIFS('caseload data'!P:P,'caseload data'!$C:$C,'community %'!$T$64,'caseload data'!$D:$D,"SPO",'caseload data'!$B:$B,{"licence","community"}))/SUM(SUMIFS('caseload data'!P:P,'caseload data'!$B:$B,{"licence","community"},'caseload data'!$C:$C,'community %'!$T$64)),"")</f>
        <v/>
      </c>
      <c r="AG69" s="187" t="str">
        <f>IFERROR(SUM(SUMIFS('caseload data'!Q:Q,'caseload data'!$C:$C,'community %'!$T$64,'caseload data'!$D:$D,"SPO",'caseload data'!$B:$B,{"licence","community"}))/SUM(SUMIFS('caseload data'!Q:Q,'caseload data'!$B:$B,{"licence","community"},'caseload data'!$C:$C,'community %'!$T$64)),"")</f>
        <v/>
      </c>
      <c r="AH69" s="187" t="str">
        <f>IFERROR(SUM(SUMIFS('caseload data'!R:R,'caseload data'!$C:$C,'community %'!$T$64,'caseload data'!$D:$D,"SPO",'caseload data'!$B:$B,{"licence","community"}))/SUM(SUMIFS('caseload data'!R:R,'caseload data'!$B:$B,{"licence","community"},'caseload data'!$C:$C,'community %'!$T$64)),"")</f>
        <v/>
      </c>
      <c r="AI69" s="187" t="str">
        <f>IFERROR(SUM(SUMIFS('caseload data'!S:S,'caseload data'!$C:$C,'community %'!$T$64,'caseload data'!$D:$D,"SPO",'caseload data'!$B:$B,{"licence","community"}))/SUM(SUMIFS('caseload data'!S:S,'caseload data'!$B:$B,{"licence","community"},'caseload data'!$C:$C,'community %'!$T$64)),"")</f>
        <v/>
      </c>
      <c r="AJ69" s="187" t="str">
        <f>IFERROR(SUM(SUMIFS('caseload data'!T:T,'caseload data'!$C:$C,'community %'!$T$64,'caseload data'!$D:$D,"SPO",'caseload data'!$B:$B,{"licence","community"}))/SUM(SUMIFS('caseload data'!T:T,'caseload data'!$B:$B,{"licence","community"},'caseload data'!$C:$C,'community %'!$T$64)),"")</f>
        <v/>
      </c>
    </row>
    <row r="71" spans="2:36" x14ac:dyDescent="0.15">
      <c r="B71" s="162" t="str">
        <f>HLOOKUP($B$5,Region_Table,20,0)</f>
        <v>Lewisham and Bromley</v>
      </c>
      <c r="C71" s="333" t="s">
        <v>1269</v>
      </c>
      <c r="D71" s="334"/>
      <c r="E71" s="334"/>
      <c r="F71" s="334"/>
      <c r="G71" s="334"/>
      <c r="H71" s="334"/>
      <c r="I71" s="334"/>
      <c r="J71" s="334"/>
      <c r="K71" s="334"/>
      <c r="L71" s="334"/>
      <c r="M71" s="343"/>
      <c r="N71" s="343"/>
      <c r="O71" s="344"/>
      <c r="P71" s="337" cm="1">
        <f t="array" ref="P71">SUM(SUMIFS('caseload data'!V:V,'caseload data'!B:B,{"licence","community"},'caseload data'!$C:$C,B71))</f>
        <v>0</v>
      </c>
      <c r="Q71" s="345"/>
      <c r="R71" s="346"/>
    </row>
    <row r="72" spans="2:36" x14ac:dyDescent="0.15">
      <c r="B72" s="108" t="s">
        <v>1199</v>
      </c>
      <c r="C72" s="42" t="s">
        <v>1019</v>
      </c>
      <c r="D72" s="42" t="s">
        <v>1020</v>
      </c>
      <c r="E72" s="42" t="s">
        <v>1021</v>
      </c>
      <c r="F72" s="42" t="s">
        <v>1022</v>
      </c>
      <c r="G72" s="42" t="s">
        <v>1023</v>
      </c>
      <c r="H72" s="42" t="s">
        <v>1024</v>
      </c>
      <c r="I72" s="42" t="s">
        <v>1025</v>
      </c>
      <c r="J72" s="42" t="s">
        <v>1026</v>
      </c>
      <c r="K72" s="42" t="s">
        <v>1027</v>
      </c>
      <c r="L72" s="42" t="s">
        <v>1028</v>
      </c>
      <c r="M72" s="42" t="s">
        <v>1029</v>
      </c>
      <c r="N72" s="42" t="s">
        <v>1030</v>
      </c>
      <c r="O72" s="42" t="s">
        <v>1031</v>
      </c>
      <c r="P72" s="42" t="s">
        <v>1032</v>
      </c>
      <c r="Q72" s="42" t="s">
        <v>1033</v>
      </c>
      <c r="R72" s="42" t="s">
        <v>1034</v>
      </c>
    </row>
    <row r="73" spans="2:36" x14ac:dyDescent="0.15">
      <c r="B73" s="109" t="s">
        <v>1037</v>
      </c>
      <c r="C73" s="187" t="str">
        <f>IFERROR(SUM(SUMIFS('caseload data'!E:E,'caseload data'!$C:$C,'community %'!$B$71,'caseload data'!$D:$D,"PO",'caseload data'!$B:$B,{"licence","community"}))/SUM(SUMIFS('caseload data'!E:E,'caseload data'!$B:$B,{"licence","community"},'caseload data'!$C:$C,'community %'!$B$71)),"")</f>
        <v/>
      </c>
      <c r="D73" s="187" t="str">
        <f>IFERROR(SUM(SUMIFS('caseload data'!F:F,'caseload data'!$C:$C,'community %'!$B$71,'caseload data'!$D:$D,"PO",'caseload data'!$B:$B,{"licence","community"}))/SUM(SUMIFS('caseload data'!F:F,'caseload data'!$B:$B,{"licence","community"},'caseload data'!$C:$C,'community %'!$B$71)),"")</f>
        <v/>
      </c>
      <c r="E73" s="187" t="str">
        <f>IFERROR(SUM(SUMIFS('caseload data'!G:G,'caseload data'!$C:$C,'community %'!$B$71,'caseload data'!$D:$D,"PO",'caseload data'!$B:$B,{"licence","community"}))/SUM(SUMIFS('caseload data'!G:G,'caseload data'!$B:$B,{"licence","community"},'caseload data'!$C:$C,'community %'!$B$71)),"")</f>
        <v/>
      </c>
      <c r="F73" s="187" t="str">
        <f>IFERROR(SUM(SUMIFS('caseload data'!H:H,'caseload data'!$C:$C,'community %'!$B$71,'caseload data'!$D:$D,"PO",'caseload data'!$B:$B,{"licence","community"}))/SUM(SUMIFS('caseload data'!H:H,'caseload data'!$B:$B,{"licence","community"},'caseload data'!$C:$C,'community %'!$B$71)),"")</f>
        <v/>
      </c>
      <c r="G73" s="187" t="str">
        <f>IFERROR(SUM(SUMIFS('caseload data'!I:I,'caseload data'!$C:$C,'community %'!$B$71,'caseload data'!$D:$D,"PO",'caseload data'!$B:$B,{"licence","community"}))/SUM(SUMIFS('caseload data'!I:I,'caseload data'!$B:$B,{"licence","community"},'caseload data'!$C:$C,'community %'!$B$71)),"")</f>
        <v/>
      </c>
      <c r="H73" s="187" t="str">
        <f>IFERROR(SUM(SUMIFS('caseload data'!J:J,'caseload data'!$C:$C,'community %'!$B$71,'caseload data'!$D:$D,"PO",'caseload data'!$B:$B,{"licence","community"}))/SUM(SUMIFS('caseload data'!J:J,'caseload data'!$B:$B,{"licence","community"},'caseload data'!$C:$C,'community %'!$B$71)),"")</f>
        <v/>
      </c>
      <c r="I73" s="187" t="str">
        <f>IFERROR(SUM(SUMIFS('caseload data'!K:K,'caseload data'!$C:$C,'community %'!$B$71,'caseload data'!$D:$D,"PO",'caseload data'!$B:$B,{"licence","community"}))/SUM(SUMIFS('caseload data'!K:K,'caseload data'!$B:$B,{"licence","community"},'caseload data'!$C:$C,'community %'!$B$71)),"")</f>
        <v/>
      </c>
      <c r="J73" s="187" t="str">
        <f>IFERROR(SUM(SUMIFS('caseload data'!L:L,'caseload data'!$C:$C,'community %'!$B$71,'caseload data'!$D:$D,"PO",'caseload data'!$B:$B,{"licence","community"}))/SUM(SUMIFS('caseload data'!L:L,'caseload data'!$B:$B,{"licence","community"},'caseload data'!$C:$C,'community %'!$B$71)),"")</f>
        <v/>
      </c>
      <c r="K73" s="187" t="str">
        <f>IFERROR(SUM(SUMIFS('caseload data'!M:M,'caseload data'!$C:$C,'community %'!$B$71,'caseload data'!$D:$D,"PO",'caseload data'!$B:$B,{"licence","community"}))/SUM(SUMIFS('caseload data'!M:M,'caseload data'!$B:$B,{"licence","community"},'caseload data'!$C:$C,'community %'!$B$71)),"")</f>
        <v/>
      </c>
      <c r="L73" s="187" t="str">
        <f>IFERROR(SUM(SUMIFS('caseload data'!N:N,'caseload data'!$C:$C,'community %'!$B$71,'caseload data'!$D:$D,"PO",'caseload data'!$B:$B,{"licence","community"}))/SUM(SUMIFS('caseload data'!N:N,'caseload data'!$B:$B,{"licence","community"},'caseload data'!$C:$C,'community %'!$B$71)),"")</f>
        <v/>
      </c>
      <c r="M73" s="187" t="str">
        <f>IFERROR(SUM(SUMIFS('caseload data'!O:O,'caseload data'!$C:$C,'community %'!$B$71,'caseload data'!$D:$D,"PO",'caseload data'!$B:$B,{"licence","community"}))/SUM(SUMIFS('caseload data'!O:O,'caseload data'!$B:$B,{"licence","community"},'caseload data'!$C:$C,'community %'!$B$71)),"")</f>
        <v/>
      </c>
      <c r="N73" s="187" t="str">
        <f>IFERROR(SUM(SUMIFS('caseload data'!P:P,'caseload data'!$C:$C,'community %'!$B$71,'caseload data'!$D:$D,"PO",'caseload data'!$B:$B,{"licence","community"}))/SUM(SUMIFS('caseload data'!P:P,'caseload data'!$B:$B,{"licence","community"},'caseload data'!$C:$C,'community %'!$B$71)),"")</f>
        <v/>
      </c>
      <c r="O73" s="187" t="str">
        <f>IFERROR(SUM(SUMIFS('caseload data'!Q:Q,'caseload data'!$C:$C,'community %'!$B$71,'caseload data'!$D:$D,"PO",'caseload data'!$B:$B,{"licence","community"}))/SUM(SUMIFS('caseload data'!Q:Q,'caseload data'!$B:$B,{"licence","community"},'caseload data'!$C:$C,'community %'!$B$71)),"")</f>
        <v/>
      </c>
      <c r="P73" s="187" t="str">
        <f>IFERROR(SUM(SUMIFS('caseload data'!R:R,'caseload data'!$C:$C,'community %'!$B$71,'caseload data'!$D:$D,"PO",'caseload data'!$B:$B,{"licence","community"}))/SUM(SUMIFS('caseload data'!R:R,'caseload data'!$B:$B,{"licence","community"},'caseload data'!$C:$C,'community %'!$B$71)),"")</f>
        <v/>
      </c>
      <c r="Q73" s="187" t="str">
        <f>IFERROR(SUM(SUMIFS('caseload data'!S:S,'caseload data'!$C:$C,'community %'!$B$71,'caseload data'!$D:$D,"PO",'caseload data'!$B:$B,{"licence","community"}))/SUM(SUMIFS('caseload data'!S:S,'caseload data'!$B:$B,{"licence","community"},'caseload data'!$C:$C,'community %'!$B$71)),"")</f>
        <v/>
      </c>
      <c r="R73" s="187" t="str">
        <f>IFERROR(SUM(SUMIFS('caseload data'!T:T,'caseload data'!$C:$C,'community %'!$B$71,'caseload data'!$D:$D,"PO",'caseload data'!$B:$B,{"licence","community"}))/SUM(SUMIFS('caseload data'!T:T,'caseload data'!$B:$B,{"licence","community"},'caseload data'!$C:$C,'community %'!$B$71)),"")</f>
        <v/>
      </c>
    </row>
    <row r="74" spans="2:36" x14ac:dyDescent="0.15">
      <c r="B74" s="110" t="s">
        <v>1038</v>
      </c>
      <c r="C74" s="187" t="str">
        <f>IFERROR(SUM(SUMIFS('caseload data'!E:E,'caseload data'!$C:$C,'community %'!$B$71,'caseload data'!$D:$D,"PSO",'caseload data'!$B:$B,{"licence","community"}))/SUM(SUMIFS('caseload data'!E:E,'caseload data'!$B:$B,{"licence","community"},'caseload data'!$C:$C,'community %'!$B$71)),"")</f>
        <v/>
      </c>
      <c r="D74" s="187" t="str">
        <f>IFERROR(SUM(SUMIFS('caseload data'!F:F,'caseload data'!$C:$C,'community %'!$B$71,'caseload data'!$D:$D,"PSO",'caseload data'!$B:$B,{"licence","community"}))/SUM(SUMIFS('caseload data'!F:F,'caseload data'!$B:$B,{"licence","community"},'caseload data'!$C:$C,'community %'!$B$71)),"")</f>
        <v/>
      </c>
      <c r="E74" s="187" t="str">
        <f>IFERROR(SUM(SUMIFS('caseload data'!G:G,'caseload data'!$C:$C,'community %'!$B$71,'caseload data'!$D:$D,"PSO",'caseload data'!$B:$B,{"licence","community"}))/SUM(SUMIFS('caseload data'!G:G,'caseload data'!$B:$B,{"licence","community"},'caseload data'!$C:$C,'community %'!$B$71)),"")</f>
        <v/>
      </c>
      <c r="F74" s="187" t="str">
        <f>IFERROR(SUM(SUMIFS('caseload data'!H:H,'caseload data'!$C:$C,'community %'!$B$71,'caseload data'!$D:$D,"PSO",'caseload data'!$B:$B,{"licence","community"}))/SUM(SUMIFS('caseload data'!H:H,'caseload data'!$B:$B,{"licence","community"},'caseload data'!$C:$C,'community %'!$B$71)),"")</f>
        <v/>
      </c>
      <c r="G74" s="187" t="str">
        <f>IFERROR(SUM(SUMIFS('caseload data'!I:I,'caseload data'!$C:$C,'community %'!$B$71,'caseload data'!$D:$D,"PSO",'caseload data'!$B:$B,{"licence","community"}))/SUM(SUMIFS('caseload data'!I:I,'caseload data'!$B:$B,{"licence","community"},'caseload data'!$C:$C,'community %'!$B$71)),"")</f>
        <v/>
      </c>
      <c r="H74" s="187" t="str">
        <f>IFERROR(SUM(SUMIFS('caseload data'!J:J,'caseload data'!$C:$C,'community %'!$B$71,'caseload data'!$D:$D,"PSO",'caseload data'!$B:$B,{"licence","community"}))/SUM(SUMIFS('caseload data'!J:J,'caseload data'!$B:$B,{"licence","community"},'caseload data'!$C:$C,'community %'!$B$71)),"")</f>
        <v/>
      </c>
      <c r="I74" s="187" t="str">
        <f>IFERROR(SUM(SUMIFS('caseload data'!K:K,'caseload data'!$C:$C,'community %'!$B$71,'caseload data'!$D:$D,"PSO",'caseload data'!$B:$B,{"licence","community"}))/SUM(SUMIFS('caseload data'!K:K,'caseload data'!$B:$B,{"licence","community"},'caseload data'!$C:$C,'community %'!$B$71)),"")</f>
        <v/>
      </c>
      <c r="J74" s="187" t="str">
        <f>IFERROR(SUM(SUMIFS('caseload data'!L:L,'caseload data'!$C:$C,'community %'!$B$71,'caseload data'!$D:$D,"PSO",'caseload data'!$B:$B,{"licence","community"}))/SUM(SUMIFS('caseload data'!L:L,'caseload data'!$B:$B,{"licence","community"},'caseload data'!$C:$C,'community %'!$B$71)),"")</f>
        <v/>
      </c>
      <c r="K74" s="187" t="str">
        <f>IFERROR(SUM(SUMIFS('caseload data'!M:M,'caseload data'!$C:$C,'community %'!$B$71,'caseload data'!$D:$D,"PSO",'caseload data'!$B:$B,{"licence","community"}))/SUM(SUMIFS('caseload data'!M:M,'caseload data'!$B:$B,{"licence","community"},'caseload data'!$C:$C,'community %'!$B$71)),"")</f>
        <v/>
      </c>
      <c r="L74" s="187" t="str">
        <f>IFERROR(SUM(SUMIFS('caseload data'!N:N,'caseload data'!$C:$C,'community %'!$B$71,'caseload data'!$D:$D,"PSO",'caseload data'!$B:$B,{"licence","community"}))/SUM(SUMIFS('caseload data'!N:N,'caseload data'!$B:$B,{"licence","community"},'caseload data'!$C:$C,'community %'!$B$71)),"")</f>
        <v/>
      </c>
      <c r="M74" s="187" t="str">
        <f>IFERROR(SUM(SUMIFS('caseload data'!O:O,'caseload data'!$C:$C,'community %'!$B$71,'caseload data'!$D:$D,"PSO",'caseload data'!$B:$B,{"licence","community"}))/SUM(SUMIFS('caseload data'!O:O,'caseload data'!$B:$B,{"licence","community"},'caseload data'!$C:$C,'community %'!$B$71)),"")</f>
        <v/>
      </c>
      <c r="N74" s="187" t="str">
        <f>IFERROR(SUM(SUMIFS('caseload data'!P:P,'caseload data'!$C:$C,'community %'!$B$71,'caseload data'!$D:$D,"PSO",'caseload data'!$B:$B,{"licence","community"}))/SUM(SUMIFS('caseload data'!P:P,'caseload data'!$B:$B,{"licence","community"},'caseload data'!$C:$C,'community %'!$B$71)),"")</f>
        <v/>
      </c>
      <c r="O74" s="187" t="str">
        <f>IFERROR(SUM(SUMIFS('caseload data'!Q:Q,'caseload data'!$C:$C,'community %'!$B$71,'caseload data'!$D:$D,"PSO",'caseload data'!$B:$B,{"licence","community"}))/SUM(SUMIFS('caseload data'!Q:Q,'caseload data'!$B:$B,{"licence","community"},'caseload data'!$C:$C,'community %'!$B$71)),"")</f>
        <v/>
      </c>
      <c r="P74" s="187" t="str">
        <f>IFERROR(SUM(SUMIFS('caseload data'!R:R,'caseload data'!$C:$C,'community %'!$B$71,'caseload data'!$D:$D,"PSO",'caseload data'!$B:$B,{"licence","community"}))/SUM(SUMIFS('caseload data'!R:R,'caseload data'!$B:$B,{"licence","community"},'caseload data'!$C:$C,'community %'!$B$71)),"")</f>
        <v/>
      </c>
      <c r="Q74" s="187" t="str">
        <f>IFERROR(SUM(SUMIFS('caseload data'!S:S,'caseload data'!$C:$C,'community %'!$B$71,'caseload data'!$D:$D,"PSO",'caseload data'!$B:$B,{"licence","community"}))/SUM(SUMIFS('caseload data'!S:S,'caseload data'!$B:$B,{"licence","community"},'caseload data'!$C:$C,'community %'!$B$71)),"")</f>
        <v/>
      </c>
      <c r="R74" s="187" t="str">
        <f>IFERROR(SUM(SUMIFS('caseload data'!T:T,'caseload data'!$C:$C,'community %'!$B$71,'caseload data'!$D:$D,"PSO",'caseload data'!$B:$B,{"licence","community"}))/SUM(SUMIFS('caseload data'!T:T,'caseload data'!$B:$B,{"licence","community"},'caseload data'!$C:$C,'community %'!$B$71)),"")</f>
        <v/>
      </c>
    </row>
    <row r="75" spans="2:36" x14ac:dyDescent="0.15">
      <c r="B75" s="110" t="s">
        <v>1039</v>
      </c>
      <c r="C75" s="187" t="str">
        <f>IFERROR(SUM(SUMIFS('caseload data'!E:E,'caseload data'!$C:$C,'community %'!$B$71,'caseload data'!$D:$D,"TPO",'caseload data'!$B:$B,{"licence","community"}))/SUM(SUMIFS('caseload data'!E:E,'caseload data'!$B:$B,{"licence","community"},'caseload data'!$C:$C,'community %'!$B$71)),"")</f>
        <v/>
      </c>
      <c r="D75" s="187" t="str">
        <f>IFERROR(SUM(SUMIFS('caseload data'!F:F,'caseload data'!$C:$C,'community %'!$B$71,'caseload data'!$D:$D,"TPO",'caseload data'!$B:$B,{"licence","community"}))/SUM(SUMIFS('caseload data'!F:F,'caseload data'!$B:$B,{"licence","community"},'caseload data'!$C:$C,'community %'!$B$71)),"")</f>
        <v/>
      </c>
      <c r="E75" s="187" t="str">
        <f>IFERROR(SUM(SUMIFS('caseload data'!G:G,'caseload data'!$C:$C,'community %'!$B$71,'caseload data'!$D:$D,"TPO",'caseload data'!$B:$B,{"licence","community"}))/SUM(SUMIFS('caseload data'!G:G,'caseload data'!$B:$B,{"licence","community"},'caseload data'!$C:$C,'community %'!$B$71)),"")</f>
        <v/>
      </c>
      <c r="F75" s="187" t="str">
        <f>IFERROR(SUM(SUMIFS('caseload data'!H:H,'caseload data'!$C:$C,'community %'!$B$71,'caseload data'!$D:$D,"TPO",'caseload data'!$B:$B,{"licence","community"}))/SUM(SUMIFS('caseload data'!H:H,'caseload data'!$B:$B,{"licence","community"},'caseload data'!$C:$C,'community %'!$B$71)),"")</f>
        <v/>
      </c>
      <c r="G75" s="187" t="str">
        <f>IFERROR(SUM(SUMIFS('caseload data'!I:I,'caseload data'!$C:$C,'community %'!$B$71,'caseload data'!$D:$D,"TPO",'caseload data'!$B:$B,{"licence","community"}))/SUM(SUMIFS('caseload data'!I:I,'caseload data'!$B:$B,{"licence","community"},'caseload data'!$C:$C,'community %'!$B$71)),"")</f>
        <v/>
      </c>
      <c r="H75" s="187" t="str">
        <f>IFERROR(SUM(SUMIFS('caseload data'!J:J,'caseload data'!$C:$C,'community %'!$B$71,'caseload data'!$D:$D,"TPO",'caseload data'!$B:$B,{"licence","community"}))/SUM(SUMIFS('caseload data'!J:J,'caseload data'!$B:$B,{"licence","community"},'caseload data'!$C:$C,'community %'!$B$71)),"")</f>
        <v/>
      </c>
      <c r="I75" s="187" t="str">
        <f>IFERROR(SUM(SUMIFS('caseload data'!K:K,'caseload data'!$C:$C,'community %'!$B$71,'caseload data'!$D:$D,"TPO",'caseload data'!$B:$B,{"licence","community"}))/SUM(SUMIFS('caseload data'!K:K,'caseload data'!$B:$B,{"licence","community"},'caseload data'!$C:$C,'community %'!$B$71)),"")</f>
        <v/>
      </c>
      <c r="J75" s="187" t="str">
        <f>IFERROR(SUM(SUMIFS('caseload data'!L:L,'caseload data'!$C:$C,'community %'!$B$71,'caseload data'!$D:$D,"TPO",'caseload data'!$B:$B,{"licence","community"}))/SUM(SUMIFS('caseload data'!L:L,'caseload data'!$B:$B,{"licence","community"},'caseload data'!$C:$C,'community %'!$B$71)),"")</f>
        <v/>
      </c>
      <c r="K75" s="187" t="str">
        <f>IFERROR(SUM(SUMIFS('caseload data'!M:M,'caseload data'!$C:$C,'community %'!$B$71,'caseload data'!$D:$D,"TPO",'caseload data'!$B:$B,{"licence","community"}))/SUM(SUMIFS('caseload data'!M:M,'caseload data'!$B:$B,{"licence","community"},'caseload data'!$C:$C,'community %'!$B$71)),"")</f>
        <v/>
      </c>
      <c r="L75" s="187" t="str">
        <f>IFERROR(SUM(SUMIFS('caseload data'!N:N,'caseload data'!$C:$C,'community %'!$B$71,'caseload data'!$D:$D,"TPO",'caseload data'!$B:$B,{"licence","community"}))/SUM(SUMIFS('caseload data'!N:N,'caseload data'!$B:$B,{"licence","community"},'caseload data'!$C:$C,'community %'!$B$71)),"")</f>
        <v/>
      </c>
      <c r="M75" s="187" t="str">
        <f>IFERROR(SUM(SUMIFS('caseload data'!O:O,'caseload data'!$C:$C,'community %'!$B$71,'caseload data'!$D:$D,"TPO",'caseload data'!$B:$B,{"licence","community"}))/SUM(SUMIFS('caseload data'!O:O,'caseload data'!$B:$B,{"licence","community"},'caseload data'!$C:$C,'community %'!$B$71)),"")</f>
        <v/>
      </c>
      <c r="N75" s="187" t="str">
        <f>IFERROR(SUM(SUMIFS('caseload data'!P:P,'caseload data'!$C:$C,'community %'!$B$71,'caseload data'!$D:$D,"TPO",'caseload data'!$B:$B,{"licence","community"}))/SUM(SUMIFS('caseload data'!P:P,'caseload data'!$B:$B,{"licence","community"},'caseload data'!$C:$C,'community %'!$B$71)),"")</f>
        <v/>
      </c>
      <c r="O75" s="187" t="str">
        <f>IFERROR(SUM(SUMIFS('caseload data'!Q:Q,'caseload data'!$C:$C,'community %'!$B$71,'caseload data'!$D:$D,"TPO",'caseload data'!$B:$B,{"licence","community"}))/SUM(SUMIFS('caseload data'!Q:Q,'caseload data'!$B:$B,{"licence","community"},'caseload data'!$C:$C,'community %'!$B$71)),"")</f>
        <v/>
      </c>
      <c r="P75" s="187" t="str">
        <f>IFERROR(SUM(SUMIFS('caseload data'!R:R,'caseload data'!$C:$C,'community %'!$B$71,'caseload data'!$D:$D,"TPO",'caseload data'!$B:$B,{"licence","community"}))/SUM(SUMIFS('caseload data'!R:R,'caseload data'!$B:$B,{"licence","community"},'caseload data'!$C:$C,'community %'!$B$71)),"")</f>
        <v/>
      </c>
      <c r="Q75" s="187" t="str">
        <f>IFERROR(SUM(SUMIFS('caseload data'!S:S,'caseload data'!$C:$C,'community %'!$B$71,'caseload data'!$D:$D,"TPO",'caseload data'!$B:$B,{"licence","community"}))/SUM(SUMIFS('caseload data'!S:S,'caseload data'!$B:$B,{"licence","community"},'caseload data'!$C:$C,'community %'!$B$71)),"")</f>
        <v/>
      </c>
      <c r="R75" s="187" t="str">
        <f>IFERROR(SUM(SUMIFS('caseload data'!T:T,'caseload data'!$C:$C,'community %'!$B$71,'caseload data'!$D:$D,"TPO",'caseload data'!$B:$B,{"licence","community"}))/SUM(SUMIFS('caseload data'!T:T,'caseload data'!$B:$B,{"licence","community"},'caseload data'!$C:$C,'community %'!$B$71)),"")</f>
        <v/>
      </c>
    </row>
    <row r="76" spans="2:36" x14ac:dyDescent="0.15">
      <c r="B76" s="111" t="s">
        <v>1040</v>
      </c>
      <c r="C76" s="187" t="str">
        <f>IFERROR(SUM(SUMIFS('caseload data'!E:E,'caseload data'!$C:$C,'community %'!$B$71,'caseload data'!$D:$D,"SPO",'caseload data'!$B:$B,{"licence","community"}))/SUM(SUMIFS('caseload data'!E:E,'caseload data'!$B:$B,{"licence","community"},'caseload data'!$C:$C,'community %'!$B$71)),"")</f>
        <v/>
      </c>
      <c r="D76" s="187" t="str">
        <f>IFERROR(SUM(SUMIFS('caseload data'!F:F,'caseload data'!$C:$C,'community %'!$B$71,'caseload data'!$D:$D,"SPO",'caseload data'!$B:$B,{"licence","community"}))/SUM(SUMIFS('caseload data'!F:F,'caseload data'!$B:$B,{"licence","community"},'caseload data'!$C:$C,'community %'!$B$71)),"")</f>
        <v/>
      </c>
      <c r="E76" s="187" t="str">
        <f>IFERROR(SUM(SUMIFS('caseload data'!G:G,'caseload data'!$C:$C,'community %'!$B$71,'caseload data'!$D:$D,"SPO",'caseload data'!$B:$B,{"licence","community"}))/SUM(SUMIFS('caseload data'!G:G,'caseload data'!$B:$B,{"licence","community"},'caseload data'!$C:$C,'community %'!$B$71)),"")</f>
        <v/>
      </c>
      <c r="F76" s="187" t="str">
        <f>IFERROR(SUM(SUMIFS('caseload data'!H:H,'caseload data'!$C:$C,'community %'!$B$71,'caseload data'!$D:$D,"SPO",'caseload data'!$B:$B,{"licence","community"}))/SUM(SUMIFS('caseload data'!H:H,'caseload data'!$B:$B,{"licence","community"},'caseload data'!$C:$C,'community %'!$B$71)),"")</f>
        <v/>
      </c>
      <c r="G76" s="187" t="str">
        <f>IFERROR(SUM(SUMIFS('caseload data'!I:I,'caseload data'!$C:$C,'community %'!$B$71,'caseload data'!$D:$D,"SPO",'caseload data'!$B:$B,{"licence","community"}))/SUM(SUMIFS('caseload data'!I:I,'caseload data'!$B:$B,{"licence","community"},'caseload data'!$C:$C,'community %'!$B$71)),"")</f>
        <v/>
      </c>
      <c r="H76" s="187" t="str">
        <f>IFERROR(SUM(SUMIFS('caseload data'!J:J,'caseload data'!$C:$C,'community %'!$B$71,'caseload data'!$D:$D,"SPO",'caseload data'!$B:$B,{"licence","community"}))/SUM(SUMIFS('caseload data'!J:J,'caseload data'!$B:$B,{"licence","community"},'caseload data'!$C:$C,'community %'!$B$71)),"")</f>
        <v/>
      </c>
      <c r="I76" s="187" t="str">
        <f>IFERROR(SUM(SUMIFS('caseload data'!K:K,'caseload data'!$C:$C,'community %'!$B$71,'caseload data'!$D:$D,"SPO",'caseload data'!$B:$B,{"licence","community"}))/SUM(SUMIFS('caseload data'!K:K,'caseload data'!$B:$B,{"licence","community"},'caseload data'!$C:$C,'community %'!$B$71)),"")</f>
        <v/>
      </c>
      <c r="J76" s="187" t="str">
        <f>IFERROR(SUM(SUMIFS('caseload data'!L:L,'caseload data'!$C:$C,'community %'!$B$71,'caseload data'!$D:$D,"SPO",'caseload data'!$B:$B,{"licence","community"}))/SUM(SUMIFS('caseload data'!L:L,'caseload data'!$B:$B,{"licence","community"},'caseload data'!$C:$C,'community %'!$B$71)),"")</f>
        <v/>
      </c>
      <c r="K76" s="187" t="str">
        <f>IFERROR(SUM(SUMIFS('caseload data'!M:M,'caseload data'!$C:$C,'community %'!$B$71,'caseload data'!$D:$D,"SPO",'caseload data'!$B:$B,{"licence","community"}))/SUM(SUMIFS('caseload data'!M:M,'caseload data'!$B:$B,{"licence","community"},'caseload data'!$C:$C,'community %'!$B$71)),"")</f>
        <v/>
      </c>
      <c r="L76" s="187" t="str">
        <f>IFERROR(SUM(SUMIFS('caseload data'!N:N,'caseload data'!$C:$C,'community %'!$B$71,'caseload data'!$D:$D,"SPO",'caseload data'!$B:$B,{"licence","community"}))/SUM(SUMIFS('caseload data'!N:N,'caseload data'!$B:$B,{"licence","community"},'caseload data'!$C:$C,'community %'!$B$71)),"")</f>
        <v/>
      </c>
      <c r="M76" s="187" t="str">
        <f>IFERROR(SUM(SUMIFS('caseload data'!O:O,'caseload data'!$C:$C,'community %'!$B$71,'caseload data'!$D:$D,"SPO",'caseload data'!$B:$B,{"licence","community"}))/SUM(SUMIFS('caseload data'!O:O,'caseload data'!$B:$B,{"licence","community"},'caseload data'!$C:$C,'community %'!$B$71)),"")</f>
        <v/>
      </c>
      <c r="N76" s="187" t="str">
        <f>IFERROR(SUM(SUMIFS('caseload data'!P:P,'caseload data'!$C:$C,'community %'!$B$71,'caseload data'!$D:$D,"SPO",'caseload data'!$B:$B,{"licence","community"}))/SUM(SUMIFS('caseload data'!P:P,'caseload data'!$B:$B,{"licence","community"},'caseload data'!$C:$C,'community %'!$B$71)),"")</f>
        <v/>
      </c>
      <c r="O76" s="187" t="str">
        <f>IFERROR(SUM(SUMIFS('caseload data'!Q:Q,'caseload data'!$C:$C,'community %'!$B$71,'caseload data'!$D:$D,"SPO",'caseload data'!$B:$B,{"licence","community"}))/SUM(SUMIFS('caseload data'!Q:Q,'caseload data'!$B:$B,{"licence","community"},'caseload data'!$C:$C,'community %'!$B$71)),"")</f>
        <v/>
      </c>
      <c r="P76" s="187" t="str">
        <f>IFERROR(SUM(SUMIFS('caseload data'!R:R,'caseload data'!$C:$C,'community %'!$B$71,'caseload data'!$D:$D,"SPO",'caseload data'!$B:$B,{"licence","community"}))/SUM(SUMIFS('caseload data'!R:R,'caseload data'!$B:$B,{"licence","community"},'caseload data'!$C:$C,'community %'!$B$71)),"")</f>
        <v/>
      </c>
      <c r="Q76" s="187" t="str">
        <f>IFERROR(SUM(SUMIFS('caseload data'!S:S,'caseload data'!$C:$C,'community %'!$B$71,'caseload data'!$D:$D,"SPO",'caseload data'!$B:$B,{"licence","community"}))/SUM(SUMIFS('caseload data'!S:S,'caseload data'!$B:$B,{"licence","community"},'caseload data'!$C:$C,'community %'!$B$71)),"")</f>
        <v/>
      </c>
      <c r="R76" s="187" t="str">
        <f>IFERROR(SUM(SUMIFS('caseload data'!T:T,'caseload data'!$C:$C,'community %'!$B$71,'caseload data'!$D:$D,"SPO",'caseload data'!$B:$B,{"licence","community"}))/SUM(SUMIFS('caseload data'!T:T,'caseload data'!$B:$B,{"licence","community"},'caseload data'!$C:$C,'community %'!$B$71)),"")</f>
        <v/>
      </c>
    </row>
  </sheetData>
  <mergeCells count="40">
    <mergeCell ref="C64:O64"/>
    <mergeCell ref="P64:R64"/>
    <mergeCell ref="U64:AG64"/>
    <mergeCell ref="AH64:AJ64"/>
    <mergeCell ref="C71:O71"/>
    <mergeCell ref="P71:R71"/>
    <mergeCell ref="C8:O8"/>
    <mergeCell ref="P8:R8"/>
    <mergeCell ref="U8:AG8"/>
    <mergeCell ref="AH8:AJ8"/>
    <mergeCell ref="A1:AX1"/>
    <mergeCell ref="A2:AX2"/>
    <mergeCell ref="C15:O15"/>
    <mergeCell ref="P15:R15"/>
    <mergeCell ref="U15:AG15"/>
    <mergeCell ref="AH15:AJ15"/>
    <mergeCell ref="C22:O22"/>
    <mergeCell ref="P22:R22"/>
    <mergeCell ref="U22:AG22"/>
    <mergeCell ref="AH22:AJ22"/>
    <mergeCell ref="C29:O29"/>
    <mergeCell ref="P29:R29"/>
    <mergeCell ref="U29:AG29"/>
    <mergeCell ref="AH29:AJ29"/>
    <mergeCell ref="C36:O36"/>
    <mergeCell ref="P36:R36"/>
    <mergeCell ref="U36:AG36"/>
    <mergeCell ref="AH36:AJ36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</mergeCells>
  <conditionalFormatting sqref="C11:C12">
    <cfRule type="cellIs" dxfId="461" priority="455" operator="equal">
      <formula>0</formula>
    </cfRule>
    <cfRule type="cellIs" dxfId="460" priority="456" operator="notEqual">
      <formula>0</formula>
    </cfRule>
  </conditionalFormatting>
  <conditionalFormatting sqref="D11:D12">
    <cfRule type="cellIs" dxfId="459" priority="453" operator="equal">
      <formula>0</formula>
    </cfRule>
    <cfRule type="cellIs" dxfId="458" priority="454" operator="notEqual">
      <formula>0</formula>
    </cfRule>
  </conditionalFormatting>
  <conditionalFormatting sqref="E11:E12">
    <cfRule type="cellIs" dxfId="457" priority="451" operator="equal">
      <formula>0</formula>
    </cfRule>
    <cfRule type="cellIs" dxfId="456" priority="452" operator="notEqual">
      <formula>0</formula>
    </cfRule>
  </conditionalFormatting>
  <conditionalFormatting sqref="F11:F12">
    <cfRule type="cellIs" dxfId="455" priority="449" operator="equal">
      <formula>0</formula>
    </cfRule>
    <cfRule type="cellIs" dxfId="454" priority="450" operator="notEqual">
      <formula>0</formula>
    </cfRule>
  </conditionalFormatting>
  <conditionalFormatting sqref="G11:G12">
    <cfRule type="cellIs" dxfId="453" priority="447" operator="equal">
      <formula>0</formula>
    </cfRule>
    <cfRule type="cellIs" dxfId="452" priority="448" operator="notEqual">
      <formula>0</formula>
    </cfRule>
  </conditionalFormatting>
  <conditionalFormatting sqref="H11:H12">
    <cfRule type="cellIs" dxfId="451" priority="445" operator="equal">
      <formula>0</formula>
    </cfRule>
    <cfRule type="cellIs" dxfId="450" priority="446" operator="notEqual">
      <formula>0</formula>
    </cfRule>
  </conditionalFormatting>
  <conditionalFormatting sqref="I11:I12">
    <cfRule type="cellIs" dxfId="449" priority="443" operator="equal">
      <formula>0</formula>
    </cfRule>
    <cfRule type="cellIs" dxfId="448" priority="444" operator="notEqual">
      <formula>0</formula>
    </cfRule>
  </conditionalFormatting>
  <conditionalFormatting sqref="J11:J12">
    <cfRule type="cellIs" dxfId="447" priority="441" operator="equal">
      <formula>0</formula>
    </cfRule>
    <cfRule type="cellIs" dxfId="446" priority="442" operator="notEqual">
      <formula>0</formula>
    </cfRule>
  </conditionalFormatting>
  <conditionalFormatting sqref="O10">
    <cfRule type="cellIs" dxfId="445" priority="439" operator="equal">
      <formula>0</formula>
    </cfRule>
    <cfRule type="cellIs" dxfId="444" priority="440" operator="greaterThan">
      <formula>0</formula>
    </cfRule>
  </conditionalFormatting>
  <conditionalFormatting sqref="P10">
    <cfRule type="cellIs" dxfId="443" priority="437" operator="equal">
      <formula>0</formula>
    </cfRule>
    <cfRule type="cellIs" dxfId="442" priority="438" operator="greaterThan">
      <formula>0</formula>
    </cfRule>
  </conditionalFormatting>
  <conditionalFormatting sqref="Q10">
    <cfRule type="cellIs" dxfId="441" priority="435" operator="equal">
      <formula>0</formula>
    </cfRule>
    <cfRule type="cellIs" dxfId="440" priority="436" operator="greaterThan">
      <formula>0</formula>
    </cfRule>
  </conditionalFormatting>
  <conditionalFormatting sqref="R10">
    <cfRule type="cellIs" dxfId="439" priority="433" operator="equal">
      <formula>0</formula>
    </cfRule>
    <cfRule type="cellIs" dxfId="438" priority="434" operator="greaterThan">
      <formula>0</formula>
    </cfRule>
  </conditionalFormatting>
  <conditionalFormatting sqref="C18:C19">
    <cfRule type="cellIs" dxfId="437" priority="431" operator="equal">
      <formula>0</formula>
    </cfRule>
    <cfRule type="cellIs" dxfId="436" priority="432" operator="notEqual">
      <formula>0</formula>
    </cfRule>
  </conditionalFormatting>
  <conditionalFormatting sqref="D18:D19">
    <cfRule type="cellIs" dxfId="435" priority="429" operator="equal">
      <formula>0</formula>
    </cfRule>
    <cfRule type="cellIs" dxfId="434" priority="430" operator="notEqual">
      <formula>0</formula>
    </cfRule>
  </conditionalFormatting>
  <conditionalFormatting sqref="E18:E19">
    <cfRule type="cellIs" dxfId="433" priority="427" operator="equal">
      <formula>0</formula>
    </cfRule>
    <cfRule type="cellIs" dxfId="432" priority="428" operator="notEqual">
      <formula>0</formula>
    </cfRule>
  </conditionalFormatting>
  <conditionalFormatting sqref="F18:F19">
    <cfRule type="cellIs" dxfId="431" priority="425" operator="equal">
      <formula>0</formula>
    </cfRule>
    <cfRule type="cellIs" dxfId="430" priority="426" operator="notEqual">
      <formula>0</formula>
    </cfRule>
  </conditionalFormatting>
  <conditionalFormatting sqref="G18:G19">
    <cfRule type="cellIs" dxfId="429" priority="423" operator="equal">
      <formula>0</formula>
    </cfRule>
    <cfRule type="cellIs" dxfId="428" priority="424" operator="notEqual">
      <formula>0</formula>
    </cfRule>
  </conditionalFormatting>
  <conditionalFormatting sqref="H18:H19">
    <cfRule type="cellIs" dxfId="427" priority="421" operator="equal">
      <formula>0</formula>
    </cfRule>
    <cfRule type="cellIs" dxfId="426" priority="422" operator="notEqual">
      <formula>0</formula>
    </cfRule>
  </conditionalFormatting>
  <conditionalFormatting sqref="I18:I19">
    <cfRule type="cellIs" dxfId="425" priority="419" operator="equal">
      <formula>0</formula>
    </cfRule>
    <cfRule type="cellIs" dxfId="424" priority="420" operator="notEqual">
      <formula>0</formula>
    </cfRule>
  </conditionalFormatting>
  <conditionalFormatting sqref="J18:J19">
    <cfRule type="cellIs" dxfId="423" priority="417" operator="equal">
      <formula>0</formula>
    </cfRule>
    <cfRule type="cellIs" dxfId="422" priority="418" operator="notEqual">
      <formula>0</formula>
    </cfRule>
  </conditionalFormatting>
  <conditionalFormatting sqref="O17">
    <cfRule type="cellIs" dxfId="421" priority="415" operator="equal">
      <formula>0</formula>
    </cfRule>
    <cfRule type="cellIs" dxfId="420" priority="416" operator="greaterThan">
      <formula>0</formula>
    </cfRule>
  </conditionalFormatting>
  <conditionalFormatting sqref="P17">
    <cfRule type="cellIs" dxfId="419" priority="413" operator="equal">
      <formula>0</formula>
    </cfRule>
    <cfRule type="cellIs" dxfId="418" priority="414" operator="greaterThan">
      <formula>0</formula>
    </cfRule>
  </conditionalFormatting>
  <conditionalFormatting sqref="Q17">
    <cfRule type="cellIs" dxfId="417" priority="411" operator="equal">
      <formula>0</formula>
    </cfRule>
    <cfRule type="cellIs" dxfId="416" priority="412" operator="greaterThan">
      <formula>0</formula>
    </cfRule>
  </conditionalFormatting>
  <conditionalFormatting sqref="R17">
    <cfRule type="cellIs" dxfId="415" priority="409" operator="equal">
      <formula>0</formula>
    </cfRule>
    <cfRule type="cellIs" dxfId="414" priority="410" operator="greaterThan">
      <formula>0</formula>
    </cfRule>
  </conditionalFormatting>
  <conditionalFormatting sqref="C25:C26">
    <cfRule type="cellIs" dxfId="413" priority="407" operator="equal">
      <formula>0</formula>
    </cfRule>
    <cfRule type="cellIs" dxfId="412" priority="408" operator="notEqual">
      <formula>0</formula>
    </cfRule>
  </conditionalFormatting>
  <conditionalFormatting sqref="D25:D26">
    <cfRule type="cellIs" dxfId="411" priority="405" operator="equal">
      <formula>0</formula>
    </cfRule>
    <cfRule type="cellIs" dxfId="410" priority="406" operator="notEqual">
      <formula>0</formula>
    </cfRule>
  </conditionalFormatting>
  <conditionalFormatting sqref="E25:E26">
    <cfRule type="cellIs" dxfId="409" priority="403" operator="equal">
      <formula>0</formula>
    </cfRule>
    <cfRule type="cellIs" dxfId="408" priority="404" operator="notEqual">
      <formula>0</formula>
    </cfRule>
  </conditionalFormatting>
  <conditionalFormatting sqref="F25:F26">
    <cfRule type="cellIs" dxfId="407" priority="401" operator="equal">
      <formula>0</formula>
    </cfRule>
    <cfRule type="cellIs" dxfId="406" priority="402" operator="notEqual">
      <formula>0</formula>
    </cfRule>
  </conditionalFormatting>
  <conditionalFormatting sqref="G25:G26">
    <cfRule type="cellIs" dxfId="405" priority="399" operator="equal">
      <formula>0</formula>
    </cfRule>
    <cfRule type="cellIs" dxfId="404" priority="400" operator="notEqual">
      <formula>0</formula>
    </cfRule>
  </conditionalFormatting>
  <conditionalFormatting sqref="H25:H26">
    <cfRule type="cellIs" dxfId="403" priority="397" operator="equal">
      <formula>0</formula>
    </cfRule>
    <cfRule type="cellIs" dxfId="402" priority="398" operator="notEqual">
      <formula>0</formula>
    </cfRule>
  </conditionalFormatting>
  <conditionalFormatting sqref="I25:I26">
    <cfRule type="cellIs" dxfId="401" priority="395" operator="equal">
      <formula>0</formula>
    </cfRule>
    <cfRule type="cellIs" dxfId="400" priority="396" operator="notEqual">
      <formula>0</formula>
    </cfRule>
  </conditionalFormatting>
  <conditionalFormatting sqref="J25:J26">
    <cfRule type="cellIs" dxfId="399" priority="393" operator="equal">
      <formula>0</formula>
    </cfRule>
    <cfRule type="cellIs" dxfId="398" priority="394" operator="notEqual">
      <formula>0</formula>
    </cfRule>
  </conditionalFormatting>
  <conditionalFormatting sqref="O24">
    <cfRule type="cellIs" dxfId="397" priority="391" operator="equal">
      <formula>0</formula>
    </cfRule>
    <cfRule type="cellIs" dxfId="396" priority="392" operator="greaterThan">
      <formula>0</formula>
    </cfRule>
  </conditionalFormatting>
  <conditionalFormatting sqref="P24">
    <cfRule type="cellIs" dxfId="395" priority="389" operator="equal">
      <formula>0</formula>
    </cfRule>
    <cfRule type="cellIs" dxfId="394" priority="390" operator="greaterThan">
      <formula>0</formula>
    </cfRule>
  </conditionalFormatting>
  <conditionalFormatting sqref="Q24">
    <cfRule type="cellIs" dxfId="393" priority="387" operator="equal">
      <formula>0</formula>
    </cfRule>
    <cfRule type="cellIs" dxfId="392" priority="388" operator="greaterThan">
      <formula>0</formula>
    </cfRule>
  </conditionalFormatting>
  <conditionalFormatting sqref="R24">
    <cfRule type="cellIs" dxfId="391" priority="385" operator="equal">
      <formula>0</formula>
    </cfRule>
    <cfRule type="cellIs" dxfId="390" priority="386" operator="greaterThan">
      <formula>0</formula>
    </cfRule>
  </conditionalFormatting>
  <conditionalFormatting sqref="C32:C33">
    <cfRule type="cellIs" dxfId="389" priority="383" operator="equal">
      <formula>0</formula>
    </cfRule>
    <cfRule type="cellIs" dxfId="388" priority="384" operator="notEqual">
      <formula>0</formula>
    </cfRule>
  </conditionalFormatting>
  <conditionalFormatting sqref="D32:D33">
    <cfRule type="cellIs" dxfId="387" priority="381" operator="equal">
      <formula>0</formula>
    </cfRule>
    <cfRule type="cellIs" dxfId="386" priority="382" operator="notEqual">
      <formula>0</formula>
    </cfRule>
  </conditionalFormatting>
  <conditionalFormatting sqref="E32:E33">
    <cfRule type="cellIs" dxfId="385" priority="379" operator="equal">
      <formula>0</formula>
    </cfRule>
    <cfRule type="cellIs" dxfId="384" priority="380" operator="notEqual">
      <formula>0</formula>
    </cfRule>
  </conditionalFormatting>
  <conditionalFormatting sqref="F32:F33">
    <cfRule type="cellIs" dxfId="383" priority="377" operator="equal">
      <formula>0</formula>
    </cfRule>
    <cfRule type="cellIs" dxfId="382" priority="378" operator="notEqual">
      <formula>0</formula>
    </cfRule>
  </conditionalFormatting>
  <conditionalFormatting sqref="G32:G33">
    <cfRule type="cellIs" dxfId="381" priority="375" operator="equal">
      <formula>0</formula>
    </cfRule>
    <cfRule type="cellIs" dxfId="380" priority="376" operator="notEqual">
      <formula>0</formula>
    </cfRule>
  </conditionalFormatting>
  <conditionalFormatting sqref="H32:H33">
    <cfRule type="cellIs" dxfId="379" priority="373" operator="equal">
      <formula>0</formula>
    </cfRule>
    <cfRule type="cellIs" dxfId="378" priority="374" operator="notEqual">
      <formula>0</formula>
    </cfRule>
  </conditionalFormatting>
  <conditionalFormatting sqref="I32:I33">
    <cfRule type="cellIs" dxfId="377" priority="371" operator="equal">
      <formula>0</formula>
    </cfRule>
    <cfRule type="cellIs" dxfId="376" priority="372" operator="notEqual">
      <formula>0</formula>
    </cfRule>
  </conditionalFormatting>
  <conditionalFormatting sqref="J32:J33">
    <cfRule type="cellIs" dxfId="375" priority="369" operator="equal">
      <formula>0</formula>
    </cfRule>
    <cfRule type="cellIs" dxfId="374" priority="370" operator="notEqual">
      <formula>0</formula>
    </cfRule>
  </conditionalFormatting>
  <conditionalFormatting sqref="O31">
    <cfRule type="cellIs" dxfId="373" priority="367" operator="equal">
      <formula>0</formula>
    </cfRule>
    <cfRule type="cellIs" dxfId="372" priority="368" operator="greaterThan">
      <formula>0</formula>
    </cfRule>
  </conditionalFormatting>
  <conditionalFormatting sqref="P31">
    <cfRule type="cellIs" dxfId="371" priority="365" operator="equal">
      <formula>0</formula>
    </cfRule>
    <cfRule type="cellIs" dxfId="370" priority="366" operator="greaterThan">
      <formula>0</formula>
    </cfRule>
  </conditionalFormatting>
  <conditionalFormatting sqref="Q31">
    <cfRule type="cellIs" dxfId="369" priority="363" operator="equal">
      <formula>0</formula>
    </cfRule>
    <cfRule type="cellIs" dxfId="368" priority="364" operator="greaterThan">
      <formula>0</formula>
    </cfRule>
  </conditionalFormatting>
  <conditionalFormatting sqref="R31">
    <cfRule type="cellIs" dxfId="367" priority="361" operator="equal">
      <formula>0</formula>
    </cfRule>
    <cfRule type="cellIs" dxfId="366" priority="362" operator="greaterThan">
      <formula>0</formula>
    </cfRule>
  </conditionalFormatting>
  <conditionalFormatting sqref="C39:C40">
    <cfRule type="cellIs" dxfId="365" priority="359" operator="equal">
      <formula>0</formula>
    </cfRule>
    <cfRule type="cellIs" dxfId="364" priority="360" operator="notEqual">
      <formula>0</formula>
    </cfRule>
  </conditionalFormatting>
  <conditionalFormatting sqref="D39:D40">
    <cfRule type="cellIs" dxfId="363" priority="357" operator="equal">
      <formula>0</formula>
    </cfRule>
    <cfRule type="cellIs" dxfId="362" priority="358" operator="notEqual">
      <formula>0</formula>
    </cfRule>
  </conditionalFormatting>
  <conditionalFormatting sqref="E39:E40">
    <cfRule type="cellIs" dxfId="361" priority="355" operator="equal">
      <formula>0</formula>
    </cfRule>
    <cfRule type="cellIs" dxfId="360" priority="356" operator="notEqual">
      <formula>0</formula>
    </cfRule>
  </conditionalFormatting>
  <conditionalFormatting sqref="F39:F40">
    <cfRule type="cellIs" dxfId="359" priority="353" operator="equal">
      <formula>0</formula>
    </cfRule>
    <cfRule type="cellIs" dxfId="358" priority="354" operator="notEqual">
      <formula>0</formula>
    </cfRule>
  </conditionalFormatting>
  <conditionalFormatting sqref="G39:G40">
    <cfRule type="cellIs" dxfId="357" priority="351" operator="equal">
      <formula>0</formula>
    </cfRule>
    <cfRule type="cellIs" dxfId="356" priority="352" operator="notEqual">
      <formula>0</formula>
    </cfRule>
  </conditionalFormatting>
  <conditionalFormatting sqref="H39:H40">
    <cfRule type="cellIs" dxfId="355" priority="349" operator="equal">
      <formula>0</formula>
    </cfRule>
    <cfRule type="cellIs" dxfId="354" priority="350" operator="notEqual">
      <formula>0</formula>
    </cfRule>
  </conditionalFormatting>
  <conditionalFormatting sqref="I39:I40">
    <cfRule type="cellIs" dxfId="353" priority="347" operator="equal">
      <formula>0</formula>
    </cfRule>
    <cfRule type="cellIs" dxfId="352" priority="348" operator="notEqual">
      <formula>0</formula>
    </cfRule>
  </conditionalFormatting>
  <conditionalFormatting sqref="J39:J40">
    <cfRule type="cellIs" dxfId="351" priority="345" operator="equal">
      <formula>0</formula>
    </cfRule>
    <cfRule type="cellIs" dxfId="350" priority="346" operator="notEqual">
      <formula>0</formula>
    </cfRule>
  </conditionalFormatting>
  <conditionalFormatting sqref="O38">
    <cfRule type="cellIs" dxfId="349" priority="343" operator="equal">
      <formula>0</formula>
    </cfRule>
    <cfRule type="cellIs" dxfId="348" priority="344" operator="greaterThan">
      <formula>0</formula>
    </cfRule>
  </conditionalFormatting>
  <conditionalFormatting sqref="P38">
    <cfRule type="cellIs" dxfId="347" priority="341" operator="equal">
      <formula>0</formula>
    </cfRule>
    <cfRule type="cellIs" dxfId="346" priority="342" operator="greaterThan">
      <formula>0</formula>
    </cfRule>
  </conditionalFormatting>
  <conditionalFormatting sqref="Q38">
    <cfRule type="cellIs" dxfId="345" priority="339" operator="equal">
      <formula>0</formula>
    </cfRule>
    <cfRule type="cellIs" dxfId="344" priority="340" operator="greaterThan">
      <formula>0</formula>
    </cfRule>
  </conditionalFormatting>
  <conditionalFormatting sqref="R38">
    <cfRule type="cellIs" dxfId="343" priority="337" operator="equal">
      <formula>0</formula>
    </cfRule>
    <cfRule type="cellIs" dxfId="342" priority="338" operator="greaterThan">
      <formula>0</formula>
    </cfRule>
  </conditionalFormatting>
  <conditionalFormatting sqref="C46:C47">
    <cfRule type="cellIs" dxfId="341" priority="335" operator="equal">
      <formula>0</formula>
    </cfRule>
    <cfRule type="cellIs" dxfId="340" priority="336" operator="notEqual">
      <formula>0</formula>
    </cfRule>
  </conditionalFormatting>
  <conditionalFormatting sqref="D46:D47">
    <cfRule type="cellIs" dxfId="339" priority="333" operator="equal">
      <formula>0</formula>
    </cfRule>
    <cfRule type="cellIs" dxfId="338" priority="334" operator="notEqual">
      <formula>0</formula>
    </cfRule>
  </conditionalFormatting>
  <conditionalFormatting sqref="E46:E47">
    <cfRule type="cellIs" dxfId="337" priority="331" operator="equal">
      <formula>0</formula>
    </cfRule>
    <cfRule type="cellIs" dxfId="336" priority="332" operator="notEqual">
      <formula>0</formula>
    </cfRule>
  </conditionalFormatting>
  <conditionalFormatting sqref="F46:F47">
    <cfRule type="cellIs" dxfId="335" priority="329" operator="equal">
      <formula>0</formula>
    </cfRule>
    <cfRule type="cellIs" dxfId="334" priority="330" operator="notEqual">
      <formula>0</formula>
    </cfRule>
  </conditionalFormatting>
  <conditionalFormatting sqref="G46:G47">
    <cfRule type="cellIs" dxfId="333" priority="327" operator="equal">
      <formula>0</formula>
    </cfRule>
    <cfRule type="cellIs" dxfId="332" priority="328" operator="notEqual">
      <formula>0</formula>
    </cfRule>
  </conditionalFormatting>
  <conditionalFormatting sqref="H46:H47">
    <cfRule type="cellIs" dxfId="331" priority="325" operator="equal">
      <formula>0</formula>
    </cfRule>
    <cfRule type="cellIs" dxfId="330" priority="326" operator="notEqual">
      <formula>0</formula>
    </cfRule>
  </conditionalFormatting>
  <conditionalFormatting sqref="I46:I47">
    <cfRule type="cellIs" dxfId="329" priority="323" operator="equal">
      <formula>0</formula>
    </cfRule>
    <cfRule type="cellIs" dxfId="328" priority="324" operator="notEqual">
      <formula>0</formula>
    </cfRule>
  </conditionalFormatting>
  <conditionalFormatting sqref="J46:J47">
    <cfRule type="cellIs" dxfId="327" priority="321" operator="equal">
      <formula>0</formula>
    </cfRule>
    <cfRule type="cellIs" dxfId="326" priority="322" operator="notEqual">
      <formula>0</formula>
    </cfRule>
  </conditionalFormatting>
  <conditionalFormatting sqref="O45">
    <cfRule type="cellIs" dxfId="325" priority="319" operator="equal">
      <formula>0</formula>
    </cfRule>
    <cfRule type="cellIs" dxfId="324" priority="320" operator="greaterThan">
      <formula>0</formula>
    </cfRule>
  </conditionalFormatting>
  <conditionalFormatting sqref="P45">
    <cfRule type="cellIs" dxfId="323" priority="317" operator="equal">
      <formula>0</formula>
    </cfRule>
    <cfRule type="cellIs" dxfId="322" priority="318" operator="greaterThan">
      <formula>0</formula>
    </cfRule>
  </conditionalFormatting>
  <conditionalFormatting sqref="Q45">
    <cfRule type="cellIs" dxfId="321" priority="315" operator="equal">
      <formula>0</formula>
    </cfRule>
    <cfRule type="cellIs" dxfId="320" priority="316" operator="greaterThan">
      <formula>0</formula>
    </cfRule>
  </conditionalFormatting>
  <conditionalFormatting sqref="R45">
    <cfRule type="cellIs" dxfId="319" priority="313" operator="equal">
      <formula>0</formula>
    </cfRule>
    <cfRule type="cellIs" dxfId="318" priority="314" operator="greaterThan">
      <formula>0</formula>
    </cfRule>
  </conditionalFormatting>
  <conditionalFormatting sqref="C53:C54">
    <cfRule type="cellIs" dxfId="317" priority="311" operator="equal">
      <formula>0</formula>
    </cfRule>
    <cfRule type="cellIs" dxfId="316" priority="312" operator="notEqual">
      <formula>0</formula>
    </cfRule>
  </conditionalFormatting>
  <conditionalFormatting sqref="D53:D54">
    <cfRule type="cellIs" dxfId="315" priority="309" operator="equal">
      <formula>0</formula>
    </cfRule>
    <cfRule type="cellIs" dxfId="314" priority="310" operator="notEqual">
      <formula>0</formula>
    </cfRule>
  </conditionalFormatting>
  <conditionalFormatting sqref="E53:E54">
    <cfRule type="cellIs" dxfId="313" priority="307" operator="equal">
      <formula>0</formula>
    </cfRule>
    <cfRule type="cellIs" dxfId="312" priority="308" operator="notEqual">
      <formula>0</formula>
    </cfRule>
  </conditionalFormatting>
  <conditionalFormatting sqref="F53:F54">
    <cfRule type="cellIs" dxfId="311" priority="305" operator="equal">
      <formula>0</formula>
    </cfRule>
    <cfRule type="cellIs" dxfId="310" priority="306" operator="notEqual">
      <formula>0</formula>
    </cfRule>
  </conditionalFormatting>
  <conditionalFormatting sqref="G53:G54">
    <cfRule type="cellIs" dxfId="309" priority="303" operator="equal">
      <formula>0</formula>
    </cfRule>
    <cfRule type="cellIs" dxfId="308" priority="304" operator="notEqual">
      <formula>0</formula>
    </cfRule>
  </conditionalFormatting>
  <conditionalFormatting sqref="H53:H54">
    <cfRule type="cellIs" dxfId="307" priority="301" operator="equal">
      <formula>0</formula>
    </cfRule>
    <cfRule type="cellIs" dxfId="306" priority="302" operator="notEqual">
      <formula>0</formula>
    </cfRule>
  </conditionalFormatting>
  <conditionalFormatting sqref="I53:I54">
    <cfRule type="cellIs" dxfId="305" priority="299" operator="equal">
      <formula>0</formula>
    </cfRule>
    <cfRule type="cellIs" dxfId="304" priority="300" operator="notEqual">
      <formula>0</formula>
    </cfRule>
  </conditionalFormatting>
  <conditionalFormatting sqref="J53:J54">
    <cfRule type="cellIs" dxfId="303" priority="297" operator="equal">
      <formula>0</formula>
    </cfRule>
    <cfRule type="cellIs" dxfId="302" priority="298" operator="notEqual">
      <formula>0</formula>
    </cfRule>
  </conditionalFormatting>
  <conditionalFormatting sqref="O52">
    <cfRule type="cellIs" dxfId="301" priority="295" operator="equal">
      <formula>0</formula>
    </cfRule>
    <cfRule type="cellIs" dxfId="300" priority="296" operator="greaterThan">
      <formula>0</formula>
    </cfRule>
  </conditionalFormatting>
  <conditionalFormatting sqref="P52">
    <cfRule type="cellIs" dxfId="299" priority="293" operator="equal">
      <formula>0</formula>
    </cfRule>
    <cfRule type="cellIs" dxfId="298" priority="294" operator="greaterThan">
      <formula>0</formula>
    </cfRule>
  </conditionalFormatting>
  <conditionalFormatting sqref="Q52">
    <cfRule type="cellIs" dxfId="297" priority="291" operator="equal">
      <formula>0</formula>
    </cfRule>
    <cfRule type="cellIs" dxfId="296" priority="292" operator="greaterThan">
      <formula>0</formula>
    </cfRule>
  </conditionalFormatting>
  <conditionalFormatting sqref="R52">
    <cfRule type="cellIs" dxfId="295" priority="289" operator="equal">
      <formula>0</formula>
    </cfRule>
    <cfRule type="cellIs" dxfId="294" priority="290" operator="greaterThan">
      <formula>0</formula>
    </cfRule>
  </conditionalFormatting>
  <conditionalFormatting sqref="C60:C61">
    <cfRule type="cellIs" dxfId="293" priority="287" operator="equal">
      <formula>0</formula>
    </cfRule>
    <cfRule type="cellIs" dxfId="292" priority="288" operator="notEqual">
      <formula>0</formula>
    </cfRule>
  </conditionalFormatting>
  <conditionalFormatting sqref="D60:D61">
    <cfRule type="cellIs" dxfId="291" priority="285" operator="equal">
      <formula>0</formula>
    </cfRule>
    <cfRule type="cellIs" dxfId="290" priority="286" operator="notEqual">
      <formula>0</formula>
    </cfRule>
  </conditionalFormatting>
  <conditionalFormatting sqref="E60:E61">
    <cfRule type="cellIs" dxfId="289" priority="283" operator="equal">
      <formula>0</formula>
    </cfRule>
    <cfRule type="cellIs" dxfId="288" priority="284" operator="notEqual">
      <formula>0</formula>
    </cfRule>
  </conditionalFormatting>
  <conditionalFormatting sqref="F60:F61">
    <cfRule type="cellIs" dxfId="287" priority="281" operator="equal">
      <formula>0</formula>
    </cfRule>
    <cfRule type="cellIs" dxfId="286" priority="282" operator="notEqual">
      <formula>0</formula>
    </cfRule>
  </conditionalFormatting>
  <conditionalFormatting sqref="G60:G61">
    <cfRule type="cellIs" dxfId="285" priority="279" operator="equal">
      <formula>0</formula>
    </cfRule>
    <cfRule type="cellIs" dxfId="284" priority="280" operator="notEqual">
      <formula>0</formula>
    </cfRule>
  </conditionalFormatting>
  <conditionalFormatting sqref="H60:H61">
    <cfRule type="cellIs" dxfId="283" priority="277" operator="equal">
      <formula>0</formula>
    </cfRule>
    <cfRule type="cellIs" dxfId="282" priority="278" operator="notEqual">
      <formula>0</formula>
    </cfRule>
  </conditionalFormatting>
  <conditionalFormatting sqref="I60:I61">
    <cfRule type="cellIs" dxfId="281" priority="275" operator="equal">
      <formula>0</formula>
    </cfRule>
    <cfRule type="cellIs" dxfId="280" priority="276" operator="notEqual">
      <formula>0</formula>
    </cfRule>
  </conditionalFormatting>
  <conditionalFormatting sqref="J60:J61">
    <cfRule type="cellIs" dxfId="279" priority="273" operator="equal">
      <formula>0</formula>
    </cfRule>
    <cfRule type="cellIs" dxfId="278" priority="274" operator="notEqual">
      <formula>0</formula>
    </cfRule>
  </conditionalFormatting>
  <conditionalFormatting sqref="O59">
    <cfRule type="cellIs" dxfId="277" priority="271" operator="equal">
      <formula>0</formula>
    </cfRule>
    <cfRule type="cellIs" dxfId="276" priority="272" operator="greaterThan">
      <formula>0</formula>
    </cfRule>
  </conditionalFormatting>
  <conditionalFormatting sqref="P59">
    <cfRule type="cellIs" dxfId="275" priority="269" operator="equal">
      <formula>0</formula>
    </cfRule>
    <cfRule type="cellIs" dxfId="274" priority="270" operator="greaterThan">
      <formula>0</formula>
    </cfRule>
  </conditionalFormatting>
  <conditionalFormatting sqref="Q59">
    <cfRule type="cellIs" dxfId="273" priority="267" operator="equal">
      <formula>0</formula>
    </cfRule>
    <cfRule type="cellIs" dxfId="272" priority="268" operator="greaterThan">
      <formula>0</formula>
    </cfRule>
  </conditionalFormatting>
  <conditionalFormatting sqref="R59">
    <cfRule type="cellIs" dxfId="271" priority="265" operator="equal">
      <formula>0</formula>
    </cfRule>
    <cfRule type="cellIs" dxfId="270" priority="266" operator="greaterThan">
      <formula>0</formula>
    </cfRule>
  </conditionalFormatting>
  <conditionalFormatting sqref="C67:C68">
    <cfRule type="cellIs" dxfId="269" priority="263" operator="equal">
      <formula>0</formula>
    </cfRule>
    <cfRule type="cellIs" dxfId="268" priority="264" operator="notEqual">
      <formula>0</formula>
    </cfRule>
  </conditionalFormatting>
  <conditionalFormatting sqref="D67:D68">
    <cfRule type="cellIs" dxfId="267" priority="261" operator="equal">
      <formula>0</formula>
    </cfRule>
    <cfRule type="cellIs" dxfId="266" priority="262" operator="notEqual">
      <formula>0</formula>
    </cfRule>
  </conditionalFormatting>
  <conditionalFormatting sqref="E67:E68">
    <cfRule type="cellIs" dxfId="265" priority="259" operator="equal">
      <formula>0</formula>
    </cfRule>
    <cfRule type="cellIs" dxfId="264" priority="260" operator="notEqual">
      <formula>0</formula>
    </cfRule>
  </conditionalFormatting>
  <conditionalFormatting sqref="F67:F68">
    <cfRule type="cellIs" dxfId="263" priority="257" operator="equal">
      <formula>0</formula>
    </cfRule>
    <cfRule type="cellIs" dxfId="262" priority="258" operator="notEqual">
      <formula>0</formula>
    </cfRule>
  </conditionalFormatting>
  <conditionalFormatting sqref="G67:G68">
    <cfRule type="cellIs" dxfId="261" priority="255" operator="equal">
      <formula>0</formula>
    </cfRule>
    <cfRule type="cellIs" dxfId="260" priority="256" operator="notEqual">
      <formula>0</formula>
    </cfRule>
  </conditionalFormatting>
  <conditionalFormatting sqref="H67:H68">
    <cfRule type="cellIs" dxfId="259" priority="253" operator="equal">
      <formula>0</formula>
    </cfRule>
    <cfRule type="cellIs" dxfId="258" priority="254" operator="notEqual">
      <formula>0</formula>
    </cfRule>
  </conditionalFormatting>
  <conditionalFormatting sqref="I67:I68">
    <cfRule type="cellIs" dxfId="257" priority="251" operator="equal">
      <formula>0</formula>
    </cfRule>
    <cfRule type="cellIs" dxfId="256" priority="252" operator="notEqual">
      <formula>0</formula>
    </cfRule>
  </conditionalFormatting>
  <conditionalFormatting sqref="J67:J68">
    <cfRule type="cellIs" dxfId="255" priority="249" operator="equal">
      <formula>0</formula>
    </cfRule>
    <cfRule type="cellIs" dxfId="254" priority="250" operator="notEqual">
      <formula>0</formula>
    </cfRule>
  </conditionalFormatting>
  <conditionalFormatting sqref="O66">
    <cfRule type="cellIs" dxfId="253" priority="247" operator="equal">
      <formula>0</formula>
    </cfRule>
    <cfRule type="cellIs" dxfId="252" priority="248" operator="greaterThan">
      <formula>0</formula>
    </cfRule>
  </conditionalFormatting>
  <conditionalFormatting sqref="P66">
    <cfRule type="cellIs" dxfId="251" priority="245" operator="equal">
      <formula>0</formula>
    </cfRule>
    <cfRule type="cellIs" dxfId="250" priority="246" operator="greaterThan">
      <formula>0</formula>
    </cfRule>
  </conditionalFormatting>
  <conditionalFormatting sqref="Q66">
    <cfRule type="cellIs" dxfId="249" priority="243" operator="equal">
      <formula>0</formula>
    </cfRule>
    <cfRule type="cellIs" dxfId="248" priority="244" operator="greaterThan">
      <formula>0</formula>
    </cfRule>
  </conditionalFormatting>
  <conditionalFormatting sqref="R66">
    <cfRule type="cellIs" dxfId="247" priority="241" operator="equal">
      <formula>0</formula>
    </cfRule>
    <cfRule type="cellIs" dxfId="246" priority="242" operator="greaterThan">
      <formula>0</formula>
    </cfRule>
  </conditionalFormatting>
  <conditionalFormatting sqref="C74:C75">
    <cfRule type="cellIs" dxfId="245" priority="239" operator="equal">
      <formula>0</formula>
    </cfRule>
    <cfRule type="cellIs" dxfId="244" priority="240" operator="notEqual">
      <formula>0</formula>
    </cfRule>
  </conditionalFormatting>
  <conditionalFormatting sqref="D74:D75">
    <cfRule type="cellIs" dxfId="243" priority="237" operator="equal">
      <formula>0</formula>
    </cfRule>
    <cfRule type="cellIs" dxfId="242" priority="238" operator="notEqual">
      <formula>0</formula>
    </cfRule>
  </conditionalFormatting>
  <conditionalFormatting sqref="E74:E75">
    <cfRule type="cellIs" dxfId="241" priority="235" operator="equal">
      <formula>0</formula>
    </cfRule>
    <cfRule type="cellIs" dxfId="240" priority="236" operator="notEqual">
      <formula>0</formula>
    </cfRule>
  </conditionalFormatting>
  <conditionalFormatting sqref="F74:F75">
    <cfRule type="cellIs" dxfId="239" priority="233" operator="equal">
      <formula>0</formula>
    </cfRule>
    <cfRule type="cellIs" dxfId="238" priority="234" operator="notEqual">
      <formula>0</formula>
    </cfRule>
  </conditionalFormatting>
  <conditionalFormatting sqref="G74:G75">
    <cfRule type="cellIs" dxfId="237" priority="231" operator="equal">
      <formula>0</formula>
    </cfRule>
    <cfRule type="cellIs" dxfId="236" priority="232" operator="notEqual">
      <formula>0</formula>
    </cfRule>
  </conditionalFormatting>
  <conditionalFormatting sqref="H74:H75">
    <cfRule type="cellIs" dxfId="235" priority="229" operator="equal">
      <formula>0</formula>
    </cfRule>
    <cfRule type="cellIs" dxfId="234" priority="230" operator="notEqual">
      <formula>0</formula>
    </cfRule>
  </conditionalFormatting>
  <conditionalFormatting sqref="I74:I75">
    <cfRule type="cellIs" dxfId="233" priority="227" operator="equal">
      <formula>0</formula>
    </cfRule>
    <cfRule type="cellIs" dxfId="232" priority="228" operator="notEqual">
      <formula>0</formula>
    </cfRule>
  </conditionalFormatting>
  <conditionalFormatting sqref="J74:J75">
    <cfRule type="cellIs" dxfId="231" priority="225" operator="equal">
      <formula>0</formula>
    </cfRule>
    <cfRule type="cellIs" dxfId="230" priority="226" operator="notEqual">
      <formula>0</formula>
    </cfRule>
  </conditionalFormatting>
  <conditionalFormatting sqref="O73">
    <cfRule type="cellIs" dxfId="229" priority="223" operator="equal">
      <formula>0</formula>
    </cfRule>
    <cfRule type="cellIs" dxfId="228" priority="224" operator="greaterThan">
      <formula>0</formula>
    </cfRule>
  </conditionalFormatting>
  <conditionalFormatting sqref="P73">
    <cfRule type="cellIs" dxfId="227" priority="221" operator="equal">
      <formula>0</formula>
    </cfRule>
    <cfRule type="cellIs" dxfId="226" priority="222" operator="greaterThan">
      <formula>0</formula>
    </cfRule>
  </conditionalFormatting>
  <conditionalFormatting sqref="Q73">
    <cfRule type="cellIs" dxfId="225" priority="219" operator="equal">
      <formula>0</formula>
    </cfRule>
    <cfRule type="cellIs" dxfId="224" priority="220" operator="greaterThan">
      <formula>0</formula>
    </cfRule>
  </conditionalFormatting>
  <conditionalFormatting sqref="R73">
    <cfRule type="cellIs" dxfId="223" priority="217" operator="equal">
      <formula>0</formula>
    </cfRule>
    <cfRule type="cellIs" dxfId="222" priority="218" operator="greaterThan">
      <formula>0</formula>
    </cfRule>
  </conditionalFormatting>
  <conditionalFormatting sqref="U67:U68">
    <cfRule type="cellIs" dxfId="221" priority="215" operator="equal">
      <formula>0</formula>
    </cfRule>
    <cfRule type="cellIs" dxfId="220" priority="216" operator="notEqual">
      <formula>0</formula>
    </cfRule>
  </conditionalFormatting>
  <conditionalFormatting sqref="V67:V68">
    <cfRule type="cellIs" dxfId="219" priority="213" operator="equal">
      <formula>0</formula>
    </cfRule>
    <cfRule type="cellIs" dxfId="218" priority="214" operator="notEqual">
      <formula>0</formula>
    </cfRule>
  </conditionalFormatting>
  <conditionalFormatting sqref="W67:W68">
    <cfRule type="cellIs" dxfId="217" priority="211" operator="equal">
      <formula>0</formula>
    </cfRule>
    <cfRule type="cellIs" dxfId="216" priority="212" operator="notEqual">
      <formula>0</formula>
    </cfRule>
  </conditionalFormatting>
  <conditionalFormatting sqref="X67:X68">
    <cfRule type="cellIs" dxfId="215" priority="209" operator="equal">
      <formula>0</formula>
    </cfRule>
    <cfRule type="cellIs" dxfId="214" priority="210" operator="notEqual">
      <formula>0</formula>
    </cfRule>
  </conditionalFormatting>
  <conditionalFormatting sqref="Y67:Y68">
    <cfRule type="cellIs" dxfId="213" priority="207" operator="equal">
      <formula>0</formula>
    </cfRule>
    <cfRule type="cellIs" dxfId="212" priority="208" operator="notEqual">
      <formula>0</formula>
    </cfRule>
  </conditionalFormatting>
  <conditionalFormatting sqref="Z67:Z68">
    <cfRule type="cellIs" dxfId="211" priority="205" operator="equal">
      <formula>0</formula>
    </cfRule>
    <cfRule type="cellIs" dxfId="210" priority="206" operator="notEqual">
      <formula>0</formula>
    </cfRule>
  </conditionalFormatting>
  <conditionalFormatting sqref="AA67:AA68">
    <cfRule type="cellIs" dxfId="209" priority="203" operator="equal">
      <formula>0</formula>
    </cfRule>
    <cfRule type="cellIs" dxfId="208" priority="204" operator="notEqual">
      <formula>0</formula>
    </cfRule>
  </conditionalFormatting>
  <conditionalFormatting sqref="AB67:AB68">
    <cfRule type="cellIs" dxfId="207" priority="201" operator="equal">
      <formula>0</formula>
    </cfRule>
    <cfRule type="cellIs" dxfId="206" priority="202" operator="notEqual">
      <formula>0</formula>
    </cfRule>
  </conditionalFormatting>
  <conditionalFormatting sqref="AG66">
    <cfRule type="cellIs" dxfId="205" priority="199" operator="equal">
      <formula>0</formula>
    </cfRule>
    <cfRule type="cellIs" dxfId="204" priority="200" operator="greaterThan">
      <formula>0</formula>
    </cfRule>
  </conditionalFormatting>
  <conditionalFormatting sqref="AH66">
    <cfRule type="cellIs" dxfId="203" priority="197" operator="equal">
      <formula>0</formula>
    </cfRule>
    <cfRule type="cellIs" dxfId="202" priority="198" operator="greaterThan">
      <formula>0</formula>
    </cfRule>
  </conditionalFormatting>
  <conditionalFormatting sqref="AI66">
    <cfRule type="cellIs" dxfId="201" priority="195" operator="equal">
      <formula>0</formula>
    </cfRule>
    <cfRule type="cellIs" dxfId="200" priority="196" operator="greaterThan">
      <formula>0</formula>
    </cfRule>
  </conditionalFormatting>
  <conditionalFormatting sqref="AJ66">
    <cfRule type="cellIs" dxfId="199" priority="193" operator="equal">
      <formula>0</formula>
    </cfRule>
    <cfRule type="cellIs" dxfId="198" priority="194" operator="greaterThan">
      <formula>0</formula>
    </cfRule>
  </conditionalFormatting>
  <conditionalFormatting sqref="U60:U61">
    <cfRule type="cellIs" dxfId="197" priority="191" operator="equal">
      <formula>0</formula>
    </cfRule>
    <cfRule type="cellIs" dxfId="196" priority="192" operator="notEqual">
      <formula>0</formula>
    </cfRule>
  </conditionalFormatting>
  <conditionalFormatting sqref="V60:V61">
    <cfRule type="cellIs" dxfId="195" priority="189" operator="equal">
      <formula>0</formula>
    </cfRule>
    <cfRule type="cellIs" dxfId="194" priority="190" operator="notEqual">
      <formula>0</formula>
    </cfRule>
  </conditionalFormatting>
  <conditionalFormatting sqref="W60:W61">
    <cfRule type="cellIs" dxfId="193" priority="187" operator="equal">
      <formula>0</formula>
    </cfRule>
    <cfRule type="cellIs" dxfId="192" priority="188" operator="notEqual">
      <formula>0</formula>
    </cfRule>
  </conditionalFormatting>
  <conditionalFormatting sqref="X60:X61">
    <cfRule type="cellIs" dxfId="191" priority="185" operator="equal">
      <formula>0</formula>
    </cfRule>
    <cfRule type="cellIs" dxfId="190" priority="186" operator="notEqual">
      <formula>0</formula>
    </cfRule>
  </conditionalFormatting>
  <conditionalFormatting sqref="Y60:Y61">
    <cfRule type="cellIs" dxfId="189" priority="183" operator="equal">
      <formula>0</formula>
    </cfRule>
    <cfRule type="cellIs" dxfId="188" priority="184" operator="notEqual">
      <formula>0</formula>
    </cfRule>
  </conditionalFormatting>
  <conditionalFormatting sqref="Z60:Z61">
    <cfRule type="cellIs" dxfId="187" priority="181" operator="equal">
      <formula>0</formula>
    </cfRule>
    <cfRule type="cellIs" dxfId="186" priority="182" operator="notEqual">
      <formula>0</formula>
    </cfRule>
  </conditionalFormatting>
  <conditionalFormatting sqref="AA60:AA61">
    <cfRule type="cellIs" dxfId="185" priority="179" operator="equal">
      <formula>0</formula>
    </cfRule>
    <cfRule type="cellIs" dxfId="184" priority="180" operator="notEqual">
      <formula>0</formula>
    </cfRule>
  </conditionalFormatting>
  <conditionalFormatting sqref="AB60:AB61">
    <cfRule type="cellIs" dxfId="183" priority="177" operator="equal">
      <formula>0</formula>
    </cfRule>
    <cfRule type="cellIs" dxfId="182" priority="178" operator="notEqual">
      <formula>0</formula>
    </cfRule>
  </conditionalFormatting>
  <conditionalFormatting sqref="AG59">
    <cfRule type="cellIs" dxfId="181" priority="175" operator="equal">
      <formula>0</formula>
    </cfRule>
    <cfRule type="cellIs" dxfId="180" priority="176" operator="greaterThan">
      <formula>0</formula>
    </cfRule>
  </conditionalFormatting>
  <conditionalFormatting sqref="AH59">
    <cfRule type="cellIs" dxfId="179" priority="173" operator="equal">
      <formula>0</formula>
    </cfRule>
    <cfRule type="cellIs" dxfId="178" priority="174" operator="greaterThan">
      <formula>0</formula>
    </cfRule>
  </conditionalFormatting>
  <conditionalFormatting sqref="AI59">
    <cfRule type="cellIs" dxfId="177" priority="171" operator="equal">
      <formula>0</formula>
    </cfRule>
    <cfRule type="cellIs" dxfId="176" priority="172" operator="greaterThan">
      <formula>0</formula>
    </cfRule>
  </conditionalFormatting>
  <conditionalFormatting sqref="AJ59">
    <cfRule type="cellIs" dxfId="175" priority="169" operator="equal">
      <formula>0</formula>
    </cfRule>
    <cfRule type="cellIs" dxfId="174" priority="170" operator="greaterThan">
      <formula>0</formula>
    </cfRule>
  </conditionalFormatting>
  <conditionalFormatting sqref="U53:U54">
    <cfRule type="cellIs" dxfId="173" priority="167" operator="equal">
      <formula>0</formula>
    </cfRule>
    <cfRule type="cellIs" dxfId="172" priority="168" operator="notEqual">
      <formula>0</formula>
    </cfRule>
  </conditionalFormatting>
  <conditionalFormatting sqref="V53:V54">
    <cfRule type="cellIs" dxfId="171" priority="165" operator="equal">
      <formula>0</formula>
    </cfRule>
    <cfRule type="cellIs" dxfId="170" priority="166" operator="notEqual">
      <formula>0</formula>
    </cfRule>
  </conditionalFormatting>
  <conditionalFormatting sqref="W53:W54">
    <cfRule type="cellIs" dxfId="169" priority="163" operator="equal">
      <formula>0</formula>
    </cfRule>
    <cfRule type="cellIs" dxfId="168" priority="164" operator="notEqual">
      <formula>0</formula>
    </cfRule>
  </conditionalFormatting>
  <conditionalFormatting sqref="X53:X54">
    <cfRule type="cellIs" dxfId="167" priority="161" operator="equal">
      <formula>0</formula>
    </cfRule>
    <cfRule type="cellIs" dxfId="166" priority="162" operator="notEqual">
      <formula>0</formula>
    </cfRule>
  </conditionalFormatting>
  <conditionalFormatting sqref="Y53:Y54">
    <cfRule type="cellIs" dxfId="165" priority="159" operator="equal">
      <formula>0</formula>
    </cfRule>
    <cfRule type="cellIs" dxfId="164" priority="160" operator="notEqual">
      <formula>0</formula>
    </cfRule>
  </conditionalFormatting>
  <conditionalFormatting sqref="Z53:Z54">
    <cfRule type="cellIs" dxfId="163" priority="157" operator="equal">
      <formula>0</formula>
    </cfRule>
    <cfRule type="cellIs" dxfId="162" priority="158" operator="notEqual">
      <formula>0</formula>
    </cfRule>
  </conditionalFormatting>
  <conditionalFormatting sqref="AA53:AA54">
    <cfRule type="cellIs" dxfId="161" priority="155" operator="equal">
      <formula>0</formula>
    </cfRule>
    <cfRule type="cellIs" dxfId="160" priority="156" operator="notEqual">
      <formula>0</formula>
    </cfRule>
  </conditionalFormatting>
  <conditionalFormatting sqref="AB53:AB54">
    <cfRule type="cellIs" dxfId="159" priority="153" operator="equal">
      <formula>0</formula>
    </cfRule>
    <cfRule type="cellIs" dxfId="158" priority="154" operator="notEqual">
      <formula>0</formula>
    </cfRule>
  </conditionalFormatting>
  <conditionalFormatting sqref="AG52">
    <cfRule type="cellIs" dxfId="157" priority="151" operator="equal">
      <formula>0</formula>
    </cfRule>
    <cfRule type="cellIs" dxfId="156" priority="152" operator="greaterThan">
      <formula>0</formula>
    </cfRule>
  </conditionalFormatting>
  <conditionalFormatting sqref="AH52">
    <cfRule type="cellIs" dxfId="155" priority="149" operator="equal">
      <formula>0</formula>
    </cfRule>
    <cfRule type="cellIs" dxfId="154" priority="150" operator="greaterThan">
      <formula>0</formula>
    </cfRule>
  </conditionalFormatting>
  <conditionalFormatting sqref="AI52">
    <cfRule type="cellIs" dxfId="153" priority="147" operator="equal">
      <formula>0</formula>
    </cfRule>
    <cfRule type="cellIs" dxfId="152" priority="148" operator="greaterThan">
      <formula>0</formula>
    </cfRule>
  </conditionalFormatting>
  <conditionalFormatting sqref="AJ52">
    <cfRule type="cellIs" dxfId="151" priority="145" operator="equal">
      <formula>0</formula>
    </cfRule>
    <cfRule type="cellIs" dxfId="150" priority="146" operator="greaterThan">
      <formula>0</formula>
    </cfRule>
  </conditionalFormatting>
  <conditionalFormatting sqref="U46:U47">
    <cfRule type="cellIs" dxfId="149" priority="143" operator="equal">
      <formula>0</formula>
    </cfRule>
    <cfRule type="cellIs" dxfId="148" priority="144" operator="notEqual">
      <formula>0</formula>
    </cfRule>
  </conditionalFormatting>
  <conditionalFormatting sqref="V46:V47">
    <cfRule type="cellIs" dxfId="147" priority="141" operator="equal">
      <formula>0</formula>
    </cfRule>
    <cfRule type="cellIs" dxfId="146" priority="142" operator="notEqual">
      <formula>0</formula>
    </cfRule>
  </conditionalFormatting>
  <conditionalFormatting sqref="W46:W47">
    <cfRule type="cellIs" dxfId="145" priority="139" operator="equal">
      <formula>0</formula>
    </cfRule>
    <cfRule type="cellIs" dxfId="144" priority="140" operator="notEqual">
      <formula>0</formula>
    </cfRule>
  </conditionalFormatting>
  <conditionalFormatting sqref="X46:X47">
    <cfRule type="cellIs" dxfId="143" priority="137" operator="equal">
      <formula>0</formula>
    </cfRule>
    <cfRule type="cellIs" dxfId="142" priority="138" operator="notEqual">
      <formula>0</formula>
    </cfRule>
  </conditionalFormatting>
  <conditionalFormatting sqref="Y46:Y47">
    <cfRule type="cellIs" dxfId="141" priority="135" operator="equal">
      <formula>0</formula>
    </cfRule>
    <cfRule type="cellIs" dxfId="140" priority="136" operator="notEqual">
      <formula>0</formula>
    </cfRule>
  </conditionalFormatting>
  <conditionalFormatting sqref="Z46:Z47">
    <cfRule type="cellIs" dxfId="139" priority="133" operator="equal">
      <formula>0</formula>
    </cfRule>
    <cfRule type="cellIs" dxfId="138" priority="134" operator="notEqual">
      <formula>0</formula>
    </cfRule>
  </conditionalFormatting>
  <conditionalFormatting sqref="AA46:AA47">
    <cfRule type="cellIs" dxfId="137" priority="131" operator="equal">
      <formula>0</formula>
    </cfRule>
    <cfRule type="cellIs" dxfId="136" priority="132" operator="notEqual">
      <formula>0</formula>
    </cfRule>
  </conditionalFormatting>
  <conditionalFormatting sqref="AB46:AB47">
    <cfRule type="cellIs" dxfId="135" priority="129" operator="equal">
      <formula>0</formula>
    </cfRule>
    <cfRule type="cellIs" dxfId="134" priority="130" operator="notEqual">
      <formula>0</formula>
    </cfRule>
  </conditionalFormatting>
  <conditionalFormatting sqref="AG45">
    <cfRule type="cellIs" dxfId="133" priority="127" operator="equal">
      <formula>0</formula>
    </cfRule>
    <cfRule type="cellIs" dxfId="132" priority="128" operator="greaterThan">
      <formula>0</formula>
    </cfRule>
  </conditionalFormatting>
  <conditionalFormatting sqref="AH45">
    <cfRule type="cellIs" dxfId="131" priority="125" operator="equal">
      <formula>0</formula>
    </cfRule>
    <cfRule type="cellIs" dxfId="130" priority="126" operator="greaterThan">
      <formula>0</formula>
    </cfRule>
  </conditionalFormatting>
  <conditionalFormatting sqref="AI45">
    <cfRule type="cellIs" dxfId="129" priority="123" operator="equal">
      <formula>0</formula>
    </cfRule>
    <cfRule type="cellIs" dxfId="128" priority="124" operator="greaterThan">
      <formula>0</formula>
    </cfRule>
  </conditionalFormatting>
  <conditionalFormatting sqref="AJ45">
    <cfRule type="cellIs" dxfId="127" priority="121" operator="equal">
      <formula>0</formula>
    </cfRule>
    <cfRule type="cellIs" dxfId="126" priority="122" operator="greaterThan">
      <formula>0</formula>
    </cfRule>
  </conditionalFormatting>
  <conditionalFormatting sqref="U39:U40">
    <cfRule type="cellIs" dxfId="125" priority="119" operator="equal">
      <formula>0</formula>
    </cfRule>
    <cfRule type="cellIs" dxfId="124" priority="120" operator="notEqual">
      <formula>0</formula>
    </cfRule>
  </conditionalFormatting>
  <conditionalFormatting sqref="V39:V40">
    <cfRule type="cellIs" dxfId="123" priority="117" operator="equal">
      <formula>0</formula>
    </cfRule>
    <cfRule type="cellIs" dxfId="122" priority="118" operator="notEqual">
      <formula>0</formula>
    </cfRule>
  </conditionalFormatting>
  <conditionalFormatting sqref="W39:W40">
    <cfRule type="cellIs" dxfId="121" priority="115" operator="equal">
      <formula>0</formula>
    </cfRule>
    <cfRule type="cellIs" dxfId="120" priority="116" operator="notEqual">
      <formula>0</formula>
    </cfRule>
  </conditionalFormatting>
  <conditionalFormatting sqref="X39:X40">
    <cfRule type="cellIs" dxfId="119" priority="113" operator="equal">
      <formula>0</formula>
    </cfRule>
    <cfRule type="cellIs" dxfId="118" priority="114" operator="notEqual">
      <formula>0</formula>
    </cfRule>
  </conditionalFormatting>
  <conditionalFormatting sqref="Y39:Y40">
    <cfRule type="cellIs" dxfId="117" priority="111" operator="equal">
      <formula>0</formula>
    </cfRule>
    <cfRule type="cellIs" dxfId="116" priority="112" operator="notEqual">
      <formula>0</formula>
    </cfRule>
  </conditionalFormatting>
  <conditionalFormatting sqref="Z39:Z40">
    <cfRule type="cellIs" dxfId="115" priority="109" operator="equal">
      <formula>0</formula>
    </cfRule>
    <cfRule type="cellIs" dxfId="114" priority="110" operator="notEqual">
      <formula>0</formula>
    </cfRule>
  </conditionalFormatting>
  <conditionalFormatting sqref="AA39:AA40">
    <cfRule type="cellIs" dxfId="113" priority="107" operator="equal">
      <formula>0</formula>
    </cfRule>
    <cfRule type="cellIs" dxfId="112" priority="108" operator="notEqual">
      <formula>0</formula>
    </cfRule>
  </conditionalFormatting>
  <conditionalFormatting sqref="AB39:AB40">
    <cfRule type="cellIs" dxfId="111" priority="105" operator="equal">
      <formula>0</formula>
    </cfRule>
    <cfRule type="cellIs" dxfId="110" priority="106" operator="notEqual">
      <formula>0</formula>
    </cfRule>
  </conditionalFormatting>
  <conditionalFormatting sqref="AG38">
    <cfRule type="cellIs" dxfId="109" priority="103" operator="equal">
      <formula>0</formula>
    </cfRule>
    <cfRule type="cellIs" dxfId="108" priority="104" operator="greaterThan">
      <formula>0</formula>
    </cfRule>
  </conditionalFormatting>
  <conditionalFormatting sqref="AH38">
    <cfRule type="cellIs" dxfId="107" priority="101" operator="equal">
      <formula>0</formula>
    </cfRule>
    <cfRule type="cellIs" dxfId="106" priority="102" operator="greaterThan">
      <formula>0</formula>
    </cfRule>
  </conditionalFormatting>
  <conditionalFormatting sqref="AI38">
    <cfRule type="cellIs" dxfId="105" priority="99" operator="equal">
      <formula>0</formula>
    </cfRule>
    <cfRule type="cellIs" dxfId="104" priority="100" operator="greaterThan">
      <formula>0</formula>
    </cfRule>
  </conditionalFormatting>
  <conditionalFormatting sqref="AJ38">
    <cfRule type="cellIs" dxfId="103" priority="97" operator="equal">
      <formula>0</formula>
    </cfRule>
    <cfRule type="cellIs" dxfId="102" priority="98" operator="greaterThan">
      <formula>0</formula>
    </cfRule>
  </conditionalFormatting>
  <conditionalFormatting sqref="U32:U33">
    <cfRule type="cellIs" dxfId="101" priority="95" operator="equal">
      <formula>0</formula>
    </cfRule>
    <cfRule type="cellIs" dxfId="100" priority="96" operator="notEqual">
      <formula>0</formula>
    </cfRule>
  </conditionalFormatting>
  <conditionalFormatting sqref="V32:V33">
    <cfRule type="cellIs" dxfId="99" priority="93" operator="equal">
      <formula>0</formula>
    </cfRule>
    <cfRule type="cellIs" dxfId="98" priority="94" operator="notEqual">
      <formula>0</formula>
    </cfRule>
  </conditionalFormatting>
  <conditionalFormatting sqref="W32:W33">
    <cfRule type="cellIs" dxfId="97" priority="91" operator="equal">
      <formula>0</formula>
    </cfRule>
    <cfRule type="cellIs" dxfId="96" priority="92" operator="notEqual">
      <formula>0</formula>
    </cfRule>
  </conditionalFormatting>
  <conditionalFormatting sqref="X32:X33">
    <cfRule type="cellIs" dxfId="95" priority="89" operator="equal">
      <formula>0</formula>
    </cfRule>
    <cfRule type="cellIs" dxfId="94" priority="90" operator="notEqual">
      <formula>0</formula>
    </cfRule>
  </conditionalFormatting>
  <conditionalFormatting sqref="Y32:Y33">
    <cfRule type="cellIs" dxfId="93" priority="87" operator="equal">
      <formula>0</formula>
    </cfRule>
    <cfRule type="cellIs" dxfId="92" priority="88" operator="notEqual">
      <formula>0</formula>
    </cfRule>
  </conditionalFormatting>
  <conditionalFormatting sqref="Z32:Z33">
    <cfRule type="cellIs" dxfId="91" priority="85" operator="equal">
      <formula>0</formula>
    </cfRule>
    <cfRule type="cellIs" dxfId="90" priority="86" operator="notEqual">
      <formula>0</formula>
    </cfRule>
  </conditionalFormatting>
  <conditionalFormatting sqref="AA32:AA33">
    <cfRule type="cellIs" dxfId="89" priority="83" operator="equal">
      <formula>0</formula>
    </cfRule>
    <cfRule type="cellIs" dxfId="88" priority="84" operator="notEqual">
      <formula>0</formula>
    </cfRule>
  </conditionalFormatting>
  <conditionalFormatting sqref="AB32:AB33">
    <cfRule type="cellIs" dxfId="87" priority="81" operator="equal">
      <formula>0</formula>
    </cfRule>
    <cfRule type="cellIs" dxfId="86" priority="82" operator="notEqual">
      <formula>0</formula>
    </cfRule>
  </conditionalFormatting>
  <conditionalFormatting sqref="AG31">
    <cfRule type="cellIs" dxfId="85" priority="79" operator="equal">
      <formula>0</formula>
    </cfRule>
    <cfRule type="cellIs" dxfId="84" priority="80" operator="greaterThan">
      <formula>0</formula>
    </cfRule>
  </conditionalFormatting>
  <conditionalFormatting sqref="AH31">
    <cfRule type="cellIs" dxfId="83" priority="77" operator="equal">
      <formula>0</formula>
    </cfRule>
    <cfRule type="cellIs" dxfId="82" priority="78" operator="greaterThan">
      <formula>0</formula>
    </cfRule>
  </conditionalFormatting>
  <conditionalFormatting sqref="AI31">
    <cfRule type="cellIs" dxfId="81" priority="75" operator="equal">
      <formula>0</formula>
    </cfRule>
    <cfRule type="cellIs" dxfId="80" priority="76" operator="greaterThan">
      <formula>0</formula>
    </cfRule>
  </conditionalFormatting>
  <conditionalFormatting sqref="AJ31">
    <cfRule type="cellIs" dxfId="79" priority="73" operator="equal">
      <formula>0</formula>
    </cfRule>
    <cfRule type="cellIs" dxfId="78" priority="74" operator="greaterThan">
      <formula>0</formula>
    </cfRule>
  </conditionalFormatting>
  <conditionalFormatting sqref="U25:U26">
    <cfRule type="cellIs" dxfId="77" priority="71" operator="equal">
      <formula>0</formula>
    </cfRule>
    <cfRule type="cellIs" dxfId="76" priority="72" operator="notEqual">
      <formula>0</formula>
    </cfRule>
  </conditionalFormatting>
  <conditionalFormatting sqref="V25:V26">
    <cfRule type="cellIs" dxfId="75" priority="69" operator="equal">
      <formula>0</formula>
    </cfRule>
    <cfRule type="cellIs" dxfId="74" priority="70" operator="notEqual">
      <formula>0</formula>
    </cfRule>
  </conditionalFormatting>
  <conditionalFormatting sqref="W25:W26">
    <cfRule type="cellIs" dxfId="73" priority="67" operator="equal">
      <formula>0</formula>
    </cfRule>
    <cfRule type="cellIs" dxfId="72" priority="68" operator="notEqual">
      <formula>0</formula>
    </cfRule>
  </conditionalFormatting>
  <conditionalFormatting sqref="X25:X26">
    <cfRule type="cellIs" dxfId="71" priority="65" operator="equal">
      <formula>0</formula>
    </cfRule>
    <cfRule type="cellIs" dxfId="70" priority="66" operator="notEqual">
      <formula>0</formula>
    </cfRule>
  </conditionalFormatting>
  <conditionalFormatting sqref="Y25:Y26">
    <cfRule type="cellIs" dxfId="69" priority="63" operator="equal">
      <formula>0</formula>
    </cfRule>
    <cfRule type="cellIs" dxfId="68" priority="64" operator="notEqual">
      <formula>0</formula>
    </cfRule>
  </conditionalFormatting>
  <conditionalFormatting sqref="Z25:Z26">
    <cfRule type="cellIs" dxfId="67" priority="61" operator="equal">
      <formula>0</formula>
    </cfRule>
    <cfRule type="cellIs" dxfId="66" priority="62" operator="notEqual">
      <formula>0</formula>
    </cfRule>
  </conditionalFormatting>
  <conditionalFormatting sqref="AA25:AA26">
    <cfRule type="cellIs" dxfId="65" priority="59" operator="equal">
      <formula>0</formula>
    </cfRule>
    <cfRule type="cellIs" dxfId="64" priority="60" operator="notEqual">
      <formula>0</formula>
    </cfRule>
  </conditionalFormatting>
  <conditionalFormatting sqref="AB25:AB26">
    <cfRule type="cellIs" dxfId="63" priority="57" operator="equal">
      <formula>0</formula>
    </cfRule>
    <cfRule type="cellIs" dxfId="62" priority="58" operator="notEqual">
      <formula>0</formula>
    </cfRule>
  </conditionalFormatting>
  <conditionalFormatting sqref="AG24">
    <cfRule type="cellIs" dxfId="61" priority="55" operator="equal">
      <formula>0</formula>
    </cfRule>
    <cfRule type="cellIs" dxfId="60" priority="56" operator="greaterThan">
      <formula>0</formula>
    </cfRule>
  </conditionalFormatting>
  <conditionalFormatting sqref="AH24">
    <cfRule type="cellIs" dxfId="59" priority="53" operator="equal">
      <formula>0</formula>
    </cfRule>
    <cfRule type="cellIs" dxfId="58" priority="54" operator="greaterThan">
      <formula>0</formula>
    </cfRule>
  </conditionalFormatting>
  <conditionalFormatting sqref="AI24">
    <cfRule type="cellIs" dxfId="57" priority="51" operator="equal">
      <formula>0</formula>
    </cfRule>
    <cfRule type="cellIs" dxfId="56" priority="52" operator="greaterThan">
      <formula>0</formula>
    </cfRule>
  </conditionalFormatting>
  <conditionalFormatting sqref="AJ24">
    <cfRule type="cellIs" dxfId="55" priority="49" operator="equal">
      <formula>0</formula>
    </cfRule>
    <cfRule type="cellIs" dxfId="54" priority="50" operator="greaterThan">
      <formula>0</formula>
    </cfRule>
  </conditionalFormatting>
  <conditionalFormatting sqref="U18:U19">
    <cfRule type="cellIs" dxfId="53" priority="47" operator="equal">
      <formula>0</formula>
    </cfRule>
    <cfRule type="cellIs" dxfId="52" priority="48" operator="notEqual">
      <formula>0</formula>
    </cfRule>
  </conditionalFormatting>
  <conditionalFormatting sqref="V18:V19">
    <cfRule type="cellIs" dxfId="51" priority="45" operator="equal">
      <formula>0</formula>
    </cfRule>
    <cfRule type="cellIs" dxfId="50" priority="46" operator="notEqual">
      <formula>0</formula>
    </cfRule>
  </conditionalFormatting>
  <conditionalFormatting sqref="W18:W19">
    <cfRule type="cellIs" dxfId="49" priority="43" operator="equal">
      <formula>0</formula>
    </cfRule>
    <cfRule type="cellIs" dxfId="48" priority="44" operator="notEqual">
      <formula>0</formula>
    </cfRule>
  </conditionalFormatting>
  <conditionalFormatting sqref="X18:X19">
    <cfRule type="cellIs" dxfId="47" priority="41" operator="equal">
      <formula>0</formula>
    </cfRule>
    <cfRule type="cellIs" dxfId="46" priority="42" operator="notEqual">
      <formula>0</formula>
    </cfRule>
  </conditionalFormatting>
  <conditionalFormatting sqref="Y18:Y19">
    <cfRule type="cellIs" dxfId="45" priority="39" operator="equal">
      <formula>0</formula>
    </cfRule>
    <cfRule type="cellIs" dxfId="44" priority="40" operator="notEqual">
      <formula>0</formula>
    </cfRule>
  </conditionalFormatting>
  <conditionalFormatting sqref="Z18:Z19">
    <cfRule type="cellIs" dxfId="43" priority="37" operator="equal">
      <formula>0</formula>
    </cfRule>
    <cfRule type="cellIs" dxfId="42" priority="38" operator="notEqual">
      <formula>0</formula>
    </cfRule>
  </conditionalFormatting>
  <conditionalFormatting sqref="AA18:AA19">
    <cfRule type="cellIs" dxfId="41" priority="35" operator="equal">
      <formula>0</formula>
    </cfRule>
    <cfRule type="cellIs" dxfId="40" priority="36" operator="notEqual">
      <formula>0</formula>
    </cfRule>
  </conditionalFormatting>
  <conditionalFormatting sqref="AB18:AB19">
    <cfRule type="cellIs" dxfId="39" priority="33" operator="equal">
      <formula>0</formula>
    </cfRule>
    <cfRule type="cellIs" dxfId="38" priority="34" operator="notEqual">
      <formula>0</formula>
    </cfRule>
  </conditionalFormatting>
  <conditionalFormatting sqref="AG17">
    <cfRule type="cellIs" dxfId="37" priority="31" operator="equal">
      <formula>0</formula>
    </cfRule>
    <cfRule type="cellIs" dxfId="36" priority="32" operator="greaterThan">
      <formula>0</formula>
    </cfRule>
  </conditionalFormatting>
  <conditionalFormatting sqref="AH17">
    <cfRule type="cellIs" dxfId="35" priority="29" operator="equal">
      <formula>0</formula>
    </cfRule>
    <cfRule type="cellIs" dxfId="34" priority="30" operator="greaterThan">
      <formula>0</formula>
    </cfRule>
  </conditionalFormatting>
  <conditionalFormatting sqref="AI17">
    <cfRule type="cellIs" dxfId="33" priority="27" operator="equal">
      <formula>0</formula>
    </cfRule>
    <cfRule type="cellIs" dxfId="32" priority="28" operator="greaterThan">
      <formula>0</formula>
    </cfRule>
  </conditionalFormatting>
  <conditionalFormatting sqref="AJ17">
    <cfRule type="cellIs" dxfId="31" priority="25" operator="equal">
      <formula>0</formula>
    </cfRule>
    <cfRule type="cellIs" dxfId="30" priority="26" operator="greaterThan">
      <formula>0</formula>
    </cfRule>
  </conditionalFormatting>
  <conditionalFormatting sqref="U11:U12">
    <cfRule type="cellIs" dxfId="29" priority="23" operator="equal">
      <formula>0</formula>
    </cfRule>
    <cfRule type="cellIs" dxfId="28" priority="24" operator="notEqual">
      <formula>0</formula>
    </cfRule>
  </conditionalFormatting>
  <conditionalFormatting sqref="V11:V12">
    <cfRule type="cellIs" dxfId="27" priority="21" operator="equal">
      <formula>0</formula>
    </cfRule>
    <cfRule type="cellIs" dxfId="26" priority="22" operator="notEqual">
      <formula>0</formula>
    </cfRule>
  </conditionalFormatting>
  <conditionalFormatting sqref="W11:W12">
    <cfRule type="cellIs" dxfId="25" priority="19" operator="equal">
      <formula>0</formula>
    </cfRule>
    <cfRule type="cellIs" dxfId="24" priority="20" operator="notEqual">
      <formula>0</formula>
    </cfRule>
  </conditionalFormatting>
  <conditionalFormatting sqref="X11:X12">
    <cfRule type="cellIs" dxfId="23" priority="17" operator="equal">
      <formula>0</formula>
    </cfRule>
    <cfRule type="cellIs" dxfId="22" priority="18" operator="notEqual">
      <formula>0</formula>
    </cfRule>
  </conditionalFormatting>
  <conditionalFormatting sqref="Y11:Y12">
    <cfRule type="cellIs" dxfId="21" priority="15" operator="equal">
      <formula>0</formula>
    </cfRule>
    <cfRule type="cellIs" dxfId="20" priority="16" operator="notEqual">
      <formula>0</formula>
    </cfRule>
  </conditionalFormatting>
  <conditionalFormatting sqref="Z11:Z12">
    <cfRule type="cellIs" dxfId="19" priority="13" operator="equal">
      <formula>0</formula>
    </cfRule>
    <cfRule type="cellIs" dxfId="18" priority="14" operator="notEqual">
      <formula>0</formula>
    </cfRule>
  </conditionalFormatting>
  <conditionalFormatting sqref="AA11:AA12">
    <cfRule type="cellIs" dxfId="17" priority="11" operator="equal">
      <formula>0</formula>
    </cfRule>
    <cfRule type="cellIs" dxfId="16" priority="12" operator="notEqual">
      <formula>0</formula>
    </cfRule>
  </conditionalFormatting>
  <conditionalFormatting sqref="AB11:AB12">
    <cfRule type="cellIs" dxfId="15" priority="9" operator="equal">
      <formula>0</formula>
    </cfRule>
    <cfRule type="cellIs" dxfId="14" priority="10" operator="notEqual">
      <formula>0</formula>
    </cfRule>
  </conditionalFormatting>
  <conditionalFormatting sqref="AG10">
    <cfRule type="cellIs" dxfId="13" priority="7" operator="equal">
      <formula>0</formula>
    </cfRule>
    <cfRule type="cellIs" dxfId="12" priority="8" operator="greaterThan">
      <formula>0</formula>
    </cfRule>
  </conditionalFormatting>
  <conditionalFormatting sqref="AH10">
    <cfRule type="cellIs" dxfId="11" priority="5" operator="equal">
      <formula>0</formula>
    </cfRule>
    <cfRule type="cellIs" dxfId="10" priority="6" operator="greaterThan">
      <formula>0</formula>
    </cfRule>
  </conditionalFormatting>
  <conditionalFormatting sqref="AI10">
    <cfRule type="cellIs" dxfId="9" priority="3" operator="equal">
      <formula>0</formula>
    </cfRule>
    <cfRule type="cellIs" dxfId="8" priority="4" operator="greaterThan">
      <formula>0</formula>
    </cfRule>
  </conditionalFormatting>
  <conditionalFormatting sqref="AJ10">
    <cfRule type="cellIs" dxfId="7" priority="1" operator="equal">
      <formula>0</formula>
    </cfRule>
    <cfRule type="cellIs" dxfId="6" priority="2" operator="greaterThan">
      <formula>0</formula>
    </cfRule>
  </conditionalFormatting>
  <dataValidations count="1">
    <dataValidation type="list" allowBlank="1" showInputMessage="1" showErrorMessage="1" sqref="B5" xr:uid="{829D0DA9-C009-443E-8D65-0F2737C055E6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4">
    <pageSetUpPr fitToPage="1"/>
  </sheetPr>
  <dimension ref="A1:Y26"/>
  <sheetViews>
    <sheetView showGridLines="0" zoomScale="85" zoomScaleNormal="85" workbookViewId="0">
      <selection activeCell="A19" sqref="A19:XFD19"/>
    </sheetView>
  </sheetViews>
  <sheetFormatPr baseColWidth="10" defaultColWidth="9.1640625" defaultRowHeight="16" x14ac:dyDescent="0.2"/>
  <cols>
    <col min="1" max="1" width="3.5" style="1" customWidth="1"/>
    <col min="2" max="2" width="31.5" style="1" bestFit="1" customWidth="1"/>
    <col min="3" max="3" width="14.5" style="1" bestFit="1" customWidth="1"/>
    <col min="4" max="4" width="15.5" style="1" customWidth="1"/>
    <col min="5" max="5" width="13" style="1" bestFit="1" customWidth="1"/>
    <col min="6" max="6" width="15.5" style="1" customWidth="1"/>
    <col min="7" max="7" width="9.1640625" style="1"/>
    <col min="8" max="8" width="15.5" style="1" customWidth="1"/>
    <col min="9" max="9" width="15.1640625" style="1" customWidth="1"/>
    <col min="10" max="10" width="12.83203125" style="1" bestFit="1" customWidth="1"/>
    <col min="11" max="11" width="14.5" style="1" customWidth="1"/>
    <col min="12" max="12" width="13.1640625" style="1" customWidth="1"/>
    <col min="13" max="13" width="10.5" style="1" bestFit="1" customWidth="1"/>
    <col min="14" max="16384" width="9.1640625" style="1"/>
  </cols>
  <sheetData>
    <row r="1" spans="1:25" ht="45" customHeight="1" x14ac:dyDescent="0.2">
      <c r="A1" s="358" t="s">
        <v>1270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8"/>
      <c r="Q1" s="358"/>
      <c r="R1" s="358"/>
      <c r="S1" s="358"/>
      <c r="T1" s="358"/>
      <c r="U1" s="358"/>
      <c r="V1" s="358"/>
      <c r="W1" s="358"/>
      <c r="X1" s="358"/>
      <c r="Y1" s="358"/>
    </row>
    <row r="2" spans="1:25" ht="39" customHeight="1" x14ac:dyDescent="0.2">
      <c r="A2" s="357"/>
      <c r="B2" s="357"/>
      <c r="C2" s="357"/>
      <c r="D2" s="357"/>
      <c r="E2" s="357"/>
      <c r="F2" s="357"/>
      <c r="G2" s="357"/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357"/>
      <c r="U2" s="357"/>
      <c r="V2" s="357"/>
      <c r="W2" s="357"/>
      <c r="X2" s="357"/>
      <c r="Y2" s="357"/>
    </row>
    <row r="3" spans="1:25" ht="14.25" customHeight="1" x14ac:dyDescent="0.2"/>
    <row r="4" spans="1:25" ht="56" x14ac:dyDescent="0.2">
      <c r="B4" s="166"/>
      <c r="C4" s="244" t="s">
        <v>1135</v>
      </c>
      <c r="D4" s="75" t="s">
        <v>1136</v>
      </c>
      <c r="E4" s="75" t="s">
        <v>1137</v>
      </c>
      <c r="F4" s="75" t="s">
        <v>1138</v>
      </c>
      <c r="G4" s="104"/>
      <c r="H4" s="244" t="s">
        <v>1139</v>
      </c>
      <c r="I4" s="244" t="s">
        <v>1140</v>
      </c>
      <c r="J4" s="104"/>
      <c r="K4" s="244" t="s">
        <v>1141</v>
      </c>
      <c r="L4" s="244" t="s">
        <v>1142</v>
      </c>
    </row>
    <row r="5" spans="1:25" x14ac:dyDescent="0.2">
      <c r="B5" s="161" t="s">
        <v>1355</v>
      </c>
      <c r="C5" s="79" t="e">
        <f>SUM((SUMIFS('capacity data'!G:G,'capacity data'!A:A,B5,'capacity data'!E:E,"PO"))-SUMIFS('capacity data'!H:H,'capacity data'!A:A,B5,'capacity data'!E:E,"PO"))/SUMIFS('capacity data'!G:G,'capacity data'!A:A,B5,'capacity data'!E:E,"PO")</f>
        <v>#DIV/0!</v>
      </c>
      <c r="D5" s="79" t="e">
        <f>SUM((SUMIFS('capacity data'!G:G,'capacity data'!A:A,B5,'capacity data'!E:E,"PSO"))-SUMIFS('capacity data'!H:H,'capacity data'!A:A,B5,'capacity data'!E:E,"PSO"))/SUMIFS('capacity data'!G:G,'capacity data'!A:A,B5,'capacity data'!E:E,"PSO")</f>
        <v>#DIV/0!</v>
      </c>
      <c r="E5" s="79" t="e">
        <f>SUM((SUMIFS('capacity data'!G:G,'capacity data'!A:A,B5,'capacity data'!E:E,"TPO"))-SUMIFS('capacity data'!H:H,'capacity data'!A:A,B5,'capacity data'!E:E,"TPO"))/SUMIFS('capacity data'!G:G,'capacity data'!A:A,B5,'capacity data'!E:E,"TPO")</f>
        <v>#DIV/0!</v>
      </c>
      <c r="F5" s="167" t="e">
        <f>SUM((SUMIFS('capacity data'!G:G,'capacity data'!A:A,B5))-SUMIFS('capacity data'!H:H,'capacity data'!A:A,B5))/SUMIFS('capacity data'!G:G,'capacity data'!A:A,B5)</f>
        <v>#DIV/0!</v>
      </c>
      <c r="G5" s="168"/>
      <c r="H5" s="78" t="e">
        <f>SUMIFS('capacity data'!$L:$L,'capacity data'!$A:$A,B5,'capacity data'!$E:$E,"PSO")/SUM((SUMIFS('capacity data'!$G:$G,'capacity data'!$E:$E,"PSO",'capacity data'!$A:$A,B5))-SUMIFS('capacity data'!$H:$H,'capacity data'!$E:$E,"PSO",'capacity data'!$A:$A,B5))</f>
        <v>#DIV/0!</v>
      </c>
      <c r="I5" s="78" t="e">
        <f>SUMIFS('capacity data'!$L:$L,'capacity data'!$A:$A,B5,'capacity data'!$E:$E,"PSO")/SUMIFS('capacity data'!$G:$G,'capacity data'!$E:$E,"PSO",'capacity data'!$A:$A,B5)</f>
        <v>#DIV/0!</v>
      </c>
      <c r="J5" s="104"/>
      <c r="K5" s="78" t="e">
        <f>SUMIFS('capacity data'!$L:$L,'capacity data'!$A:$A,B5,'capacity data'!$E:$E,"TPO")/SUM((SUMIFS('capacity data'!$G:$G,'capacity data'!$E:$E,"TPO",'capacity data'!$A:$A,B5))-SUMIFS('capacity data'!$H:$H,'capacity data'!$E:$E,"TPO",'capacity data'!$A:$A,B5))</f>
        <v>#DIV/0!</v>
      </c>
      <c r="L5" s="78" t="e">
        <f>SUMIFS('capacity data'!$L:$L,'capacity data'!$A:$A,B5,'capacity data'!$E:$E,"TPO")/SUMIFS('capacity data'!$G:$G,'capacity data'!$E:$E,"TPO",'capacity data'!$A:$A,B5)</f>
        <v>#DIV/0!</v>
      </c>
    </row>
    <row r="6" spans="1:25" x14ac:dyDescent="0.2">
      <c r="B6" s="161" t="s">
        <v>20</v>
      </c>
      <c r="C6" s="79" t="e">
        <f>SUM((SUMIFS('capacity data'!G:G,'capacity data'!A:A,B6,'capacity data'!E:E,"PO"))-SUMIFS('capacity data'!H:H,'capacity data'!A:A,B6,'capacity data'!E:E,"PO"))/SUMIFS('capacity data'!G:G,'capacity data'!A:A,B6,'capacity data'!E:E,"PO")</f>
        <v>#DIV/0!</v>
      </c>
      <c r="D6" s="79" t="e">
        <f>SUM((SUMIFS('capacity data'!G:G,'capacity data'!A:A,B6,'capacity data'!E:E,"PSO"))-SUMIFS('capacity data'!H:H,'capacity data'!A:A,B6,'capacity data'!E:E,"PSO"))/SUMIFS('capacity data'!G:G,'capacity data'!A:A,B6,'capacity data'!E:E,"PSO")</f>
        <v>#DIV/0!</v>
      </c>
      <c r="E6" s="79" t="e">
        <f>SUM((SUMIFS('capacity data'!G:G,'capacity data'!A:A,B6,'capacity data'!E:E,"TPO"))-SUMIFS('capacity data'!H:H,'capacity data'!A:A,B6,'capacity data'!E:E,"TPO"))/SUMIFS('capacity data'!G:G,'capacity data'!A:A,B6,'capacity data'!E:E,"TPO")</f>
        <v>#DIV/0!</v>
      </c>
      <c r="F6" s="167" t="e">
        <f>SUM((SUMIFS('capacity data'!G:G,'capacity data'!A:A,B6))-SUMIFS('capacity data'!H:H,'capacity data'!A:A,B6))/SUMIFS('capacity data'!G:G,'capacity data'!A:A,B6)</f>
        <v>#DIV/0!</v>
      </c>
      <c r="G6" s="168"/>
      <c r="H6" s="78" t="e">
        <f>SUMIFS('capacity data'!$L:$L,'capacity data'!$A:$A,B6,'capacity data'!$E:$E,"PSO")/SUM((SUMIFS('capacity data'!$G:$G,'capacity data'!$E:$E,"PSO",'capacity data'!$A:$A,B6))-SUMIFS('capacity data'!$H:$H,'capacity data'!$E:$E,"PSO",'capacity data'!$A:$A,B6))</f>
        <v>#DIV/0!</v>
      </c>
      <c r="I6" s="78" t="e">
        <f>SUMIFS('capacity data'!$L:$L,'capacity data'!$A:$A,B6,'capacity data'!$E:$E,"PSO")/SUMIFS('capacity data'!$G:$G,'capacity data'!$E:$E,"PSO",'capacity data'!$A:$A,B6)</f>
        <v>#DIV/0!</v>
      </c>
      <c r="J6" s="104"/>
      <c r="K6" s="78" t="e">
        <f>SUMIFS('capacity data'!$L:$L,'capacity data'!$A:$A,B6,'capacity data'!$E:$E,"TPO")/SUM((SUMIFS('capacity data'!$G:$G,'capacity data'!$E:$E,"TPO",'capacity data'!$A:$A,B6))-SUMIFS('capacity data'!$H:$H,'capacity data'!$E:$E,"TPO",'capacity data'!$A:$A,B6))</f>
        <v>#DIV/0!</v>
      </c>
      <c r="L6" s="78" t="e">
        <f>SUMIFS('capacity data'!$L:$L,'capacity data'!$A:$A,B6,'capacity data'!$E:$E,"TPO")/SUMIFS('capacity data'!$G:$G,'capacity data'!$E:$E,"TPO",'capacity data'!$A:$A,B6)</f>
        <v>#DIV/0!</v>
      </c>
    </row>
    <row r="7" spans="1:25" x14ac:dyDescent="0.2">
      <c r="B7" s="161" t="s">
        <v>21</v>
      </c>
      <c r="C7" s="79" t="e">
        <f>SUM((SUMIFS('capacity data'!G:G,'capacity data'!A:A,B7,'capacity data'!E:E,"PO"))-SUMIFS('capacity data'!H:H,'capacity data'!A:A,B7,'capacity data'!E:E,"PO"))/SUMIFS('capacity data'!G:G,'capacity data'!A:A,B7,'capacity data'!E:E,"PO")</f>
        <v>#DIV/0!</v>
      </c>
      <c r="D7" s="79" t="e">
        <f>SUM((SUMIFS('capacity data'!G:G,'capacity data'!A:A,B7,'capacity data'!E:E,"PSO"))-SUMIFS('capacity data'!H:H,'capacity data'!A:A,B7,'capacity data'!E:E,"PSO"))/SUMIFS('capacity data'!G:G,'capacity data'!A:A,B7,'capacity data'!E:E,"PSO")</f>
        <v>#DIV/0!</v>
      </c>
      <c r="E7" s="79" t="e">
        <f>SUM((SUMIFS('capacity data'!G:G,'capacity data'!A:A,B7,'capacity data'!E:E,"TPO"))-SUMIFS('capacity data'!H:H,'capacity data'!A:A,B7,'capacity data'!E:E,"TPO"))/SUMIFS('capacity data'!G:G,'capacity data'!A:A,B7,'capacity data'!E:E,"TPO")</f>
        <v>#DIV/0!</v>
      </c>
      <c r="F7" s="167" t="e">
        <f>SUM((SUMIFS('capacity data'!G:G,'capacity data'!A:A,B7))-SUMIFS('capacity data'!H:H,'capacity data'!A:A,B7))/SUMIFS('capacity data'!G:G,'capacity data'!A:A,B7)</f>
        <v>#DIV/0!</v>
      </c>
      <c r="G7" s="168"/>
      <c r="H7" s="78" t="e">
        <f>SUMIFS('capacity data'!$L:$L,'capacity data'!$A:$A,B7,'capacity data'!$E:$E,"PSO")/SUM((SUMIFS('capacity data'!$G:$G,'capacity data'!$E:$E,"PSO",'capacity data'!$A:$A,B7))-SUMIFS('capacity data'!$H:$H,'capacity data'!$E:$E,"PSO",'capacity data'!$A:$A,B7))</f>
        <v>#DIV/0!</v>
      </c>
      <c r="I7" s="78" t="e">
        <f>SUMIFS('capacity data'!$L:$L,'capacity data'!$A:$A,B7,'capacity data'!$E:$E,"PSO")/SUMIFS('capacity data'!$G:$G,'capacity data'!$E:$E,"PSO",'capacity data'!$A:$A,B7)</f>
        <v>#DIV/0!</v>
      </c>
      <c r="J7" s="104"/>
      <c r="K7" s="78" t="e">
        <f>SUMIFS('capacity data'!$L:$L,'capacity data'!$A:$A,B7,'capacity data'!$E:$E,"TPO")/SUM((SUMIFS('capacity data'!$G:$G,'capacity data'!$E:$E,"TPO",'capacity data'!$A:$A,B7))-SUMIFS('capacity data'!$H:$H,'capacity data'!$E:$E,"TPO",'capacity data'!$A:$A,B7))</f>
        <v>#DIV/0!</v>
      </c>
      <c r="L7" s="78" t="e">
        <f>SUMIFS('capacity data'!$L:$L,'capacity data'!$A:$A,B7,'capacity data'!$E:$E,"TPO")/SUMIFS('capacity data'!$G:$G,'capacity data'!$E:$E,"TPO",'capacity data'!$A:$A,B7)</f>
        <v>#DIV/0!</v>
      </c>
    </row>
    <row r="8" spans="1:25" x14ac:dyDescent="0.2">
      <c r="B8" s="161" t="s">
        <v>1357</v>
      </c>
      <c r="C8" s="79" t="e">
        <f>SUM((SUMIFS('capacity data'!G:G,'capacity data'!A:A,B8,'capacity data'!E:E,"PO"))-SUMIFS('capacity data'!H:H,'capacity data'!A:A,B8,'capacity data'!E:E,"PO"))/SUMIFS('capacity data'!G:G,'capacity data'!A:A,B8,'capacity data'!E:E,"PO")</f>
        <v>#DIV/0!</v>
      </c>
      <c r="D8" s="79" t="e">
        <f>SUM((SUMIFS('capacity data'!G:G,'capacity data'!A:A,B8,'capacity data'!E:E,"PSO"))-SUMIFS('capacity data'!H:H,'capacity data'!A:A,B8,'capacity data'!E:E,"PSO"))/SUMIFS('capacity data'!G:G,'capacity data'!A:A,B8,'capacity data'!E:E,"PSO")</f>
        <v>#DIV/0!</v>
      </c>
      <c r="E8" s="79" t="e">
        <f>SUM((SUMIFS('capacity data'!G:G,'capacity data'!A:A,B8,'capacity data'!E:E,"TPO"))-SUMIFS('capacity data'!H:H,'capacity data'!A:A,B8,'capacity data'!E:E,"TPO"))/SUMIFS('capacity data'!G:G,'capacity data'!A:A,B8,'capacity data'!E:E,"TPO")</f>
        <v>#DIV/0!</v>
      </c>
      <c r="F8" s="167" t="e">
        <f>SUM((SUMIFS('capacity data'!G:G,'capacity data'!A:A,B8))-SUMIFS('capacity data'!H:H,'capacity data'!A:A,B8))/SUMIFS('capacity data'!G:G,'capacity data'!A:A,B8)</f>
        <v>#DIV/0!</v>
      </c>
      <c r="G8" s="168"/>
      <c r="H8" s="78" t="e">
        <f>SUMIFS('capacity data'!$L:$L,'capacity data'!$A:$A,B8,'capacity data'!$E:$E,"PSO")/SUM((SUMIFS('capacity data'!$G:$G,'capacity data'!$E:$E,"PSO",'capacity data'!$A:$A,B8))-SUMIFS('capacity data'!$H:$H,'capacity data'!$E:$E,"PSO",'capacity data'!$A:$A,B8))</f>
        <v>#DIV/0!</v>
      </c>
      <c r="I8" s="78" t="e">
        <f>SUMIFS('capacity data'!$L:$L,'capacity data'!$A:$A,B8,'capacity data'!$E:$E,"PSO")/SUMIFS('capacity data'!$G:$G,'capacity data'!$E:$E,"PSO",'capacity data'!$A:$A,B8)</f>
        <v>#DIV/0!</v>
      </c>
      <c r="J8" s="104"/>
      <c r="K8" s="78" t="e">
        <f>SUMIFS('capacity data'!$L:$L,'capacity data'!$A:$A,B8,'capacity data'!$E:$E,"TPO")/SUM((SUMIFS('capacity data'!$G:$G,'capacity data'!$E:$E,"TPO",'capacity data'!$A:$A,B8))-SUMIFS('capacity data'!$H:$H,'capacity data'!$E:$E,"TPO",'capacity data'!$A:$A,B8))</f>
        <v>#DIV/0!</v>
      </c>
      <c r="L8" s="78" t="e">
        <f>SUMIFS('capacity data'!$L:$L,'capacity data'!$A:$A,B8,'capacity data'!$E:$E,"TPO")/SUMIFS('capacity data'!$G:$G,'capacity data'!$E:$E,"TPO",'capacity data'!$A:$A,B8)</f>
        <v>#DIV/0!</v>
      </c>
    </row>
    <row r="9" spans="1:25" x14ac:dyDescent="0.2">
      <c r="B9" s="161" t="s">
        <v>22</v>
      </c>
      <c r="C9" s="79" t="e">
        <f>SUM((SUMIFS('capacity data'!G:G,'capacity data'!A:A,B9,'capacity data'!E:E,"PO"))-SUMIFS('capacity data'!H:H,'capacity data'!A:A,B9,'capacity data'!E:E,"PO"))/SUMIFS('capacity data'!G:G,'capacity data'!A:A,B9,'capacity data'!E:E,"PO")</f>
        <v>#DIV/0!</v>
      </c>
      <c r="D9" s="79" t="e">
        <f>SUM((SUMIFS('capacity data'!G:G,'capacity data'!A:A,B9,'capacity data'!E:E,"PSO"))-SUMIFS('capacity data'!H:H,'capacity data'!A:A,B9,'capacity data'!E:E,"PSO"))/SUMIFS('capacity data'!G:G,'capacity data'!A:A,B9,'capacity data'!E:E,"PSO")</f>
        <v>#DIV/0!</v>
      </c>
      <c r="E9" s="79" t="e">
        <f>SUM((SUMIFS('capacity data'!G:G,'capacity data'!A:A,B9,'capacity data'!E:E,"TPO"))-SUMIFS('capacity data'!H:H,'capacity data'!A:A,B9,'capacity data'!E:E,"TPO"))/SUMIFS('capacity data'!G:G,'capacity data'!A:A,B9,'capacity data'!E:E,"TPO")</f>
        <v>#DIV/0!</v>
      </c>
      <c r="F9" s="167" t="e">
        <f>SUM((SUMIFS('capacity data'!G:G,'capacity data'!A:A,B9))-SUMIFS('capacity data'!H:H,'capacity data'!A:A,B9))/SUMIFS('capacity data'!G:G,'capacity data'!A:A,B9)</f>
        <v>#DIV/0!</v>
      </c>
      <c r="G9" s="168"/>
      <c r="H9" s="78" t="e">
        <f>SUMIFS('capacity data'!$L:$L,'capacity data'!$A:$A,B9,'capacity data'!$E:$E,"PSO")/SUM((SUMIFS('capacity data'!$G:$G,'capacity data'!$E:$E,"PSO",'capacity data'!$A:$A,B9))-SUMIFS('capacity data'!$H:$H,'capacity data'!$E:$E,"PSO",'capacity data'!$A:$A,B9))</f>
        <v>#DIV/0!</v>
      </c>
      <c r="I9" s="78" t="e">
        <f>SUMIFS('capacity data'!$L:$L,'capacity data'!$A:$A,B9,'capacity data'!$E:$E,"PSO")/SUMIFS('capacity data'!$G:$G,'capacity data'!$E:$E,"PSO",'capacity data'!$A:$A,B9)</f>
        <v>#DIV/0!</v>
      </c>
      <c r="J9" s="104"/>
      <c r="K9" s="78" t="e">
        <f>SUMIFS('capacity data'!$L:$L,'capacity data'!$A:$A,B9,'capacity data'!$E:$E,"TPO")/SUM((SUMIFS('capacity data'!$G:$G,'capacity data'!$E:$E,"TPO",'capacity data'!$A:$A,B9))-SUMIFS('capacity data'!$H:$H,'capacity data'!$E:$E,"TPO",'capacity data'!$A:$A,B9))</f>
        <v>#DIV/0!</v>
      </c>
      <c r="L9" s="78" t="e">
        <f>SUMIFS('capacity data'!$L:$L,'capacity data'!$A:$A,B9,'capacity data'!$E:$E,"TPO")/SUMIFS('capacity data'!$G:$G,'capacity data'!$E:$E,"TPO",'capacity data'!$A:$A,B9)</f>
        <v>#DIV/0!</v>
      </c>
    </row>
    <row r="10" spans="1:25" x14ac:dyDescent="0.2">
      <c r="B10" s="161" t="s">
        <v>23</v>
      </c>
      <c r="C10" s="79" t="e">
        <f>SUM((SUMIFS('capacity data'!G:G,'capacity data'!A:A,B10,'capacity data'!E:E,"PO"))-SUMIFS('capacity data'!H:H,'capacity data'!A:A,B10,'capacity data'!E:E,"PO"))/SUMIFS('capacity data'!G:G,'capacity data'!A:A,B10,'capacity data'!E:E,"PO")</f>
        <v>#DIV/0!</v>
      </c>
      <c r="D10" s="79" t="e">
        <f>SUM((SUMIFS('capacity data'!G:G,'capacity data'!A:A,B10,'capacity data'!E:E,"PSO"))-SUMIFS('capacity data'!H:H,'capacity data'!A:A,B10,'capacity data'!E:E,"PSO"))/SUMIFS('capacity data'!G:G,'capacity data'!A:A,B10,'capacity data'!E:E,"PSO")</f>
        <v>#DIV/0!</v>
      </c>
      <c r="E10" s="79" t="e">
        <f>SUM((SUMIFS('capacity data'!G:G,'capacity data'!A:A,B10,'capacity data'!E:E,"TPO"))-SUMIFS('capacity data'!H:H,'capacity data'!A:A,B10,'capacity data'!E:E,"TPO"))/SUMIFS('capacity data'!G:G,'capacity data'!A:A,B10,'capacity data'!E:E,"TPO")</f>
        <v>#DIV/0!</v>
      </c>
      <c r="F10" s="167" t="e">
        <f>SUM((SUMIFS('capacity data'!G:G,'capacity data'!A:A,B10))-SUMIFS('capacity data'!H:H,'capacity data'!A:A,B10))/SUMIFS('capacity data'!G:G,'capacity data'!A:A,B10)</f>
        <v>#DIV/0!</v>
      </c>
      <c r="G10" s="168"/>
      <c r="H10" s="78" t="e">
        <f>SUMIFS('capacity data'!$L:$L,'capacity data'!$A:$A,B10,'capacity data'!$E:$E,"PSO")/SUM((SUMIFS('capacity data'!$G:$G,'capacity data'!$E:$E,"PSO",'capacity data'!$A:$A,B10))-SUMIFS('capacity data'!$H:$H,'capacity data'!$E:$E,"PSO",'capacity data'!$A:$A,B10))</f>
        <v>#DIV/0!</v>
      </c>
      <c r="I10" s="78" t="e">
        <f>SUMIFS('capacity data'!$L:$L,'capacity data'!$A:$A,B10,'capacity data'!$E:$E,"PSO")/SUMIFS('capacity data'!$G:$G,'capacity data'!$E:$E,"PSO",'capacity data'!$A:$A,B10)</f>
        <v>#DIV/0!</v>
      </c>
      <c r="J10" s="104"/>
      <c r="K10" s="78" t="e">
        <f>SUMIFS('capacity data'!$L:$L,'capacity data'!$A:$A,B10,'capacity data'!$E:$E,"TPO")/SUM((SUMIFS('capacity data'!$G:$G,'capacity data'!$E:$E,"TPO",'capacity data'!$A:$A,B10))-SUMIFS('capacity data'!$H:$H,'capacity data'!$E:$E,"TPO",'capacity data'!$A:$A,B10))</f>
        <v>#DIV/0!</v>
      </c>
      <c r="L10" s="78" t="e">
        <f>SUMIFS('capacity data'!$L:$L,'capacity data'!$A:$A,B10,'capacity data'!$E:$E,"TPO")/SUMIFS('capacity data'!$G:$G,'capacity data'!$E:$E,"TPO",'capacity data'!$A:$A,B10)</f>
        <v>#DIV/0!</v>
      </c>
    </row>
    <row r="11" spans="1:25" x14ac:dyDescent="0.2">
      <c r="B11" s="161" t="s">
        <v>24</v>
      </c>
      <c r="C11" s="79" t="e">
        <f>SUM((SUMIFS('capacity data'!G:G,'capacity data'!A:A,B11,'capacity data'!E:E,"PO"))-SUMIFS('capacity data'!H:H,'capacity data'!A:A,B11,'capacity data'!E:E,"PO"))/SUMIFS('capacity data'!G:G,'capacity data'!A:A,B11,'capacity data'!E:E,"PO")</f>
        <v>#DIV/0!</v>
      </c>
      <c r="D11" s="79" t="e">
        <f>SUM((SUMIFS('capacity data'!G:G,'capacity data'!A:A,B11,'capacity data'!E:E,"PSO"))-SUMIFS('capacity data'!H:H,'capacity data'!A:A,B11,'capacity data'!E:E,"PSO"))/SUMIFS('capacity data'!G:G,'capacity data'!A:A,B11,'capacity data'!E:E,"PSO")</f>
        <v>#DIV/0!</v>
      </c>
      <c r="E11" s="79" t="e">
        <f>SUM((SUMIFS('capacity data'!G:G,'capacity data'!A:A,B11,'capacity data'!E:E,"TPO"))-SUMIFS('capacity data'!H:H,'capacity data'!A:A,B11,'capacity data'!E:E,"TPO"))/SUMIFS('capacity data'!G:G,'capacity data'!A:A,B11,'capacity data'!E:E,"TPO")</f>
        <v>#DIV/0!</v>
      </c>
      <c r="F11" s="167" t="e">
        <f>SUM((SUMIFS('capacity data'!G:G,'capacity data'!A:A,B11))-SUMIFS('capacity data'!H:H,'capacity data'!A:A,B11))/SUMIFS('capacity data'!G:G,'capacity data'!A:A,B11)</f>
        <v>#DIV/0!</v>
      </c>
      <c r="G11" s="168"/>
      <c r="H11" s="78" t="e">
        <f>SUMIFS('capacity data'!$L:$L,'capacity data'!$A:$A,B11,'capacity data'!$E:$E,"PSO")/SUM((SUMIFS('capacity data'!$G:$G,'capacity data'!$E:$E,"PSO",'capacity data'!$A:$A,B11))-SUMIFS('capacity data'!$H:$H,'capacity data'!$E:$E,"PSO",'capacity data'!$A:$A,B11))</f>
        <v>#DIV/0!</v>
      </c>
      <c r="I11" s="78" t="e">
        <f>SUMIFS('capacity data'!$L:$L,'capacity data'!$A:$A,B11,'capacity data'!$E:$E,"PSO")/SUMIFS('capacity data'!$G:$G,'capacity data'!$E:$E,"PSO",'capacity data'!$A:$A,B11)</f>
        <v>#DIV/0!</v>
      </c>
      <c r="J11" s="104"/>
      <c r="K11" s="78" t="e">
        <f>SUMIFS('capacity data'!$L:$L,'capacity data'!$A:$A,B11,'capacity data'!$E:$E,"TPO")/SUM((SUMIFS('capacity data'!$G:$G,'capacity data'!$E:$E,"TPO",'capacity data'!$A:$A,B11))-SUMIFS('capacity data'!$H:$H,'capacity data'!$E:$E,"TPO",'capacity data'!$A:$A,B11))</f>
        <v>#DIV/0!</v>
      </c>
      <c r="L11" s="78" t="e">
        <f>SUMIFS('capacity data'!$L:$L,'capacity data'!$A:$A,B11,'capacity data'!$E:$E,"TPO")/SUMIFS('capacity data'!$G:$G,'capacity data'!$E:$E,"TPO",'capacity data'!$A:$A,B11)</f>
        <v>#DIV/0!</v>
      </c>
    </row>
    <row r="12" spans="1:25" x14ac:dyDescent="0.2">
      <c r="B12" s="161" t="s">
        <v>25</v>
      </c>
      <c r="C12" s="79" t="e">
        <f>SUM((SUMIFS('capacity data'!G:G,'capacity data'!A:A,B12,'capacity data'!E:E,"PO"))-SUMIFS('capacity data'!H:H,'capacity data'!A:A,B12,'capacity data'!E:E,"PO"))/SUMIFS('capacity data'!G:G,'capacity data'!A:A,B12,'capacity data'!E:E,"PO")</f>
        <v>#DIV/0!</v>
      </c>
      <c r="D12" s="79" t="e">
        <f>SUM((SUMIFS('capacity data'!G:G,'capacity data'!A:A,B12,'capacity data'!E:E,"PSO"))-SUMIFS('capacity data'!H:H,'capacity data'!A:A,B12,'capacity data'!E:E,"PSO"))/SUMIFS('capacity data'!G:G,'capacity data'!A:A,B12,'capacity data'!E:E,"PSO")</f>
        <v>#DIV/0!</v>
      </c>
      <c r="E12" s="79" t="e">
        <f>SUM((SUMIFS('capacity data'!G:G,'capacity data'!A:A,B12,'capacity data'!E:E,"TPO"))-SUMIFS('capacity data'!H:H,'capacity data'!A:A,B12,'capacity data'!E:E,"TPO"))/SUMIFS('capacity data'!G:G,'capacity data'!A:A,B12,'capacity data'!E:E,"TPO")</f>
        <v>#DIV/0!</v>
      </c>
      <c r="F12" s="167" t="e">
        <f>SUM((SUMIFS('capacity data'!G:G,'capacity data'!A:A,B12))-SUMIFS('capacity data'!H:H,'capacity data'!A:A,B12))/SUMIFS('capacity data'!G:G,'capacity data'!A:A,B12)</f>
        <v>#DIV/0!</v>
      </c>
      <c r="G12" s="168"/>
      <c r="H12" s="78" t="e">
        <f>SUMIFS('capacity data'!$L:$L,'capacity data'!$A:$A,B12,'capacity data'!$E:$E,"PSO")/SUM((SUMIFS('capacity data'!$G:$G,'capacity data'!$E:$E,"PSO",'capacity data'!$A:$A,B12))-SUMIFS('capacity data'!$H:$H,'capacity data'!$E:$E,"PSO",'capacity data'!$A:$A,B12))</f>
        <v>#DIV/0!</v>
      </c>
      <c r="I12" s="78" t="e">
        <f>SUMIFS('capacity data'!$L:$L,'capacity data'!$A:$A,B12,'capacity data'!$E:$E,"PSO")/SUMIFS('capacity data'!$G:$G,'capacity data'!$E:$E,"PSO",'capacity data'!$A:$A,B12)</f>
        <v>#DIV/0!</v>
      </c>
      <c r="J12" s="104"/>
      <c r="K12" s="78" t="e">
        <f>SUMIFS('capacity data'!$L:$L,'capacity data'!$A:$A,B12,'capacity data'!$E:$E,"TPO")/SUM((SUMIFS('capacity data'!$G:$G,'capacity data'!$E:$E,"TPO",'capacity data'!$A:$A,B12))-SUMIFS('capacity data'!$H:$H,'capacity data'!$E:$E,"TPO",'capacity data'!$A:$A,B12))</f>
        <v>#DIV/0!</v>
      </c>
      <c r="L12" s="78" t="e">
        <f>SUMIFS('capacity data'!$L:$L,'capacity data'!$A:$A,B12,'capacity data'!$E:$E,"TPO")/SUMIFS('capacity data'!$G:$G,'capacity data'!$E:$E,"TPO",'capacity data'!$A:$A,B12)</f>
        <v>#DIV/0!</v>
      </c>
    </row>
    <row r="13" spans="1:25" x14ac:dyDescent="0.2">
      <c r="B13" s="161" t="s">
        <v>26</v>
      </c>
      <c r="C13" s="79" t="e">
        <f>SUM((SUMIFS('capacity data'!G:G,'capacity data'!A:A,B13,'capacity data'!E:E,"PO"))-SUMIFS('capacity data'!H:H,'capacity data'!A:A,B13,'capacity data'!E:E,"PO"))/SUMIFS('capacity data'!G:G,'capacity data'!A:A,B13,'capacity data'!E:E,"PO")</f>
        <v>#DIV/0!</v>
      </c>
      <c r="D13" s="79" t="e">
        <f>SUM((SUMIFS('capacity data'!G:G,'capacity data'!A:A,B13,'capacity data'!E:E,"PSO"))-SUMIFS('capacity data'!H:H,'capacity data'!A:A,B13,'capacity data'!E:E,"PSO"))/SUMIFS('capacity data'!G:G,'capacity data'!A:A,B13,'capacity data'!E:E,"PSO")</f>
        <v>#DIV/0!</v>
      </c>
      <c r="E13" s="79" t="e">
        <f>SUM((SUMIFS('capacity data'!G:G,'capacity data'!A:A,B13,'capacity data'!E:E,"TPO"))-SUMIFS('capacity data'!H:H,'capacity data'!A:A,B13,'capacity data'!E:E,"TPO"))/SUMIFS('capacity data'!G:G,'capacity data'!A:A,B13,'capacity data'!E:E,"TPO")</f>
        <v>#DIV/0!</v>
      </c>
      <c r="F13" s="167" t="e">
        <f>SUM((SUMIFS('capacity data'!G:G,'capacity data'!A:A,B13))-SUMIFS('capacity data'!H:H,'capacity data'!A:A,B13))/SUMIFS('capacity data'!G:G,'capacity data'!A:A,B13)</f>
        <v>#DIV/0!</v>
      </c>
      <c r="G13" s="168"/>
      <c r="H13" s="78" t="e">
        <f>SUMIFS('capacity data'!$L:$L,'capacity data'!$A:$A,B13,'capacity data'!$E:$E,"PSO")/SUM((SUMIFS('capacity data'!$G:$G,'capacity data'!$E:$E,"PSO",'capacity data'!$A:$A,B13))-SUMIFS('capacity data'!$H:$H,'capacity data'!$E:$E,"PSO",'capacity data'!$A:$A,B13))</f>
        <v>#DIV/0!</v>
      </c>
      <c r="I13" s="78" t="e">
        <f>SUMIFS('capacity data'!$L:$L,'capacity data'!$A:$A,B13,'capacity data'!$E:$E,"PSO")/SUMIFS('capacity data'!$G:$G,'capacity data'!$E:$E,"PSO",'capacity data'!$A:$A,B13)</f>
        <v>#DIV/0!</v>
      </c>
      <c r="J13" s="104"/>
      <c r="K13" s="78" t="e">
        <f>SUMIFS('capacity data'!$L:$L,'capacity data'!$A:$A,B13,'capacity data'!$E:$E,"TPO")/SUM((SUMIFS('capacity data'!$G:$G,'capacity data'!$E:$E,"TPO",'capacity data'!$A:$A,B13))-SUMIFS('capacity data'!$H:$H,'capacity data'!$E:$E,"TPO",'capacity data'!$A:$A,B13))</f>
        <v>#DIV/0!</v>
      </c>
      <c r="L13" s="78" t="e">
        <f>SUMIFS('capacity data'!$L:$L,'capacity data'!$A:$A,B13,'capacity data'!$E:$E,"TPO")/SUMIFS('capacity data'!$G:$G,'capacity data'!$E:$E,"TPO",'capacity data'!$A:$A,B13)</f>
        <v>#DIV/0!</v>
      </c>
    </row>
    <row r="14" spans="1:25" x14ac:dyDescent="0.2">
      <c r="B14" s="161" t="s">
        <v>27</v>
      </c>
      <c r="C14" s="79" t="e">
        <f>SUM((SUMIFS('capacity data'!G:G,'capacity data'!A:A,B14,'capacity data'!E:E,"PO"))-SUMIFS('capacity data'!H:H,'capacity data'!A:A,B14,'capacity data'!E:E,"PO"))/SUMIFS('capacity data'!G:G,'capacity data'!A:A,B14,'capacity data'!E:E,"PO")</f>
        <v>#DIV/0!</v>
      </c>
      <c r="D14" s="79" t="e">
        <f>SUM((SUMIFS('capacity data'!G:G,'capacity data'!A:A,B14,'capacity data'!E:E,"PSO"))-SUMIFS('capacity data'!H:H,'capacity data'!A:A,B14,'capacity data'!E:E,"PSO"))/SUMIFS('capacity data'!G:G,'capacity data'!A:A,B14,'capacity data'!E:E,"PSO")</f>
        <v>#DIV/0!</v>
      </c>
      <c r="E14" s="79" t="e">
        <f>SUM((SUMIFS('capacity data'!G:G,'capacity data'!A:A,B14,'capacity data'!E:E,"TPO"))-SUMIFS('capacity data'!H:H,'capacity data'!A:A,B14,'capacity data'!E:E,"TPO"))/SUMIFS('capacity data'!G:G,'capacity data'!A:A,B14,'capacity data'!E:E,"TPO")</f>
        <v>#DIV/0!</v>
      </c>
      <c r="F14" s="167" t="e">
        <f>SUM((SUMIFS('capacity data'!G:G,'capacity data'!A:A,B14))-SUMIFS('capacity data'!H:H,'capacity data'!A:A,B14))/SUMIFS('capacity data'!G:G,'capacity data'!A:A,B14)</f>
        <v>#DIV/0!</v>
      </c>
      <c r="G14" s="168"/>
      <c r="H14" s="78" t="e">
        <f>SUMIFS('capacity data'!$L:$L,'capacity data'!$A:$A,B14,'capacity data'!$E:$E,"PSO")/SUM((SUMIFS('capacity data'!$G:$G,'capacity data'!$E:$E,"PSO",'capacity data'!$A:$A,B14))-SUMIFS('capacity data'!$H:$H,'capacity data'!$E:$E,"PSO",'capacity data'!$A:$A,B14))</f>
        <v>#DIV/0!</v>
      </c>
      <c r="I14" s="78" t="e">
        <f>SUMIFS('capacity data'!$L:$L,'capacity data'!$A:$A,B14,'capacity data'!$E:$E,"PSO")/SUMIFS('capacity data'!$G:$G,'capacity data'!$E:$E,"PSO",'capacity data'!$A:$A,B14)</f>
        <v>#DIV/0!</v>
      </c>
      <c r="J14" s="104"/>
      <c r="K14" s="78" t="e">
        <f>SUMIFS('capacity data'!$L:$L,'capacity data'!$A:$A,B14,'capacity data'!$E:$E,"TPO")/SUM((SUMIFS('capacity data'!$G:$G,'capacity data'!$E:$E,"TPO",'capacity data'!$A:$A,B14))-SUMIFS('capacity data'!$H:$H,'capacity data'!$E:$E,"TPO",'capacity data'!$A:$A,B14))</f>
        <v>#DIV/0!</v>
      </c>
      <c r="L14" s="78" t="e">
        <f>SUMIFS('capacity data'!$L:$L,'capacity data'!$A:$A,B14,'capacity data'!$E:$E,"TPO")/SUMIFS('capacity data'!$G:$G,'capacity data'!$E:$E,"TPO",'capacity data'!$A:$A,B14)</f>
        <v>#DIV/0!</v>
      </c>
    </row>
    <row r="15" spans="1:25" x14ac:dyDescent="0.2">
      <c r="B15" s="161" t="s">
        <v>28</v>
      </c>
      <c r="C15" s="79" t="e">
        <f>SUM((SUMIFS('capacity data'!G:G,'capacity data'!A:A,B15,'capacity data'!E:E,"PO"))-SUMIFS('capacity data'!H:H,'capacity data'!A:A,B15,'capacity data'!E:E,"PO"))/SUMIFS('capacity data'!G:G,'capacity data'!A:A,B15,'capacity data'!E:E,"PO")</f>
        <v>#DIV/0!</v>
      </c>
      <c r="D15" s="79" t="e">
        <f>SUM((SUMIFS('capacity data'!G:G,'capacity data'!A:A,B15,'capacity data'!E:E,"PSO"))-SUMIFS('capacity data'!H:H,'capacity data'!A:A,B15,'capacity data'!E:E,"PSO"))/SUMIFS('capacity data'!G:G,'capacity data'!A:A,B15,'capacity data'!E:E,"PSO")</f>
        <v>#DIV/0!</v>
      </c>
      <c r="E15" s="79" t="e">
        <f>SUM((SUMIFS('capacity data'!G:G,'capacity data'!A:A,B15,'capacity data'!E:E,"TPO"))-SUMIFS('capacity data'!H:H,'capacity data'!A:A,B15,'capacity data'!E:E,"TPO"))/SUMIFS('capacity data'!G:G,'capacity data'!A:A,B15,'capacity data'!E:E,"TPO")</f>
        <v>#DIV/0!</v>
      </c>
      <c r="F15" s="167" t="e">
        <f>SUM((SUMIFS('capacity data'!G:G,'capacity data'!A:A,B15))-SUMIFS('capacity data'!H:H,'capacity data'!A:A,B15))/SUMIFS('capacity data'!G:G,'capacity data'!A:A,B15)</f>
        <v>#DIV/0!</v>
      </c>
      <c r="G15" s="168"/>
      <c r="H15" s="78" t="e">
        <f>SUMIFS('capacity data'!$L:$L,'capacity data'!$A:$A,B15,'capacity data'!$E:$E,"PSO")/SUM((SUMIFS('capacity data'!$G:$G,'capacity data'!$E:$E,"PSO",'capacity data'!$A:$A,B15))-SUMIFS('capacity data'!$H:$H,'capacity data'!$E:$E,"PSO",'capacity data'!$A:$A,B15))</f>
        <v>#DIV/0!</v>
      </c>
      <c r="I15" s="78" t="e">
        <f>SUMIFS('capacity data'!$L:$L,'capacity data'!$A:$A,B15,'capacity data'!$E:$E,"PSO")/SUMIFS('capacity data'!$G:$G,'capacity data'!$E:$E,"PSO",'capacity data'!$A:$A,B15)</f>
        <v>#DIV/0!</v>
      </c>
      <c r="J15" s="104"/>
      <c r="K15" s="78" t="e">
        <f>SUMIFS('capacity data'!$L:$L,'capacity data'!$A:$A,B15,'capacity data'!$E:$E,"TPO")/SUM((SUMIFS('capacity data'!$G:$G,'capacity data'!$E:$E,"TPO",'capacity data'!$A:$A,B15))-SUMIFS('capacity data'!$H:$H,'capacity data'!$E:$E,"TPO",'capacity data'!$A:$A,B15))</f>
        <v>#DIV/0!</v>
      </c>
      <c r="L15" s="78" t="e">
        <f>SUMIFS('capacity data'!$L:$L,'capacity data'!$A:$A,B15,'capacity data'!$E:$E,"TPO")/SUMIFS('capacity data'!$G:$G,'capacity data'!$E:$E,"TPO",'capacity data'!$A:$A,B15)</f>
        <v>#DIV/0!</v>
      </c>
    </row>
    <row r="16" spans="1:25" x14ac:dyDescent="0.2">
      <c r="B16" s="161" t="s">
        <v>1409</v>
      </c>
      <c r="C16" s="79" t="e">
        <f>SUM((SUMIFS('capacity data'!G:G,'capacity data'!A:A,B16,'capacity data'!E:E,"PO"))-SUMIFS('capacity data'!H:H,'capacity data'!A:A,B16,'capacity data'!E:E,"PO"))/SUMIFS('capacity data'!G:G,'capacity data'!A:A,B16,'capacity data'!E:E,"PO")</f>
        <v>#DIV/0!</v>
      </c>
      <c r="D16" s="79" t="e">
        <f>SUM((SUMIFS('capacity data'!G:G,'capacity data'!A:A,B16,'capacity data'!E:E,"PSO"))-SUMIFS('capacity data'!H:H,'capacity data'!A:A,B16,'capacity data'!E:E,"PSO"))/SUMIFS('capacity data'!G:G,'capacity data'!A:A,B16,'capacity data'!E:E,"PSO")</f>
        <v>#DIV/0!</v>
      </c>
      <c r="E16" s="79" t="e">
        <f>SUM((SUMIFS('capacity data'!G:G,'capacity data'!A:A,B16,'capacity data'!E:E,"TPO"))-SUMIFS('capacity data'!H:H,'capacity data'!A:A,B16,'capacity data'!E:E,"TPO"))/SUMIFS('capacity data'!G:G,'capacity data'!A:A,B16,'capacity data'!E:E,"TPO")</f>
        <v>#DIV/0!</v>
      </c>
      <c r="F16" s="167" t="e">
        <f>SUM((SUMIFS('capacity data'!G:G,'capacity data'!A:A,B16))-SUMIFS('capacity data'!H:H,'capacity data'!A:A,B16))/SUMIFS('capacity data'!G:G,'capacity data'!A:A,B16)</f>
        <v>#DIV/0!</v>
      </c>
      <c r="G16" s="168"/>
      <c r="H16" s="78" t="e">
        <f>SUMIFS('capacity data'!$L:$L,'capacity data'!$A:$A,B16,'capacity data'!$E:$E,"PSO")/SUM((SUMIFS('capacity data'!$G:$G,'capacity data'!$E:$E,"PSO",'capacity data'!$A:$A,B16))-SUMIFS('capacity data'!$H:$H,'capacity data'!$E:$E,"PSO",'capacity data'!$A:$A,B16))</f>
        <v>#DIV/0!</v>
      </c>
      <c r="I16" s="78" t="e">
        <f>SUMIFS('capacity data'!$L:$L,'capacity data'!$A:$A,B16,'capacity data'!$E:$E,"PSO")/SUMIFS('capacity data'!$G:$G,'capacity data'!$E:$E,"PSO",'capacity data'!$A:$A,B16)</f>
        <v>#DIV/0!</v>
      </c>
      <c r="J16" s="104"/>
      <c r="K16" s="78" t="e">
        <f>SUMIFS('capacity data'!$L:$L,'capacity data'!$A:$A,B16,'capacity data'!$E:$E,"TPO")/SUM((SUMIFS('capacity data'!$G:$G,'capacity data'!$E:$E,"TPO",'capacity data'!$A:$A,B16))-SUMIFS('capacity data'!$H:$H,'capacity data'!$E:$E,"TPO",'capacity data'!$A:$A,B16))</f>
        <v>#DIV/0!</v>
      </c>
      <c r="L16" s="78" t="e">
        <f>SUMIFS('capacity data'!$L:$L,'capacity data'!$A:$A,B16,'capacity data'!$E:$E,"TPO")/SUMIFS('capacity data'!$G:$G,'capacity data'!$E:$E,"TPO",'capacity data'!$A:$A,B16)</f>
        <v>#DIV/0!</v>
      </c>
    </row>
    <row r="17" spans="2:12" x14ac:dyDescent="0.2">
      <c r="B17" s="161" t="s">
        <v>29</v>
      </c>
      <c r="C17" s="79" t="e">
        <f>SUM((SUMIFS('capacity data'!G:G,'capacity data'!A:A,B17,'capacity data'!E:E,"PO"))-SUMIFS('capacity data'!H:H,'capacity data'!A:A,B17,'capacity data'!E:E,"PO"))/SUMIFS('capacity data'!G:G,'capacity data'!A:A,B17,'capacity data'!E:E,"PO")</f>
        <v>#DIV/0!</v>
      </c>
      <c r="D17" s="79" t="e">
        <f>SUM((SUMIFS('capacity data'!G:G,'capacity data'!A:A,B17,'capacity data'!E:E,"PSO"))-SUMIFS('capacity data'!H:H,'capacity data'!A:A,B17,'capacity data'!E:E,"PSO"))/SUMIFS('capacity data'!G:G,'capacity data'!A:A,B17,'capacity data'!E:E,"PSO")</f>
        <v>#DIV/0!</v>
      </c>
      <c r="E17" s="79" t="e">
        <f>SUM((SUMIFS('capacity data'!G:G,'capacity data'!A:A,B17,'capacity data'!E:E,"TPO"))-SUMIFS('capacity data'!H:H,'capacity data'!A:A,B17,'capacity data'!E:E,"TPO"))/SUMIFS('capacity data'!G:G,'capacity data'!A:A,B17,'capacity data'!E:E,"TPO")</f>
        <v>#DIV/0!</v>
      </c>
      <c r="F17" s="167" t="e">
        <f>SUM((SUMIFS('capacity data'!G:G,'capacity data'!A:A,B17))-SUMIFS('capacity data'!H:H,'capacity data'!A:A,B17))/SUMIFS('capacity data'!G:G,'capacity data'!A:A,B17)</f>
        <v>#DIV/0!</v>
      </c>
      <c r="G17" s="168"/>
      <c r="H17" s="78" t="e">
        <f>SUMIFS('capacity data'!$L:$L,'capacity data'!$A:$A,B17,'capacity data'!$E:$E,"PSO")/SUM((SUMIFS('capacity data'!$G:$G,'capacity data'!$E:$E,"PSO",'capacity data'!$A:$A,B17))-SUMIFS('capacity data'!$H:$H,'capacity data'!$E:$E,"PSO",'capacity data'!$A:$A,B17))</f>
        <v>#DIV/0!</v>
      </c>
      <c r="I17" s="78" t="e">
        <f>SUMIFS('capacity data'!$L:$L,'capacity data'!$A:$A,B17,'capacity data'!$E:$E,"PSO")/SUMIFS('capacity data'!$G:$G,'capacity data'!$E:$E,"PSO",'capacity data'!$A:$A,B17)</f>
        <v>#DIV/0!</v>
      </c>
      <c r="J17" s="104"/>
      <c r="K17" s="78" t="e">
        <f>SUMIFS('capacity data'!$L:$L,'capacity data'!$A:$A,B17,'capacity data'!$E:$E,"TPO")/SUM((SUMIFS('capacity data'!$G:$G,'capacity data'!$E:$E,"TPO",'capacity data'!$A:$A,B17))-SUMIFS('capacity data'!$H:$H,'capacity data'!$E:$E,"TPO",'capacity data'!$A:$A,B17))</f>
        <v>#DIV/0!</v>
      </c>
      <c r="L17" s="78" t="e">
        <f>SUMIFS('capacity data'!$L:$L,'capacity data'!$A:$A,B17,'capacity data'!$E:$E,"TPO")/SUMIFS('capacity data'!$G:$G,'capacity data'!$E:$E,"TPO",'capacity data'!$A:$A,B17)</f>
        <v>#DIV/0!</v>
      </c>
    </row>
    <row r="18" spans="2:12" x14ac:dyDescent="0.2">
      <c r="B18" s="161" t="s">
        <v>30</v>
      </c>
      <c r="C18" s="79" t="e">
        <f>SUM((SUMIFS('capacity data'!G:G,'capacity data'!A:A,B18,'capacity data'!E:E,"PO"))-SUMIFS('capacity data'!H:H,'capacity data'!A:A,B18,'capacity data'!E:E,"PO"))/SUMIFS('capacity data'!G:G,'capacity data'!A:A,B18,'capacity data'!E:E,"PO")</f>
        <v>#DIV/0!</v>
      </c>
      <c r="D18" s="79" t="e">
        <f>SUM((SUMIFS('capacity data'!G:G,'capacity data'!A:A,B18,'capacity data'!E:E,"PSO"))-SUMIFS('capacity data'!H:H,'capacity data'!A:A,B18,'capacity data'!E:E,"PSO"))/SUMIFS('capacity data'!G:G,'capacity data'!A:A,B18,'capacity data'!E:E,"PSO")</f>
        <v>#DIV/0!</v>
      </c>
      <c r="E18" s="79" t="e">
        <f>SUM((SUMIFS('capacity data'!G:G,'capacity data'!A:A,B18,'capacity data'!E:E,"TPO"))-SUMIFS('capacity data'!H:H,'capacity data'!A:A,B18,'capacity data'!E:E,"TPO"))/SUMIFS('capacity data'!G:G,'capacity data'!A:A,B18,'capacity data'!E:E,"TPO")</f>
        <v>#DIV/0!</v>
      </c>
      <c r="F18" s="167" t="e">
        <f>SUM((SUMIFS('capacity data'!G:G,'capacity data'!A:A,B18))-SUMIFS('capacity data'!H:H,'capacity data'!A:A,B18))/SUMIFS('capacity data'!G:G,'capacity data'!A:A,B18)</f>
        <v>#DIV/0!</v>
      </c>
      <c r="G18" s="168"/>
      <c r="H18" s="78" t="e">
        <f>SUMIFS('capacity data'!$L:$L,'capacity data'!$A:$A,B18,'capacity data'!$E:$E,"PSO")/SUM((SUMIFS('capacity data'!$G:$G,'capacity data'!$E:$E,"PSO",'capacity data'!$A:$A,B18))-SUMIFS('capacity data'!$H:$H,'capacity data'!$E:$E,"PSO",'capacity data'!$A:$A,B18))</f>
        <v>#DIV/0!</v>
      </c>
      <c r="I18" s="78" t="e">
        <f>SUMIFS('capacity data'!$L:$L,'capacity data'!$A:$A,B18,'capacity data'!$E:$E,"PSO")/SUMIFS('capacity data'!$G:$G,'capacity data'!$E:$E,"PSO",'capacity data'!$A:$A,B18)</f>
        <v>#DIV/0!</v>
      </c>
      <c r="J18" s="104"/>
      <c r="K18" s="78" t="e">
        <f>SUMIFS('capacity data'!$L:$L,'capacity data'!$A:$A,B18,'capacity data'!$E:$E,"TPO")/SUM((SUMIFS('capacity data'!$G:$G,'capacity data'!$E:$E,"TPO",'capacity data'!$A:$A,B18))-SUMIFS('capacity data'!$H:$H,'capacity data'!$E:$E,"TPO",'capacity data'!$A:$A,B18))</f>
        <v>#DIV/0!</v>
      </c>
      <c r="L18" s="78" t="e">
        <f>SUMIFS('capacity data'!$L:$L,'capacity data'!$A:$A,B18,'capacity data'!$E:$E,"TPO")/SUMIFS('capacity data'!$G:$G,'capacity data'!$E:$E,"TPO",'capacity data'!$A:$A,B18)</f>
        <v>#DIV/0!</v>
      </c>
    </row>
    <row r="19" spans="2:12" ht="17" thickBot="1" x14ac:dyDescent="0.25">
      <c r="B19" s="161" t="s">
        <v>34</v>
      </c>
      <c r="C19" s="79" t="e">
        <f>SUM((SUMIFS('capacity data'!G:G,'capacity data'!A:A,B19,'capacity data'!E:E,"PO"))-SUMIFS('capacity data'!H:H,'capacity data'!A:A,B19,'capacity data'!E:E,"PO"))/SUMIFS('capacity data'!G:G,'capacity data'!A:A,B19,'capacity data'!E:E,"PO")</f>
        <v>#DIV/0!</v>
      </c>
      <c r="D19" s="79" t="e">
        <f>SUM((SUMIFS('capacity data'!G:G,'capacity data'!A:A,B19,'capacity data'!E:E,"PSO"))-SUMIFS('capacity data'!H:H,'capacity data'!A:A,B19,'capacity data'!E:E,"PSO"))/SUMIFS('capacity data'!G:G,'capacity data'!A:A,B19,'capacity data'!E:E,"PSO")</f>
        <v>#DIV/0!</v>
      </c>
      <c r="E19" s="79" t="e">
        <f>SUM((SUMIFS('capacity data'!G:G,'capacity data'!A:A,B19,'capacity data'!E:E,"TPO"))-SUMIFS('capacity data'!H:H,'capacity data'!A:A,B19,'capacity data'!E:E,"TPO"))/SUMIFS('capacity data'!G:G,'capacity data'!A:A,B19,'capacity data'!E:E,"TPO")</f>
        <v>#DIV/0!</v>
      </c>
      <c r="F19" s="167" t="e">
        <f>SUM((SUMIFS('capacity data'!G:G,'capacity data'!A:A,B19))-SUMIFS('capacity data'!H:H,'capacity data'!A:A,B19))/SUMIFS('capacity data'!G:G,'capacity data'!A:A,B19)</f>
        <v>#DIV/0!</v>
      </c>
      <c r="G19" s="168"/>
      <c r="H19" s="78" t="e">
        <f>SUMIFS('capacity data'!$L:$L,'capacity data'!$A:$A,B19,'capacity data'!$E:$E,"PSO")/SUM((SUMIFS('capacity data'!$G:$G,'capacity data'!$E:$E,"PSO",'capacity data'!$A:$A,B19))-SUMIFS('capacity data'!$H:$H,'capacity data'!$E:$E,"PSO",'capacity data'!$A:$A,B19))</f>
        <v>#DIV/0!</v>
      </c>
      <c r="I19" s="78" t="e">
        <f>SUMIFS('capacity data'!$L:$L,'capacity data'!$A:$A,B19,'capacity data'!$E:$E,"PSO")/SUMIFS('capacity data'!$G:$G,'capacity data'!$E:$E,"PSO",'capacity data'!$A:$A,B19)</f>
        <v>#DIV/0!</v>
      </c>
      <c r="J19" s="104"/>
      <c r="K19" s="78" t="e">
        <f>SUMIFS('capacity data'!$L:$L,'capacity data'!$A:$A,B19,'capacity data'!$E:$E,"TPO")/SUM((SUMIFS('capacity data'!$G:$G,'capacity data'!$E:$E,"TPO",'capacity data'!$A:$A,B19))-SUMIFS('capacity data'!$H:$H,'capacity data'!$E:$E,"TPO",'capacity data'!$A:$A,B19))</f>
        <v>#DIV/0!</v>
      </c>
      <c r="L19" s="78" t="e">
        <f>SUMIFS('capacity data'!$L:$L,'capacity data'!$A:$A,B19,'capacity data'!$E:$E,"TPO")/SUMIFS('capacity data'!$G:$G,'capacity data'!$E:$E,"TPO",'capacity data'!$A:$A,B19)</f>
        <v>#DIV/0!</v>
      </c>
    </row>
    <row r="20" spans="2:12" ht="17" thickBot="1" x14ac:dyDescent="0.25">
      <c r="B20" s="170" t="s">
        <v>1271</v>
      </c>
      <c r="C20" s="171" t="e">
        <f>SUM((SUMIF('capacity data'!E:E,"PO",'capacity data'!G:G))-SUMIF('capacity data'!E:E,"PO",'capacity data'!H:H))/SUMIF('capacity data'!E:E,"PO",'capacity data'!G:G)</f>
        <v>#DIV/0!</v>
      </c>
      <c r="D20" s="171" t="e">
        <f>SUM((SUMIF('capacity data'!E:E,"PSO",'capacity data'!G:G))-SUMIF('capacity data'!E:E,"PSO",'capacity data'!H:H))/SUMIF('capacity data'!E:E,"PSO",'capacity data'!G:G)</f>
        <v>#DIV/0!</v>
      </c>
      <c r="E20" s="171" t="e">
        <f>SUM((SUMIF('capacity data'!E:E,"TPO",'capacity data'!G:G))-SUMIF('capacity data'!E:E,"TPO",'capacity data'!H:H))/SUMIF('capacity data'!E:E,"TPO",'capacity data'!G:G)</f>
        <v>#DIV/0!</v>
      </c>
      <c r="F20" s="171" t="e">
        <f>SUM((SUM('capacity data'!G:G)-SUM('capacity data'!H:H))/SUM('capacity data'!G:G))</f>
        <v>#DIV/0!</v>
      </c>
      <c r="G20" s="104"/>
      <c r="H20" s="172" t="e">
        <f>SUMIF('capacity data'!$E:$E,"PSO",'capacity data'!$L:$L)/SUM(SUMIF('capacity data'!$E:$E,"PSO",'capacity data'!$G:$G)-SUMIF('capacity data'!$E:$E,"PSO",'capacity data'!$H:$H))</f>
        <v>#DIV/0!</v>
      </c>
      <c r="I20" s="172" t="e">
        <f>SUMIF('capacity data'!$E:$E,"PSO",'capacity data'!$L:$L)/SUMIF('capacity data'!$E:$E,"PSO",'capacity data'!$G:$G)</f>
        <v>#DIV/0!</v>
      </c>
      <c r="J20" s="104"/>
      <c r="K20" s="172" t="e">
        <f>SUMIF('capacity data'!$E:$E,"TPO",'capacity data'!$L:$L)/SUM(SUMIF('capacity data'!$E:$E,"TPO",'capacity data'!$G:$G)-SUMIF('capacity data'!$E:$E,"TPO",'capacity data'!$H:$H))</f>
        <v>#DIV/0!</v>
      </c>
      <c r="L20" s="172" t="e">
        <f>SUMIF('capacity data'!$E:$E,"TPO",'capacity data'!$L:$L)/SUMIF('capacity data'!$E:$E,"TPO",'capacity data'!$G:$G)</f>
        <v>#DIV/0!</v>
      </c>
    </row>
    <row r="26" spans="2:12" x14ac:dyDescent="0.2">
      <c r="C26" s="57"/>
    </row>
  </sheetData>
  <mergeCells count="2">
    <mergeCell ref="A2:Y2"/>
    <mergeCell ref="A1:Y1"/>
  </mergeCells>
  <conditionalFormatting sqref="C5:F20">
    <cfRule type="cellIs" dxfId="5" priority="3" operator="lessThan">
      <formula>0.9</formula>
    </cfRule>
    <cfRule type="cellIs" dxfId="4" priority="4" operator="greaterThanOrEqual">
      <formula>1.1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6"/>
  <dimension ref="A1:Z124"/>
  <sheetViews>
    <sheetView showGridLines="0" topLeftCell="B31" zoomScale="85" zoomScaleNormal="85" workbookViewId="0">
      <selection activeCell="G12" sqref="G12"/>
    </sheetView>
  </sheetViews>
  <sheetFormatPr baseColWidth="10" defaultColWidth="8.83203125" defaultRowHeight="14" x14ac:dyDescent="0.15"/>
  <cols>
    <col min="1" max="1" width="36.5" style="9" hidden="1" customWidth="1"/>
    <col min="2" max="2" width="58" customWidth="1"/>
    <col min="3" max="3" width="15" style="6" bestFit="1" customWidth="1"/>
    <col min="4" max="4" width="13.5" style="6" customWidth="1"/>
    <col min="5" max="5" width="15.83203125" style="6" customWidth="1"/>
    <col min="6" max="6" width="10.83203125" style="6" bestFit="1" customWidth="1"/>
    <col min="7" max="7" width="12.5" style="6" customWidth="1"/>
    <col min="8" max="8" width="14.83203125" style="6" bestFit="1" customWidth="1"/>
    <col min="9" max="9" width="13" style="6" customWidth="1"/>
    <col min="10" max="10" width="15.1640625" style="6" customWidth="1"/>
    <col min="11" max="11" width="13.5" style="6" customWidth="1"/>
    <col min="12" max="12" width="10.5" style="6" bestFit="1" customWidth="1"/>
    <col min="13" max="13" width="12" style="6" customWidth="1"/>
    <col min="14" max="15" width="13.5" style="6" customWidth="1"/>
    <col min="16" max="16" width="10.5" style="6" bestFit="1" customWidth="1"/>
    <col min="17" max="17" width="9.5" style="6" bestFit="1" customWidth="1"/>
    <col min="18" max="18" width="12.5" style="6" customWidth="1"/>
    <col min="19" max="19" width="14.83203125" style="6" bestFit="1" customWidth="1"/>
    <col min="20" max="20" width="15.1640625" style="6" customWidth="1"/>
    <col min="21" max="21" width="15.5" style="6" customWidth="1"/>
    <col min="22" max="22" width="16" style="6" customWidth="1"/>
    <col min="23" max="23" width="12.5" bestFit="1" customWidth="1"/>
  </cols>
  <sheetData>
    <row r="1" spans="1:26" ht="67.5" customHeight="1" x14ac:dyDescent="0.15">
      <c r="A1"/>
      <c r="B1" s="359" t="s">
        <v>1272</v>
      </c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</row>
    <row r="2" spans="1:26" ht="42" customHeight="1" x14ac:dyDescent="0.15">
      <c r="A2"/>
      <c r="B2" s="360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Z2" s="356"/>
    </row>
    <row r="3" spans="1:26" ht="78.75" customHeight="1" x14ac:dyDescent="0.15">
      <c r="A3"/>
      <c r="B3" s="209" t="s">
        <v>1133</v>
      </c>
    </row>
    <row r="4" spans="1:26" ht="16" x14ac:dyDescent="0.2">
      <c r="A4" s="11"/>
      <c r="B4" s="61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</row>
    <row r="5" spans="1:26" ht="16" x14ac:dyDescent="0.2">
      <c r="A5" s="1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</row>
    <row r="6" spans="1:26" ht="105" customHeight="1" x14ac:dyDescent="0.15">
      <c r="A6" s="15"/>
      <c r="B6" s="25" t="s">
        <v>1273</v>
      </c>
      <c r="C6" s="244" t="s">
        <v>1274</v>
      </c>
      <c r="D6" s="244" t="s">
        <v>1275</v>
      </c>
      <c r="E6" s="244" t="s">
        <v>1276</v>
      </c>
      <c r="F6" s="173"/>
      <c r="G6" s="244" t="s">
        <v>1139</v>
      </c>
      <c r="H6" s="244" t="s">
        <v>1140</v>
      </c>
      <c r="I6" s="173"/>
      <c r="J6" s="244" t="s">
        <v>1141</v>
      </c>
      <c r="K6" s="244" t="s">
        <v>1142</v>
      </c>
    </row>
    <row r="7" spans="1:26" ht="16" x14ac:dyDescent="0.15">
      <c r="A7" s="12"/>
      <c r="B7" s="174" t="s">
        <v>1143</v>
      </c>
      <c r="C7" s="175" t="e">
        <f>SUM((SUMIF('capacity data'!E:E,"PO",'capacity data'!G:G))-SUMIF('capacity data'!E:E,"PO",'capacity data'!H:H))/SUMIF('capacity data'!E:E,"PO",'capacity data'!G:G)</f>
        <v>#DIV/0!</v>
      </c>
      <c r="D7" s="176" t="e">
        <f>SUM((SUMIF('capacity data'!E:E,"PSO",'capacity data'!G:G))-SUMIF('capacity data'!E:E,"PSO",'capacity data'!H:H))/SUMIF('capacity data'!E:E,"PSO",'capacity data'!G:G)</f>
        <v>#DIV/0!</v>
      </c>
      <c r="E7" s="176" t="e">
        <f>SUM((SUMIF('capacity data'!E:E,"TPO",'capacity data'!G:G))-SUMIF('capacity data'!E:E,"TPO",'capacity data'!H:H))/SUMIF('capacity data'!E:E,"TPO",'capacity data'!G:G)</f>
        <v>#DIV/0!</v>
      </c>
      <c r="F7" s="173"/>
      <c r="G7" s="226" t="e">
        <f>SUMIF('capacity data'!$E:$E,"PSO",'capacity data'!$L:$L)/SUM(SUMIF('capacity data'!$E:$E,"PSO",'capacity data'!$G:$G)-SUMIF('capacity data'!$E:$E,"PSO",'capacity data'!$H:$H))</f>
        <v>#DIV/0!</v>
      </c>
      <c r="H7" s="226" t="e">
        <f>SUMIF('capacity data'!$E:$E,"PSO",'capacity data'!$L:$L)/SUMIF('capacity data'!$E:$E,"PSO",'capacity data'!$G:$G)</f>
        <v>#DIV/0!</v>
      </c>
      <c r="I7" s="173"/>
      <c r="J7" s="227" t="e">
        <f>SUMIF('capacity data'!$E:$E,"TPO",'capacity data'!$L:$L)/SUM(SUMIF('capacity data'!$E:$E,"TPO",'capacity data'!$G:$G)-SUMIF('capacity data'!$E:$E,"TPO",'capacity data'!$H:$H))</f>
        <v>#DIV/0!</v>
      </c>
      <c r="K7" s="227" t="e">
        <f>SUMIF('capacity data'!$E:$E,"TPO",'capacity data'!$L:$L)/SUMIF('capacity data'!$E:$E,"TPO",'capacity data'!$G:$G)</f>
        <v>#DIV/0!</v>
      </c>
    </row>
    <row r="8" spans="1:26" ht="16" x14ac:dyDescent="0.2">
      <c r="A8" s="11"/>
      <c r="B8" s="74" t="str">
        <f>HLOOKUP($B$4,Region_Table,2,0)</f>
        <v>Accredited Programmes and Structured Interventions - N07</v>
      </c>
      <c r="C8" s="79" t="str">
        <f>IFERROR(SUM((SUMIFS('capacity data'!$G:$G,'capacity data'!$E:$E,"PO",'capacity data'!$B:$B,'cluster capacity, unallocateds'!B8))-SUMIFS('capacity data'!$H:$H,'capacity data'!$E:$E,"PO",'capacity data'!$B:$B,'cluster capacity, unallocateds'!B8))/SUMIFS('capacity data'!$G:$G,'capacity data'!$E:$E,"PO",'capacity data'!$B:$B,'cluster capacity, unallocateds'!B8),"")</f>
        <v/>
      </c>
      <c r="D8" s="79" t="str">
        <f>IFERROR(SUM((SUMIFS('capacity data'!$G:$G,'capacity data'!$E:$E,"PSO",'capacity data'!$B:$B,'cluster capacity, unallocateds'!B8))-SUMIFS('capacity data'!$H:$H,'capacity data'!$E:$E,"PSO",'capacity data'!$B:$B,'cluster capacity, unallocateds'!B8))/SUMIFS('capacity data'!$G:$G,'capacity data'!$E:$E,"PSO",'capacity data'!$B:$B,'cluster capacity, unallocateds'!B8),"")</f>
        <v/>
      </c>
      <c r="E8" s="79" t="str">
        <f>IFERROR(SUM((SUMIFS('capacity data'!$G:$G,'capacity data'!$E:$E,"TPO",'capacity data'!$B:$B,'cluster capacity, unallocateds'!B8))-SUMIFS('capacity data'!$H:$H,'capacity data'!$E:$E,"TPO",'capacity data'!$B:$B,'cluster capacity, unallocateds'!B8))/SUMIFS('capacity data'!$G:$G,'capacity data'!$E:$E,"TPO",'capacity data'!$B:$B,'cluster capacity, unallocateds'!B8),"")</f>
        <v/>
      </c>
      <c r="F8" s="173"/>
      <c r="G8" s="236" t="str">
        <f>IFERROR(SUMIFS('capacity data'!$L:$L,'capacity data'!$B:$B,B8,'capacity data'!$E:$E,"PSO")/SUM((SUMIFS('capacity data'!$G:$G,'capacity data'!$E:$E,"PSO",'capacity data'!$B:$B,B8))-SUMIFS('capacity data'!$H:$H,'capacity data'!$E:$E,"PSO",'capacity data'!$B:$B,B8)),"")</f>
        <v/>
      </c>
      <c r="H8" s="236" t="str">
        <f>IFERROR(SUMIFS('capacity data'!$L:$L,'capacity data'!$B:$B,B8,'capacity data'!$E:$E,"PSO")/SUMIFS('capacity data'!$G:$G,'capacity data'!$E:$E,"PSO",'capacity data'!$B:$B,B8),"")</f>
        <v/>
      </c>
      <c r="I8" s="173"/>
      <c r="J8" s="78" t="str">
        <f>IFERROR(SUMIFS('capacity data'!$L:$L,'capacity data'!$B:$B,B8,'capacity data'!$E:$E,"TPO")/SUM((SUMIFS('capacity data'!$G:$G,'capacity data'!$E:$E,"TPO",'capacity data'!$B:$B,B8))-SUMIFS('capacity data'!$H:$H,'capacity data'!$E:$E,"TPO",'capacity data'!$B:$B,B8)),"")</f>
        <v/>
      </c>
      <c r="K8" s="78" t="str">
        <f>IFERROR(SUMIFS('capacity data'!$L:$L,'capacity data'!$B:$B,B8,'capacity data'!$E:$E,"TPO")/SUMIFS('capacity data'!$G:$G,'capacity data'!$E:$E,"TPO",'capacity data'!$B:$B,B8),"")</f>
        <v/>
      </c>
    </row>
    <row r="9" spans="1:26" ht="16" x14ac:dyDescent="0.2">
      <c r="A9" s="11"/>
      <c r="B9" s="74" t="str">
        <f>HLOOKUP($B$4,Region_Table,3,0)</f>
        <v>All London</v>
      </c>
      <c r="C9" s="79" t="str">
        <f>IFERROR(SUM((SUMIFS('capacity data'!$G:$G,'capacity data'!$E:$E,"PO",'capacity data'!$B:$B,'cluster capacity, unallocateds'!B9))-SUMIFS('capacity data'!$H:$H,'capacity data'!$E:$E,"PO",'capacity data'!$B:$B,'cluster capacity, unallocateds'!B9))/SUMIFS('capacity data'!$G:$G,'capacity data'!$E:$E,"PO",'capacity data'!$B:$B,'cluster capacity, unallocateds'!B9),"")</f>
        <v/>
      </c>
      <c r="D9" s="79" t="str">
        <f>IFERROR(SUM((SUMIFS('capacity data'!$G:$G,'capacity data'!$E:$E,"PSO",'capacity data'!$B:$B,'cluster capacity, unallocateds'!B9))-SUMIFS('capacity data'!$H:$H,'capacity data'!$E:$E,"PSO",'capacity data'!$B:$B,'cluster capacity, unallocateds'!B9))/SUMIFS('capacity data'!$G:$G,'capacity data'!$E:$E,"PSO",'capacity data'!$B:$B,'cluster capacity, unallocateds'!B9),"")</f>
        <v/>
      </c>
      <c r="E9" s="79" t="str">
        <f>IFERROR(SUM((SUMIFS('capacity data'!$G:$G,'capacity data'!$E:$E,"TPO",'capacity data'!$B:$B,'cluster capacity, unallocateds'!B9))-SUMIFS('capacity data'!$H:$H,'capacity data'!$E:$E,"TPO",'capacity data'!$B:$B,'cluster capacity, unallocateds'!B9))/SUMIFS('capacity data'!$G:$G,'capacity data'!$E:$E,"TPO",'capacity data'!$B:$B,'cluster capacity, unallocateds'!B9),"")</f>
        <v/>
      </c>
      <c r="F9" s="173"/>
      <c r="G9" s="236" t="str">
        <f>IFERROR(SUMIFS('capacity data'!$L:$L,'capacity data'!$B:$B,B9,'capacity data'!$E:$E,"PSO")/SUM((SUMIFS('capacity data'!$G:$G,'capacity data'!$E:$E,"PSO",'capacity data'!$B:$B,B9))-SUMIFS('capacity data'!$H:$H,'capacity data'!$E:$E,"PSO",'capacity data'!$B:$B,B9)),"")</f>
        <v/>
      </c>
      <c r="H9" s="236" t="str">
        <f>IFERROR(SUMIFS('capacity data'!$L:$L,'capacity data'!$B:$B,B9,'capacity data'!$E:$E,"PSO")/SUMIFS('capacity data'!$G:$G,'capacity data'!$E:$E,"PSO",'capacity data'!$B:$B,B9),"")</f>
        <v/>
      </c>
      <c r="I9" s="173"/>
      <c r="J9" s="78" t="str">
        <f>IFERROR(SUMIFS('capacity data'!$L:$L,'capacity data'!$B:$B,B9,'capacity data'!$E:$E,"TPO")/SUM((SUMIFS('capacity data'!$G:$G,'capacity data'!$E:$E,"TPO",'capacity data'!$B:$B,B9))-SUMIFS('capacity data'!$H:$H,'capacity data'!$E:$E,"TPO",'capacity data'!$B:$B,B9)),"")</f>
        <v/>
      </c>
      <c r="K9" s="78" t="str">
        <f>IFERROR(SUMIFS('capacity data'!$L:$L,'capacity data'!$B:$B,B9,'capacity data'!$E:$E,"TPO")/SUMIFS('capacity data'!$G:$G,'capacity data'!$E:$E,"TPO",'capacity data'!$B:$B,B9),"")</f>
        <v/>
      </c>
    </row>
    <row r="10" spans="1:26" ht="16" x14ac:dyDescent="0.2">
      <c r="A10" s="11"/>
      <c r="B10" s="74" t="str">
        <f>HLOOKUP($B$4,Region_Table,4,0)</f>
        <v>Barking and Dagenham and Havering</v>
      </c>
      <c r="C10" s="79" t="str">
        <f>IFERROR(SUM((SUMIFS('capacity data'!$G:$G,'capacity data'!$E:$E,"PO",'capacity data'!$B:$B,'cluster capacity, unallocateds'!B10))-SUMIFS('capacity data'!$H:$H,'capacity data'!$E:$E,"PO",'capacity data'!$B:$B,'cluster capacity, unallocateds'!B10))/SUMIFS('capacity data'!$G:$G,'capacity data'!$E:$E,"PO",'capacity data'!$B:$B,'cluster capacity, unallocateds'!B10),"")</f>
        <v/>
      </c>
      <c r="D10" s="79" t="str">
        <f>IFERROR(SUM((SUMIFS('capacity data'!$G:$G,'capacity data'!$E:$E,"PSO",'capacity data'!$B:$B,'cluster capacity, unallocateds'!B10))-SUMIFS('capacity data'!$H:$H,'capacity data'!$E:$E,"PSO",'capacity data'!$B:$B,'cluster capacity, unallocateds'!B10))/SUMIFS('capacity data'!$G:$G,'capacity data'!$E:$E,"PSO",'capacity data'!$B:$B,'cluster capacity, unallocateds'!B10),"")</f>
        <v/>
      </c>
      <c r="E10" s="79" t="str">
        <f>IFERROR(SUM((SUMIFS('capacity data'!$G:$G,'capacity data'!$E:$E,"TPO",'capacity data'!$B:$B,'cluster capacity, unallocateds'!B10))-SUMIFS('capacity data'!$H:$H,'capacity data'!$E:$E,"TPO",'capacity data'!$B:$B,'cluster capacity, unallocateds'!B10))/SUMIFS('capacity data'!$G:$G,'capacity data'!$E:$E,"TPO",'capacity data'!$B:$B,'cluster capacity, unallocateds'!B10),"")</f>
        <v/>
      </c>
      <c r="F10" s="173"/>
      <c r="G10" s="236" t="str">
        <f>IFERROR(SUMIFS('capacity data'!$L:$L,'capacity data'!$B:$B,B10,'capacity data'!$E:$E,"PSO")/SUM((SUMIFS('capacity data'!$G:$G,'capacity data'!$E:$E,"PSO",'capacity data'!$B:$B,B10))-SUMIFS('capacity data'!$H:$H,'capacity data'!$E:$E,"PSO",'capacity data'!$B:$B,B10)),"")</f>
        <v/>
      </c>
      <c r="H10" s="236" t="str">
        <f>IFERROR(SUMIFS('capacity data'!$L:$L,'capacity data'!$B:$B,B10,'capacity data'!$E:$E,"PSO")/SUMIFS('capacity data'!$G:$G,'capacity data'!$E:$E,"PSO",'capacity data'!$B:$B,B10),"")</f>
        <v/>
      </c>
      <c r="I10" s="173"/>
      <c r="J10" s="78" t="str">
        <f>IFERROR(SUMIFS('capacity data'!$L:$L,'capacity data'!$B:$B,B10,'capacity data'!$E:$E,"TPO")/SUM((SUMIFS('capacity data'!$G:$G,'capacity data'!$E:$E,"TPO",'capacity data'!$B:$B,B10))-SUMIFS('capacity data'!$H:$H,'capacity data'!$E:$E,"TPO",'capacity data'!$B:$B,B10)),"")</f>
        <v/>
      </c>
      <c r="K10" s="78" t="str">
        <f>IFERROR(SUMIFS('capacity data'!$L:$L,'capacity data'!$B:$B,B10,'capacity data'!$E:$E,"TPO")/SUMIFS('capacity data'!$G:$G,'capacity data'!$E:$E,"TPO",'capacity data'!$B:$B,B10),"")</f>
        <v/>
      </c>
    </row>
    <row r="11" spans="1:26" ht="16" x14ac:dyDescent="0.2">
      <c r="A11" s="11"/>
      <c r="B11" s="74" t="str">
        <f>HLOOKUP($B$4,Region_Table,5,0)</f>
        <v>Brent - N07</v>
      </c>
      <c r="C11" s="79" t="str">
        <f>IFERROR(SUM((SUMIFS('capacity data'!$G:$G,'capacity data'!$E:$E,"PO",'capacity data'!$B:$B,'cluster capacity, unallocateds'!B11))-SUMIFS('capacity data'!$H:$H,'capacity data'!$E:$E,"PO",'capacity data'!$B:$B,'cluster capacity, unallocateds'!B11))/SUMIFS('capacity data'!$G:$G,'capacity data'!$E:$E,"PO",'capacity data'!$B:$B,'cluster capacity, unallocateds'!B11),"")</f>
        <v/>
      </c>
      <c r="D11" s="79" t="str">
        <f>IFERROR(SUM((SUMIFS('capacity data'!$G:$G,'capacity data'!$E:$E,"PSO",'capacity data'!$B:$B,'cluster capacity, unallocateds'!B11))-SUMIFS('capacity data'!$H:$H,'capacity data'!$E:$E,"PSO",'capacity data'!$B:$B,'cluster capacity, unallocateds'!B11))/SUMIFS('capacity data'!$G:$G,'capacity data'!$E:$E,"PSO",'capacity data'!$B:$B,'cluster capacity, unallocateds'!B11),"")</f>
        <v/>
      </c>
      <c r="E11" s="79" t="str">
        <f>IFERROR(SUM((SUMIFS('capacity data'!$G:$G,'capacity data'!$E:$E,"TPO",'capacity data'!$B:$B,'cluster capacity, unallocateds'!B11))-SUMIFS('capacity data'!$H:$H,'capacity data'!$E:$E,"TPO",'capacity data'!$B:$B,'cluster capacity, unallocateds'!B11))/SUMIFS('capacity data'!$G:$G,'capacity data'!$E:$E,"TPO",'capacity data'!$B:$B,'cluster capacity, unallocateds'!B11),"")</f>
        <v/>
      </c>
      <c r="F11" s="173"/>
      <c r="G11" s="236" t="str">
        <f>IFERROR(SUMIFS('capacity data'!$L:$L,'capacity data'!$B:$B,B11,'capacity data'!$E:$E,"PSO")/SUM((SUMIFS('capacity data'!$G:$G,'capacity data'!$E:$E,"PSO",'capacity data'!$B:$B,B11))-SUMIFS('capacity data'!$H:$H,'capacity data'!$E:$E,"PSO",'capacity data'!$B:$B,B11)),"")</f>
        <v/>
      </c>
      <c r="H11" s="236" t="str">
        <f>IFERROR(SUMIFS('capacity data'!$L:$L,'capacity data'!$B:$B,B11,'capacity data'!$E:$E,"PSO")/SUMIFS('capacity data'!$G:$G,'capacity data'!$E:$E,"PSO",'capacity data'!$B:$B,B11),"")</f>
        <v/>
      </c>
      <c r="I11" s="173"/>
      <c r="J11" s="78" t="str">
        <f>IFERROR(SUMIFS('capacity data'!$L:$L,'capacity data'!$B:$B,B11,'capacity data'!$E:$E,"TPO")/SUM((SUMIFS('capacity data'!$G:$G,'capacity data'!$E:$E,"TPO",'capacity data'!$B:$B,B11))-SUMIFS('capacity data'!$H:$H,'capacity data'!$E:$E,"TPO",'capacity data'!$B:$B,B11)),"")</f>
        <v/>
      </c>
      <c r="K11" s="78" t="str">
        <f>IFERROR(SUMIFS('capacity data'!$L:$L,'capacity data'!$B:$B,B11,'capacity data'!$E:$E,"TPO")/SUMIFS('capacity data'!$G:$G,'capacity data'!$E:$E,"TPO",'capacity data'!$B:$B,B11),"")</f>
        <v/>
      </c>
    </row>
    <row r="12" spans="1:26" ht="16" x14ac:dyDescent="0.2">
      <c r="A12" s="11"/>
      <c r="B12" s="74" t="str">
        <f>HLOOKUP($B$4,Region_Table,6,0)</f>
        <v>Camden, Islington</v>
      </c>
      <c r="C12" s="79" t="str">
        <f>IFERROR(SUM((SUMIFS('capacity data'!$G:$G,'capacity data'!$E:$E,"PO",'capacity data'!$B:$B,'cluster capacity, unallocateds'!B12))-SUMIFS('capacity data'!$H:$H,'capacity data'!$E:$E,"PO",'capacity data'!$B:$B,'cluster capacity, unallocateds'!B12))/SUMIFS('capacity data'!$G:$G,'capacity data'!$E:$E,"PO",'capacity data'!$B:$B,'cluster capacity, unallocateds'!B12),"")</f>
        <v/>
      </c>
      <c r="D12" s="79" t="str">
        <f>IFERROR(SUM((SUMIFS('capacity data'!$G:$G,'capacity data'!$E:$E,"PSO",'capacity data'!$B:$B,'cluster capacity, unallocateds'!B12))-SUMIFS('capacity data'!$H:$H,'capacity data'!$E:$E,"PSO",'capacity data'!$B:$B,'cluster capacity, unallocateds'!B12))/SUMIFS('capacity data'!$G:$G,'capacity data'!$E:$E,"PSO",'capacity data'!$B:$B,'cluster capacity, unallocateds'!B12),"")</f>
        <v/>
      </c>
      <c r="E12" s="79" t="str">
        <f>IFERROR(SUM((SUMIFS('capacity data'!$G:$G,'capacity data'!$E:$E,"TPO",'capacity data'!$B:$B,'cluster capacity, unallocateds'!B12))-SUMIFS('capacity data'!$H:$H,'capacity data'!$E:$E,"TPO",'capacity data'!$B:$B,'cluster capacity, unallocateds'!B12))/SUMIFS('capacity data'!$G:$G,'capacity data'!$E:$E,"TPO",'capacity data'!$B:$B,'cluster capacity, unallocateds'!B12),"")</f>
        <v/>
      </c>
      <c r="F12" s="173"/>
      <c r="G12" s="236" t="str">
        <f>IFERROR(SUMIFS('capacity data'!$L:$L,'capacity data'!$B:$B,B12,'capacity data'!$E:$E,"PSO")/SUM((SUMIFS('capacity data'!$G:$G,'capacity data'!$E:$E,"PSO",'capacity data'!$B:$B,B12))-SUMIFS('capacity data'!$H:$H,'capacity data'!$E:$E,"PSO",'capacity data'!$B:$B,B12)),"")</f>
        <v/>
      </c>
      <c r="H12" s="236" t="str">
        <f>IFERROR(SUMIFS('capacity data'!$L:$L,'capacity data'!$B:$B,B12,'capacity data'!$E:$E,"PSO")/SUMIFS('capacity data'!$G:$G,'capacity data'!$E:$E,"PSO",'capacity data'!$B:$B,B12),"")</f>
        <v/>
      </c>
      <c r="I12" s="173"/>
      <c r="J12" s="78" t="str">
        <f>IFERROR(SUMIFS('capacity data'!$L:$L,'capacity data'!$B:$B,B12,'capacity data'!$E:$E,"TPO")/SUM((SUMIFS('capacity data'!$G:$G,'capacity data'!$E:$E,"TPO",'capacity data'!$B:$B,B12))-SUMIFS('capacity data'!$H:$H,'capacity data'!$E:$E,"TPO",'capacity data'!$B:$B,B12)),"")</f>
        <v/>
      </c>
      <c r="K12" s="78" t="str">
        <f>IFERROR(SUMIFS('capacity data'!$L:$L,'capacity data'!$B:$B,B12,'capacity data'!$E:$E,"TPO")/SUMIFS('capacity data'!$G:$G,'capacity data'!$E:$E,"TPO",'capacity data'!$B:$B,B12),"")</f>
        <v/>
      </c>
    </row>
    <row r="13" spans="1:26" ht="16" x14ac:dyDescent="0.2">
      <c r="A13" s="11"/>
      <c r="B13" s="74" t="str">
        <f>HLOOKUP($B$4,Region_Table,7,0)</f>
        <v>Community Integration</v>
      </c>
      <c r="C13" s="79" t="str">
        <f>IFERROR(SUM((SUMIFS('capacity data'!$G:$G,'capacity data'!$E:$E,"PO",'capacity data'!$B:$B,'cluster capacity, unallocateds'!B13))-SUMIFS('capacity data'!$H:$H,'capacity data'!$E:$E,"PO",'capacity data'!$B:$B,'cluster capacity, unallocateds'!B13))/SUMIFS('capacity data'!$G:$G,'capacity data'!$E:$E,"PO",'capacity data'!$B:$B,'cluster capacity, unallocateds'!B13),"")</f>
        <v/>
      </c>
      <c r="D13" s="79" t="str">
        <f>IFERROR(SUM((SUMIFS('capacity data'!$G:$G,'capacity data'!$E:$E,"PSO",'capacity data'!$B:$B,'cluster capacity, unallocateds'!B13))-SUMIFS('capacity data'!$H:$H,'capacity data'!$E:$E,"PSO",'capacity data'!$B:$B,'cluster capacity, unallocateds'!B13))/SUMIFS('capacity data'!$G:$G,'capacity data'!$E:$E,"PSO",'capacity data'!$B:$B,'cluster capacity, unallocateds'!B13),"")</f>
        <v/>
      </c>
      <c r="E13" s="79" t="str">
        <f>IFERROR(SUM((SUMIFS('capacity data'!$G:$G,'capacity data'!$E:$E,"TPO",'capacity data'!$B:$B,'cluster capacity, unallocateds'!B13))-SUMIFS('capacity data'!$H:$H,'capacity data'!$E:$E,"TPO",'capacity data'!$B:$B,'cluster capacity, unallocateds'!B13))/SUMIFS('capacity data'!$G:$G,'capacity data'!$E:$E,"TPO",'capacity data'!$B:$B,'cluster capacity, unallocateds'!B13),"")</f>
        <v/>
      </c>
      <c r="F13" s="173"/>
      <c r="G13" s="236" t="str">
        <f>IFERROR(SUMIFS('capacity data'!$L:$L,'capacity data'!$B:$B,B13,'capacity data'!$E:$E,"PSO")/SUM((SUMIFS('capacity data'!$G:$G,'capacity data'!$E:$E,"PSO",'capacity data'!$B:$B,B13))-SUMIFS('capacity data'!$H:$H,'capacity data'!$E:$E,"PSO",'capacity data'!$B:$B,B13)),"")</f>
        <v/>
      </c>
      <c r="H13" s="236" t="str">
        <f>IFERROR(SUMIFS('capacity data'!$L:$L,'capacity data'!$B:$B,B13,'capacity data'!$E:$E,"PSO")/SUMIFS('capacity data'!$G:$G,'capacity data'!$E:$E,"PSO",'capacity data'!$B:$B,B13),"")</f>
        <v/>
      </c>
      <c r="I13" s="173"/>
      <c r="J13" s="78" t="str">
        <f>IFERROR(SUMIFS('capacity data'!$L:$L,'capacity data'!$B:$B,B13,'capacity data'!$E:$E,"TPO")/SUM((SUMIFS('capacity data'!$G:$G,'capacity data'!$E:$E,"TPO",'capacity data'!$B:$B,B13))-SUMIFS('capacity data'!$H:$H,'capacity data'!$E:$E,"TPO",'capacity data'!$B:$B,B13)),"")</f>
        <v/>
      </c>
      <c r="K13" s="78" t="str">
        <f>IFERROR(SUMIFS('capacity data'!$L:$L,'capacity data'!$B:$B,B13,'capacity data'!$E:$E,"TPO")/SUMIFS('capacity data'!$G:$G,'capacity data'!$E:$E,"TPO",'capacity data'!$B:$B,B13),"")</f>
        <v/>
      </c>
    </row>
    <row r="14" spans="1:26" ht="16" x14ac:dyDescent="0.2">
      <c r="A14" s="11"/>
      <c r="B14" s="74" t="str">
        <f>HLOOKUP($B$4,Region_Table,8,0)</f>
        <v>Corporate Services - N07</v>
      </c>
      <c r="C14" s="79" t="str">
        <f>IFERROR(SUM((SUMIFS('capacity data'!$G:$G,'capacity data'!$E:$E,"PO",'capacity data'!$B:$B,'cluster capacity, unallocateds'!B14))-SUMIFS('capacity data'!$H:$H,'capacity data'!$E:$E,"PO",'capacity data'!$B:$B,'cluster capacity, unallocateds'!B14))/SUMIFS('capacity data'!$G:$G,'capacity data'!$E:$E,"PO",'capacity data'!$B:$B,'cluster capacity, unallocateds'!B14),"")</f>
        <v/>
      </c>
      <c r="D14" s="79" t="str">
        <f>IFERROR(SUM((SUMIFS('capacity data'!$G:$G,'capacity data'!$E:$E,"PSO",'capacity data'!$B:$B,'cluster capacity, unallocateds'!B14))-SUMIFS('capacity data'!$H:$H,'capacity data'!$E:$E,"PSO",'capacity data'!$B:$B,'cluster capacity, unallocateds'!B14))/SUMIFS('capacity data'!$G:$G,'capacity data'!$E:$E,"PSO",'capacity data'!$B:$B,'cluster capacity, unallocateds'!B14),"")</f>
        <v/>
      </c>
      <c r="E14" s="79" t="str">
        <f>IFERROR(SUM((SUMIFS('capacity data'!$G:$G,'capacity data'!$E:$E,"TPO",'capacity data'!$B:$B,'cluster capacity, unallocateds'!B14))-SUMIFS('capacity data'!$H:$H,'capacity data'!$E:$E,"TPO",'capacity data'!$B:$B,'cluster capacity, unallocateds'!B14))/SUMIFS('capacity data'!$G:$G,'capacity data'!$E:$E,"TPO",'capacity data'!$B:$B,'cluster capacity, unallocateds'!B14),"")</f>
        <v/>
      </c>
      <c r="F14" s="173"/>
      <c r="G14" s="236" t="str">
        <f>IFERROR(SUMIFS('capacity data'!$L:$L,'capacity data'!$B:$B,B14,'capacity data'!$E:$E,"PSO")/SUM((SUMIFS('capacity data'!$G:$G,'capacity data'!$E:$E,"PSO",'capacity data'!$B:$B,B14))-SUMIFS('capacity data'!$H:$H,'capacity data'!$E:$E,"PSO",'capacity data'!$B:$B,B14)),"")</f>
        <v/>
      </c>
      <c r="H14" s="236" t="str">
        <f>IFERROR(SUMIFS('capacity data'!$L:$L,'capacity data'!$B:$B,B14,'capacity data'!$E:$E,"PSO")/SUMIFS('capacity data'!$G:$G,'capacity data'!$E:$E,"PSO",'capacity data'!$B:$B,B14),"")</f>
        <v/>
      </c>
      <c r="I14" s="173"/>
      <c r="J14" s="78" t="str">
        <f>IFERROR(SUMIFS('capacity data'!$L:$L,'capacity data'!$B:$B,B14,'capacity data'!$E:$E,"TPO")/SUM((SUMIFS('capacity data'!$G:$G,'capacity data'!$E:$E,"TPO",'capacity data'!$B:$B,B14))-SUMIFS('capacity data'!$H:$H,'capacity data'!$E:$E,"TPO",'capacity data'!$B:$B,B14)),"")</f>
        <v/>
      </c>
      <c r="K14" s="78" t="str">
        <f>IFERROR(SUMIFS('capacity data'!$L:$L,'capacity data'!$B:$B,B14,'capacity data'!$E:$E,"TPO")/SUMIFS('capacity data'!$G:$G,'capacity data'!$E:$E,"TPO",'capacity data'!$B:$B,B14),"")</f>
        <v/>
      </c>
    </row>
    <row r="15" spans="1:26" ht="16" x14ac:dyDescent="0.2">
      <c r="A15" s="11"/>
      <c r="B15" s="74" t="str">
        <f>HLOOKUP($B$4,Region_Table,9,0)</f>
        <v>Croydon - N07</v>
      </c>
      <c r="C15" s="79" t="str">
        <f>IFERROR(SUM((SUMIFS('capacity data'!$G:$G,'capacity data'!$E:$E,"PO",'capacity data'!$B:$B,'cluster capacity, unallocateds'!B15))-SUMIFS('capacity data'!$H:$H,'capacity data'!$E:$E,"PO",'capacity data'!$B:$B,'cluster capacity, unallocateds'!B15))/SUMIFS('capacity data'!$G:$G,'capacity data'!$E:$E,"PO",'capacity data'!$B:$B,'cluster capacity, unallocateds'!B15),"")</f>
        <v/>
      </c>
      <c r="D15" s="79" t="str">
        <f>IFERROR(SUM((SUMIFS('capacity data'!$G:$G,'capacity data'!$E:$E,"PSO",'capacity data'!$B:$B,'cluster capacity, unallocateds'!B15))-SUMIFS('capacity data'!$H:$H,'capacity data'!$E:$E,"PSO",'capacity data'!$B:$B,'cluster capacity, unallocateds'!B15))/SUMIFS('capacity data'!$G:$G,'capacity data'!$E:$E,"PSO",'capacity data'!$B:$B,'cluster capacity, unallocateds'!B15),"")</f>
        <v/>
      </c>
      <c r="E15" s="79" t="str">
        <f>IFERROR(SUM((SUMIFS('capacity data'!$G:$G,'capacity data'!$E:$E,"TPO",'capacity data'!$B:$B,'cluster capacity, unallocateds'!B15))-SUMIFS('capacity data'!$H:$H,'capacity data'!$E:$E,"TPO",'capacity data'!$B:$B,'cluster capacity, unallocateds'!B15))/SUMIFS('capacity data'!$G:$G,'capacity data'!$E:$E,"TPO",'capacity data'!$B:$B,'cluster capacity, unallocateds'!B15),"")</f>
        <v/>
      </c>
      <c r="F15" s="173"/>
      <c r="G15" s="236" t="str">
        <f>IFERROR(SUMIFS('capacity data'!$L:$L,'capacity data'!$B:$B,B15,'capacity data'!$E:$E,"PSO")/SUM((SUMIFS('capacity data'!$G:$G,'capacity data'!$E:$E,"PSO",'capacity data'!$B:$B,B15))-SUMIFS('capacity data'!$H:$H,'capacity data'!$E:$E,"PSO",'capacity data'!$B:$B,B15)),"")</f>
        <v/>
      </c>
      <c r="H15" s="236" t="str">
        <f>IFERROR(SUMIFS('capacity data'!$L:$L,'capacity data'!$B:$B,B15,'capacity data'!$E:$E,"PSO")/SUMIFS('capacity data'!$G:$G,'capacity data'!$E:$E,"PSO",'capacity data'!$B:$B,B15),"")</f>
        <v/>
      </c>
      <c r="I15" s="173"/>
      <c r="J15" s="78" t="str">
        <f>IFERROR(SUMIFS('capacity data'!$L:$L,'capacity data'!$B:$B,B15,'capacity data'!$E:$E,"TPO")/SUM((SUMIFS('capacity data'!$G:$G,'capacity data'!$E:$E,"TPO",'capacity data'!$B:$B,B15))-SUMIFS('capacity data'!$H:$H,'capacity data'!$E:$E,"TPO",'capacity data'!$B:$B,B15)),"")</f>
        <v/>
      </c>
      <c r="K15" s="78" t="str">
        <f>IFERROR(SUMIFS('capacity data'!$L:$L,'capacity data'!$B:$B,B15,'capacity data'!$E:$E,"TPO")/SUMIFS('capacity data'!$G:$G,'capacity data'!$E:$E,"TPO",'capacity data'!$B:$B,B15),"")</f>
        <v/>
      </c>
    </row>
    <row r="16" spans="1:26" ht="16" x14ac:dyDescent="0.2">
      <c r="A16" s="11"/>
      <c r="B16" s="74" t="str">
        <f>HLOOKUP($B$4,Region_Table,10,0)</f>
        <v>Ealing and Hillingdon</v>
      </c>
      <c r="C16" s="79" t="str">
        <f>IFERROR(SUM((SUMIFS('capacity data'!$G:$G,'capacity data'!$E:$E,"PO",'capacity data'!$B:$B,'cluster capacity, unallocateds'!B16))-SUMIFS('capacity data'!$H:$H,'capacity data'!$E:$E,"PO",'capacity data'!$B:$B,'cluster capacity, unallocateds'!B16))/SUMIFS('capacity data'!$G:$G,'capacity data'!$E:$E,"PO",'capacity data'!$B:$B,'cluster capacity, unallocateds'!B16),"")</f>
        <v/>
      </c>
      <c r="D16" s="79" t="str">
        <f>IFERROR(SUM((SUMIFS('capacity data'!$G:$G,'capacity data'!$E:$E,"PSO",'capacity data'!$B:$B,'cluster capacity, unallocateds'!B16))-SUMIFS('capacity data'!$H:$H,'capacity data'!$E:$E,"PSO",'capacity data'!$B:$B,'cluster capacity, unallocateds'!B16))/SUMIFS('capacity data'!$G:$G,'capacity data'!$E:$E,"PSO",'capacity data'!$B:$B,'cluster capacity, unallocateds'!B16),"")</f>
        <v/>
      </c>
      <c r="E16" s="79" t="str">
        <f>IFERROR(SUM((SUMIFS('capacity data'!$G:$G,'capacity data'!$E:$E,"TPO",'capacity data'!$B:$B,'cluster capacity, unallocateds'!B16))-SUMIFS('capacity data'!$H:$H,'capacity data'!$E:$E,"TPO",'capacity data'!$B:$B,'cluster capacity, unallocateds'!B16))/SUMIFS('capacity data'!$G:$G,'capacity data'!$E:$E,"TPO",'capacity data'!$B:$B,'cluster capacity, unallocateds'!B16),"")</f>
        <v/>
      </c>
      <c r="F16" s="173"/>
      <c r="G16" s="236" t="str">
        <f>IFERROR(SUMIFS('capacity data'!$L:$L,'capacity data'!$B:$B,B16,'capacity data'!$E:$E,"PSO")/SUM((SUMIFS('capacity data'!$G:$G,'capacity data'!$E:$E,"PSO",'capacity data'!$B:$B,B16))-SUMIFS('capacity data'!$H:$H,'capacity data'!$E:$E,"PSO",'capacity data'!$B:$B,B16)),"")</f>
        <v/>
      </c>
      <c r="H16" s="236" t="str">
        <f>IFERROR(SUMIFS('capacity data'!$L:$L,'capacity data'!$B:$B,B16,'capacity data'!$E:$E,"PSO")/SUMIFS('capacity data'!$G:$G,'capacity data'!$E:$E,"PSO",'capacity data'!$B:$B,B16),"")</f>
        <v/>
      </c>
      <c r="I16" s="173"/>
      <c r="J16" s="78" t="str">
        <f>IFERROR(SUMIFS('capacity data'!$L:$L,'capacity data'!$B:$B,B16,'capacity data'!$E:$E,"TPO")/SUM((SUMIFS('capacity data'!$G:$G,'capacity data'!$E:$E,"TPO",'capacity data'!$B:$B,B16))-SUMIFS('capacity data'!$H:$H,'capacity data'!$E:$E,"TPO",'capacity data'!$B:$B,B16)),"")</f>
        <v/>
      </c>
      <c r="K16" s="78" t="str">
        <f>IFERROR(SUMIFS('capacity data'!$L:$L,'capacity data'!$B:$B,B16,'capacity data'!$E:$E,"TPO")/SUMIFS('capacity data'!$G:$G,'capacity data'!$E:$E,"TPO",'capacity data'!$B:$B,B16),"")</f>
        <v/>
      </c>
    </row>
    <row r="17" spans="1:11" ht="16" x14ac:dyDescent="0.2">
      <c r="A17" s="13" t="s">
        <v>22</v>
      </c>
      <c r="B17" s="74" t="str">
        <f>HLOOKUP($B$4,Region_Table,11,0)</f>
        <v>Enfield and Haringey</v>
      </c>
      <c r="C17" s="79" t="str">
        <f>IFERROR(SUM((SUMIFS('capacity data'!$G:$G,'capacity data'!$E:$E,"PO",'capacity data'!$B:$B,'cluster capacity, unallocateds'!B17))-SUMIFS('capacity data'!$H:$H,'capacity data'!$E:$E,"PO",'capacity data'!$B:$B,'cluster capacity, unallocateds'!B17))/SUMIFS('capacity data'!$G:$G,'capacity data'!$E:$E,"PO",'capacity data'!$B:$B,'cluster capacity, unallocateds'!B17),"")</f>
        <v/>
      </c>
      <c r="D17" s="79" t="str">
        <f>IFERROR(SUM((SUMIFS('capacity data'!$G:$G,'capacity data'!$E:$E,"PSO",'capacity data'!$B:$B,'cluster capacity, unallocateds'!B17))-SUMIFS('capacity data'!$H:$H,'capacity data'!$E:$E,"PSO",'capacity data'!$B:$B,'cluster capacity, unallocateds'!B17))/SUMIFS('capacity data'!$G:$G,'capacity data'!$E:$E,"PSO",'capacity data'!$B:$B,'cluster capacity, unallocateds'!B17),"")</f>
        <v/>
      </c>
      <c r="E17" s="79" t="str">
        <f>IFERROR(SUM((SUMIFS('capacity data'!$G:$G,'capacity data'!$E:$E,"TPO",'capacity data'!$B:$B,'cluster capacity, unallocateds'!B17))-SUMIFS('capacity data'!$H:$H,'capacity data'!$E:$E,"TPO",'capacity data'!$B:$B,'cluster capacity, unallocateds'!B17))/SUMIFS('capacity data'!$G:$G,'capacity data'!$E:$E,"TPO",'capacity data'!$B:$B,'cluster capacity, unallocateds'!B17),"")</f>
        <v/>
      </c>
      <c r="F17" s="173"/>
      <c r="G17" s="236" t="str">
        <f>IFERROR(SUMIFS('capacity data'!$L:$L,'capacity data'!$B:$B,B17,'capacity data'!$E:$E,"PSO")/SUM((SUMIFS('capacity data'!$G:$G,'capacity data'!$E:$E,"PSO",'capacity data'!$B:$B,B17))-SUMIFS('capacity data'!$H:$H,'capacity data'!$E:$E,"PSO",'capacity data'!$B:$B,B17)),"")</f>
        <v/>
      </c>
      <c r="H17" s="236" t="str">
        <f>IFERROR(SUMIFS('capacity data'!$L:$L,'capacity data'!$B:$B,B17,'capacity data'!$E:$E,"PSO")/SUMIFS('capacity data'!$G:$G,'capacity data'!$E:$E,"PSO",'capacity data'!$B:$B,B17),"")</f>
        <v/>
      </c>
      <c r="I17" s="173"/>
      <c r="J17" s="78" t="str">
        <f>IFERROR(SUMIFS('capacity data'!$L:$L,'capacity data'!$B:$B,B17,'capacity data'!$E:$E,"TPO")/SUM((SUMIFS('capacity data'!$G:$G,'capacity data'!$E:$E,"TPO",'capacity data'!$B:$B,B17))-SUMIFS('capacity data'!$H:$H,'capacity data'!$E:$E,"TPO",'capacity data'!$B:$B,B17)),"")</f>
        <v/>
      </c>
      <c r="K17" s="78" t="str">
        <f>IFERROR(SUMIFS('capacity data'!$L:$L,'capacity data'!$B:$B,B17,'capacity data'!$E:$E,"TPO")/SUMIFS('capacity data'!$G:$G,'capacity data'!$E:$E,"TPO",'capacity data'!$B:$B,B17),"")</f>
        <v/>
      </c>
    </row>
    <row r="18" spans="1:11" ht="16" x14ac:dyDescent="0.2">
      <c r="A18" s="13" t="s">
        <v>1277</v>
      </c>
      <c r="B18" s="74" t="str">
        <f>HLOOKUP($B$4,Region_Table,12,0)</f>
        <v>Greenwich and Bexley</v>
      </c>
      <c r="C18" s="79" t="str">
        <f>IFERROR(SUM((SUMIFS('capacity data'!$G:$G,'capacity data'!$E:$E,"PO",'capacity data'!$B:$B,'cluster capacity, unallocateds'!B18))-SUMIFS('capacity data'!$H:$H,'capacity data'!$E:$E,"PO",'capacity data'!$B:$B,'cluster capacity, unallocateds'!B18))/SUMIFS('capacity data'!$G:$G,'capacity data'!$E:$E,"PO",'capacity data'!$B:$B,'cluster capacity, unallocateds'!B18),"")</f>
        <v/>
      </c>
      <c r="D18" s="79" t="str">
        <f>IFERROR(SUM((SUMIFS('capacity data'!$G:$G,'capacity data'!$E:$E,"PSO",'capacity data'!$B:$B,'cluster capacity, unallocateds'!B18))-SUMIFS('capacity data'!$H:$H,'capacity data'!$E:$E,"PSO",'capacity data'!$B:$B,'cluster capacity, unallocateds'!B18))/SUMIFS('capacity data'!$G:$G,'capacity data'!$E:$E,"PSO",'capacity data'!$B:$B,'cluster capacity, unallocateds'!B18),"")</f>
        <v/>
      </c>
      <c r="E18" s="79" t="str">
        <f>IFERROR(SUM((SUMIFS('capacity data'!$G:$G,'capacity data'!$E:$E,"TPO",'capacity data'!$B:$B,'cluster capacity, unallocateds'!B18))-SUMIFS('capacity data'!$H:$H,'capacity data'!$E:$E,"TPO",'capacity data'!$B:$B,'cluster capacity, unallocateds'!B18))/SUMIFS('capacity data'!$G:$G,'capacity data'!$E:$E,"TPO",'capacity data'!$B:$B,'cluster capacity, unallocateds'!B18),"")</f>
        <v/>
      </c>
      <c r="F18" s="173"/>
      <c r="G18" s="236" t="str">
        <f>IFERROR(SUMIFS('capacity data'!$L:$L,'capacity data'!$B:$B,B18,'capacity data'!$E:$E,"PSO")/SUM((SUMIFS('capacity data'!$G:$G,'capacity data'!$E:$E,"PSO",'capacity data'!$B:$B,B18))-SUMIFS('capacity data'!$H:$H,'capacity data'!$E:$E,"PSO",'capacity data'!$B:$B,B18)),"")</f>
        <v/>
      </c>
      <c r="H18" s="236" t="str">
        <f>IFERROR(SUMIFS('capacity data'!$L:$L,'capacity data'!$B:$B,B18,'capacity data'!$E:$E,"PSO")/SUMIFS('capacity data'!$G:$G,'capacity data'!$E:$E,"PSO",'capacity data'!$B:$B,B18),"")</f>
        <v/>
      </c>
      <c r="I18" s="173"/>
      <c r="J18" s="78" t="str">
        <f>IFERROR(SUMIFS('capacity data'!$L:$L,'capacity data'!$B:$B,B18,'capacity data'!$E:$E,"TPO")/SUM((SUMIFS('capacity data'!$G:$G,'capacity data'!$E:$E,"TPO",'capacity data'!$B:$B,B18))-SUMIFS('capacity data'!$H:$H,'capacity data'!$E:$E,"TPO",'capacity data'!$B:$B,B18)),"")</f>
        <v/>
      </c>
      <c r="K18" s="78" t="str">
        <f>IFERROR(SUMIFS('capacity data'!$L:$L,'capacity data'!$B:$B,B18,'capacity data'!$E:$E,"TPO")/SUMIFS('capacity data'!$G:$G,'capacity data'!$E:$E,"TPO",'capacity data'!$B:$B,B18),"")</f>
        <v/>
      </c>
    </row>
    <row r="19" spans="1:11" ht="16" x14ac:dyDescent="0.2">
      <c r="A19" s="13" t="s">
        <v>1278</v>
      </c>
      <c r="B19" s="74" t="str">
        <f>HLOOKUP($B$4,Region_Table,13,0)</f>
        <v>Hackney and City</v>
      </c>
      <c r="C19" s="79" t="str">
        <f>IFERROR(SUM((SUMIFS('capacity data'!$G:$G,'capacity data'!$E:$E,"PO",'capacity data'!$B:$B,'cluster capacity, unallocateds'!B19))-SUMIFS('capacity data'!$H:$H,'capacity data'!$E:$E,"PO",'capacity data'!$B:$B,'cluster capacity, unallocateds'!B19))/SUMIFS('capacity data'!$G:$G,'capacity data'!$E:$E,"PO",'capacity data'!$B:$B,'cluster capacity, unallocateds'!B19),"")</f>
        <v/>
      </c>
      <c r="D19" s="79" t="str">
        <f>IFERROR(SUM((SUMIFS('capacity data'!$G:$G,'capacity data'!$E:$E,"PSO",'capacity data'!$B:$B,'cluster capacity, unallocateds'!B19))-SUMIFS('capacity data'!$H:$H,'capacity data'!$E:$E,"PSO",'capacity data'!$B:$B,'cluster capacity, unallocateds'!B19))/SUMIFS('capacity data'!$G:$G,'capacity data'!$E:$E,"PSO",'capacity data'!$B:$B,'cluster capacity, unallocateds'!B19),"")</f>
        <v/>
      </c>
      <c r="E19" s="79" t="str">
        <f>IFERROR(SUM((SUMIFS('capacity data'!$G:$G,'capacity data'!$E:$E,"TPO",'capacity data'!$B:$B,'cluster capacity, unallocateds'!B19))-SUMIFS('capacity data'!$H:$H,'capacity data'!$E:$E,"TPO",'capacity data'!$B:$B,'cluster capacity, unallocateds'!B19))/SUMIFS('capacity data'!$G:$G,'capacity data'!$E:$E,"TPO",'capacity data'!$B:$B,'cluster capacity, unallocateds'!B19),"")</f>
        <v/>
      </c>
      <c r="F19" s="173"/>
      <c r="G19" s="236" t="str">
        <f>IFERROR(SUMIFS('capacity data'!$L:$L,'capacity data'!$B:$B,B19,'capacity data'!$E:$E,"PSO")/SUM((SUMIFS('capacity data'!$G:$G,'capacity data'!$E:$E,"PSO",'capacity data'!$B:$B,B19))-SUMIFS('capacity data'!$H:$H,'capacity data'!$E:$E,"PSO",'capacity data'!$B:$B,B19)),"")</f>
        <v/>
      </c>
      <c r="H19" s="236" t="str">
        <f>IFERROR(SUMIFS('capacity data'!$L:$L,'capacity data'!$B:$B,B19,'capacity data'!$E:$E,"PSO")/SUMIFS('capacity data'!$G:$G,'capacity data'!$E:$E,"PSO",'capacity data'!$B:$B,B19),"")</f>
        <v/>
      </c>
      <c r="I19" s="173"/>
      <c r="J19" s="78" t="str">
        <f>IFERROR(SUMIFS('capacity data'!$L:$L,'capacity data'!$B:$B,B19,'capacity data'!$E:$E,"TPO")/SUM((SUMIFS('capacity data'!$G:$G,'capacity data'!$E:$E,"TPO",'capacity data'!$B:$B,B19))-SUMIFS('capacity data'!$H:$H,'capacity data'!$E:$E,"TPO",'capacity data'!$B:$B,B19)),"")</f>
        <v/>
      </c>
      <c r="K19" s="78" t="str">
        <f>IFERROR(SUMIFS('capacity data'!$L:$L,'capacity data'!$B:$B,B19,'capacity data'!$E:$E,"TPO")/SUMIFS('capacity data'!$G:$G,'capacity data'!$E:$E,"TPO",'capacity data'!$B:$B,B19),"")</f>
        <v/>
      </c>
    </row>
    <row r="20" spans="1:11" ht="16" x14ac:dyDescent="0.2">
      <c r="A20" s="13" t="s">
        <v>1279</v>
      </c>
      <c r="B20" s="74" t="str">
        <f>HLOOKUP($B$4,Region_Table,14,0)</f>
        <v>Hammersmith, Fulham, Kensington, Chelsea and Westminster</v>
      </c>
      <c r="C20" s="79" t="str">
        <f>IFERROR(SUM((SUMIFS('capacity data'!$G:$G,'capacity data'!$E:$E,"PO",'capacity data'!$B:$B,'cluster capacity, unallocateds'!B20))-SUMIFS('capacity data'!$H:$H,'capacity data'!$E:$E,"PO",'capacity data'!$B:$B,'cluster capacity, unallocateds'!B20))/SUMIFS('capacity data'!$G:$G,'capacity data'!$E:$E,"PO",'capacity data'!$B:$B,'cluster capacity, unallocateds'!B20),"")</f>
        <v/>
      </c>
      <c r="D20" s="79" t="str">
        <f>IFERROR(SUM((SUMIFS('capacity data'!$G:$G,'capacity data'!$E:$E,"PSO",'capacity data'!$B:$B,'cluster capacity, unallocateds'!B20))-SUMIFS('capacity data'!$H:$H,'capacity data'!$E:$E,"PSO",'capacity data'!$B:$B,'cluster capacity, unallocateds'!B20))/SUMIFS('capacity data'!$G:$G,'capacity data'!$E:$E,"PSO",'capacity data'!$B:$B,'cluster capacity, unallocateds'!B20),"")</f>
        <v/>
      </c>
      <c r="E20" s="79" t="str">
        <f>IFERROR(SUM((SUMIFS('capacity data'!$G:$G,'capacity data'!$E:$E,"TPO",'capacity data'!$B:$B,'cluster capacity, unallocateds'!B20))-SUMIFS('capacity data'!$H:$H,'capacity data'!$E:$E,"TPO",'capacity data'!$B:$B,'cluster capacity, unallocateds'!B20))/SUMIFS('capacity data'!$G:$G,'capacity data'!$E:$E,"TPO",'capacity data'!$B:$B,'cluster capacity, unallocateds'!B20),"")</f>
        <v/>
      </c>
      <c r="F20" s="173"/>
      <c r="G20" s="236" t="str">
        <f>IFERROR(SUMIFS('capacity data'!$L:$L,'capacity data'!$B:$B,B20,'capacity data'!$E:$E,"PSO")/SUM((SUMIFS('capacity data'!$G:$G,'capacity data'!$E:$E,"PSO",'capacity data'!$B:$B,B20))-SUMIFS('capacity data'!$H:$H,'capacity data'!$E:$E,"PSO",'capacity data'!$B:$B,B20)),"")</f>
        <v/>
      </c>
      <c r="H20" s="236" t="str">
        <f>IFERROR(SUMIFS('capacity data'!$L:$L,'capacity data'!$B:$B,B20,'capacity data'!$E:$E,"PSO")/SUMIFS('capacity data'!$G:$G,'capacity data'!$E:$E,"PSO",'capacity data'!$B:$B,B20),"")</f>
        <v/>
      </c>
      <c r="I20" s="173"/>
      <c r="J20" s="78" t="str">
        <f>IFERROR(SUMIFS('capacity data'!$L:$L,'capacity data'!$B:$B,B20,'capacity data'!$E:$E,"TPO")/SUM((SUMIFS('capacity data'!$G:$G,'capacity data'!$E:$E,"TPO",'capacity data'!$B:$B,B20))-SUMIFS('capacity data'!$H:$H,'capacity data'!$E:$E,"TPO",'capacity data'!$B:$B,B20)),"")</f>
        <v/>
      </c>
      <c r="K20" s="78" t="str">
        <f>IFERROR(SUMIFS('capacity data'!$L:$L,'capacity data'!$B:$B,B20,'capacity data'!$E:$E,"TPO")/SUMIFS('capacity data'!$G:$G,'capacity data'!$E:$E,"TPO",'capacity data'!$B:$B,B20),"")</f>
        <v/>
      </c>
    </row>
    <row r="21" spans="1:11" ht="16" x14ac:dyDescent="0.2">
      <c r="A21" s="13" t="s">
        <v>1280</v>
      </c>
      <c r="B21" s="74" t="str">
        <f>HLOOKUP($B$4,Region_Table,15,0)</f>
        <v>Harrow and Barnet</v>
      </c>
      <c r="C21" s="79" t="str">
        <f>IFERROR(SUM((SUMIFS('capacity data'!$G:$G,'capacity data'!$E:$E,"PO",'capacity data'!$B:$B,'cluster capacity, unallocateds'!B21))-SUMIFS('capacity data'!$H:$H,'capacity data'!$E:$E,"PO",'capacity data'!$B:$B,'cluster capacity, unallocateds'!B21))/SUMIFS('capacity data'!$G:$G,'capacity data'!$E:$E,"PO",'capacity data'!$B:$B,'cluster capacity, unallocateds'!B21),"")</f>
        <v/>
      </c>
      <c r="D21" s="79" t="str">
        <f>IFERROR(SUM((SUMIFS('capacity data'!$G:$G,'capacity data'!$E:$E,"PSO",'capacity data'!$B:$B,'cluster capacity, unallocateds'!B21))-SUMIFS('capacity data'!$H:$H,'capacity data'!$E:$E,"PSO",'capacity data'!$B:$B,'cluster capacity, unallocateds'!B21))/SUMIFS('capacity data'!$G:$G,'capacity data'!$E:$E,"PSO",'capacity data'!$B:$B,'cluster capacity, unallocateds'!B21),"")</f>
        <v/>
      </c>
      <c r="E21" s="79" t="str">
        <f>IFERROR(SUM((SUMIFS('capacity data'!$G:$G,'capacity data'!$E:$E,"TPO",'capacity data'!$B:$B,'cluster capacity, unallocateds'!B21))-SUMIFS('capacity data'!$H:$H,'capacity data'!$E:$E,"TPO",'capacity data'!$B:$B,'cluster capacity, unallocateds'!B21))/SUMIFS('capacity data'!$G:$G,'capacity data'!$E:$E,"TPO",'capacity data'!$B:$B,'cluster capacity, unallocateds'!B21),"")</f>
        <v/>
      </c>
      <c r="F21" s="173"/>
      <c r="G21" s="236" t="str">
        <f>IFERROR(SUMIFS('capacity data'!$L:$L,'capacity data'!$B:$B,B21,'capacity data'!$E:$E,"PSO")/SUM((SUMIFS('capacity data'!$G:$G,'capacity data'!$E:$E,"PSO",'capacity data'!$B:$B,B21))-SUMIFS('capacity data'!$H:$H,'capacity data'!$E:$E,"PSO",'capacity data'!$B:$B,B21)),"")</f>
        <v/>
      </c>
      <c r="H21" s="236" t="str">
        <f>IFERROR(SUMIFS('capacity data'!$L:$L,'capacity data'!$B:$B,B21,'capacity data'!$E:$E,"PSO")/SUMIFS('capacity data'!$G:$G,'capacity data'!$E:$E,"PSO",'capacity data'!$B:$B,B21),"")</f>
        <v/>
      </c>
      <c r="I21" s="173"/>
      <c r="J21" s="78" t="str">
        <f>IFERROR(SUMIFS('capacity data'!$L:$L,'capacity data'!$B:$B,B21,'capacity data'!$E:$E,"TPO")/SUM((SUMIFS('capacity data'!$G:$G,'capacity data'!$E:$E,"TPO",'capacity data'!$B:$B,B21))-SUMIFS('capacity data'!$H:$H,'capacity data'!$E:$E,"TPO",'capacity data'!$B:$B,B21)),"")</f>
        <v/>
      </c>
      <c r="K21" s="78" t="str">
        <f>IFERROR(SUMIFS('capacity data'!$L:$L,'capacity data'!$B:$B,B21,'capacity data'!$E:$E,"TPO")/SUMIFS('capacity data'!$G:$G,'capacity data'!$E:$E,"TPO",'capacity data'!$B:$B,B21),"")</f>
        <v/>
      </c>
    </row>
    <row r="22" spans="1:11" ht="16" x14ac:dyDescent="0.2">
      <c r="A22" s="13" t="s">
        <v>1281</v>
      </c>
      <c r="B22" s="74" t="str">
        <f>HLOOKUP($B$4,Region_Table,16,0)</f>
        <v>Headquarters - N07</v>
      </c>
      <c r="C22" s="79" t="str">
        <f>IFERROR(SUM((SUMIFS('capacity data'!$G:$G,'capacity data'!$E:$E,"PO",'capacity data'!$B:$B,'cluster capacity, unallocateds'!B22))-SUMIFS('capacity data'!$H:$H,'capacity data'!$E:$E,"PO",'capacity data'!$B:$B,'cluster capacity, unallocateds'!B22))/SUMIFS('capacity data'!$G:$G,'capacity data'!$E:$E,"PO",'capacity data'!$B:$B,'cluster capacity, unallocateds'!B22),"")</f>
        <v/>
      </c>
      <c r="D22" s="79" t="str">
        <f>IFERROR(SUM((SUMIFS('capacity data'!$G:$G,'capacity data'!$E:$E,"PSO",'capacity data'!$B:$B,'cluster capacity, unallocateds'!B22))-SUMIFS('capacity data'!$H:$H,'capacity data'!$E:$E,"PSO",'capacity data'!$B:$B,'cluster capacity, unallocateds'!B22))/SUMIFS('capacity data'!$G:$G,'capacity data'!$E:$E,"PSO",'capacity data'!$B:$B,'cluster capacity, unallocateds'!B22),"")</f>
        <v/>
      </c>
      <c r="E22" s="79" t="str">
        <f>IFERROR(SUM((SUMIFS('capacity data'!$G:$G,'capacity data'!$E:$E,"TPO",'capacity data'!$B:$B,'cluster capacity, unallocateds'!B22))-SUMIFS('capacity data'!$H:$H,'capacity data'!$E:$E,"TPO",'capacity data'!$B:$B,'cluster capacity, unallocateds'!B22))/SUMIFS('capacity data'!$G:$G,'capacity data'!$E:$E,"TPO",'capacity data'!$B:$B,'cluster capacity, unallocateds'!B22),"")</f>
        <v/>
      </c>
      <c r="F22" s="173"/>
      <c r="G22" s="236" t="str">
        <f>IFERROR(SUMIFS('capacity data'!$L:$L,'capacity data'!$B:$B,B22,'capacity data'!$E:$E,"PSO")/SUM((SUMIFS('capacity data'!$G:$G,'capacity data'!$E:$E,"PSO",'capacity data'!$B:$B,B22))-SUMIFS('capacity data'!$H:$H,'capacity data'!$E:$E,"PSO",'capacity data'!$B:$B,B22)),"")</f>
        <v/>
      </c>
      <c r="H22" s="236" t="str">
        <f>IFERROR(SUMIFS('capacity data'!$L:$L,'capacity data'!$B:$B,B22,'capacity data'!$E:$E,"PSO")/SUMIFS('capacity data'!$G:$G,'capacity data'!$E:$E,"PSO",'capacity data'!$B:$B,B22),"")</f>
        <v/>
      </c>
      <c r="I22" s="173"/>
      <c r="J22" s="78" t="str">
        <f>IFERROR(SUMIFS('capacity data'!$L:$L,'capacity data'!$B:$B,B22,'capacity data'!$E:$E,"TPO")/SUM((SUMIFS('capacity data'!$G:$G,'capacity data'!$E:$E,"TPO",'capacity data'!$B:$B,B22))-SUMIFS('capacity data'!$H:$H,'capacity data'!$E:$E,"TPO",'capacity data'!$B:$B,B22)),"")</f>
        <v/>
      </c>
      <c r="K22" s="78" t="str">
        <f>IFERROR(SUMIFS('capacity data'!$L:$L,'capacity data'!$B:$B,B22,'capacity data'!$E:$E,"TPO")/SUMIFS('capacity data'!$G:$G,'capacity data'!$E:$E,"TPO",'capacity data'!$B:$B,B22),"")</f>
        <v/>
      </c>
    </row>
    <row r="23" spans="1:11" ht="16" customHeight="1" x14ac:dyDescent="0.2">
      <c r="A23" s="13" t="s">
        <v>27</v>
      </c>
      <c r="B23" s="74" t="str">
        <f>HLOOKUP($B$4,Region_Table,17,0)</f>
        <v>Inactive Level 2(N07)</v>
      </c>
      <c r="C23" s="79" t="str">
        <f>IFERROR(SUM((SUMIFS('capacity data'!$G:$G,'capacity data'!$E:$E,"PO",'capacity data'!$B:$B,'cluster capacity, unallocateds'!B23))-SUMIFS('capacity data'!$H:$H,'capacity data'!$E:$E,"PO",'capacity data'!$B:$B,'cluster capacity, unallocateds'!B23))/SUMIFS('capacity data'!$G:$G,'capacity data'!$E:$E,"PO",'capacity data'!$B:$B,'cluster capacity, unallocateds'!B23),"")</f>
        <v/>
      </c>
      <c r="D23" s="79" t="str">
        <f>IFERROR(SUM((SUMIFS('capacity data'!$G:$G,'capacity data'!$E:$E,"PSO",'capacity data'!$B:$B,'cluster capacity, unallocateds'!B23))-SUMIFS('capacity data'!$H:$H,'capacity data'!$E:$E,"PSO",'capacity data'!$B:$B,'cluster capacity, unallocateds'!B23))/SUMIFS('capacity data'!$G:$G,'capacity data'!$E:$E,"PSO",'capacity data'!$B:$B,'cluster capacity, unallocateds'!B23),"")</f>
        <v/>
      </c>
      <c r="E23" s="79" t="str">
        <f>IFERROR(SUM((SUMIFS('capacity data'!$G:$G,'capacity data'!$E:$E,"TPO",'capacity data'!$B:$B,'cluster capacity, unallocateds'!B23))-SUMIFS('capacity data'!$H:$H,'capacity data'!$E:$E,"TPO",'capacity data'!$B:$B,'cluster capacity, unallocateds'!B23))/SUMIFS('capacity data'!$G:$G,'capacity data'!$E:$E,"TPO",'capacity data'!$B:$B,'cluster capacity, unallocateds'!B23),"")</f>
        <v/>
      </c>
      <c r="F23" s="173"/>
      <c r="G23" s="236" t="str">
        <f>IFERROR(SUMIFS('capacity data'!$L:$L,'capacity data'!$B:$B,B23,'capacity data'!$E:$E,"PSO")/SUM((SUMIFS('capacity data'!$G:$G,'capacity data'!$E:$E,"PSO",'capacity data'!$B:$B,B23))-SUMIFS('capacity data'!$H:$H,'capacity data'!$E:$E,"PSO",'capacity data'!$B:$B,B23)),"")</f>
        <v/>
      </c>
      <c r="H23" s="236" t="str">
        <f>IFERROR(SUMIFS('capacity data'!$L:$L,'capacity data'!$B:$B,B23,'capacity data'!$E:$E,"PSO")/SUMIFS('capacity data'!$G:$G,'capacity data'!$E:$E,"PSO",'capacity data'!$B:$B,B23),"")</f>
        <v/>
      </c>
      <c r="I23" s="173"/>
      <c r="J23" s="78" t="str">
        <f>IFERROR(SUMIFS('capacity data'!$L:$L,'capacity data'!$B:$B,B23,'capacity data'!$E:$E,"TPO")/SUM((SUMIFS('capacity data'!$G:$G,'capacity data'!$E:$E,"TPO",'capacity data'!$B:$B,B23))-SUMIFS('capacity data'!$H:$H,'capacity data'!$E:$E,"TPO",'capacity data'!$B:$B,B23)),"")</f>
        <v/>
      </c>
      <c r="K23" s="78" t="str">
        <f>IFERROR(SUMIFS('capacity data'!$L:$L,'capacity data'!$B:$B,B23,'capacity data'!$E:$E,"TPO")/SUMIFS('capacity data'!$G:$G,'capacity data'!$E:$E,"TPO",'capacity data'!$B:$B,B23),"")</f>
        <v/>
      </c>
    </row>
    <row r="24" spans="1:11" ht="16" x14ac:dyDescent="0.2">
      <c r="A24" s="246"/>
      <c r="B24" s="74" t="str">
        <f>HLOOKUP($B$4,Region_Table,18,0)</f>
        <v>Kingston, Richmond and Hounslow</v>
      </c>
      <c r="C24" s="79" t="str">
        <f>IFERROR(SUM((SUMIFS('capacity data'!$G:$G,'capacity data'!$E:$E,"PO",'capacity data'!$B:$B,'cluster capacity, unallocateds'!B24))-SUMIFS('capacity data'!$H:$H,'capacity data'!$E:$E,"PO",'capacity data'!$B:$B,'cluster capacity, unallocateds'!B24))/SUMIFS('capacity data'!$G:$G,'capacity data'!$E:$E,"PO",'capacity data'!$B:$B,'cluster capacity, unallocateds'!B24),"")</f>
        <v/>
      </c>
      <c r="D24" s="79" t="str">
        <f>IFERROR(SUM((SUMIFS('capacity data'!$G:$G,'capacity data'!$E:$E,"PSO",'capacity data'!$B:$B,'cluster capacity, unallocateds'!B24))-SUMIFS('capacity data'!$H:$H,'capacity data'!$E:$E,"PSO",'capacity data'!$B:$B,'cluster capacity, unallocateds'!B24))/SUMIFS('capacity data'!$G:$G,'capacity data'!$E:$E,"PSO",'capacity data'!$B:$B,'cluster capacity, unallocateds'!B24),"")</f>
        <v/>
      </c>
      <c r="E24" s="79" t="str">
        <f>IFERROR(SUM((SUMIFS('capacity data'!$G:$G,'capacity data'!$E:$E,"TPO",'capacity data'!$B:$B,'cluster capacity, unallocateds'!B24))-SUMIFS('capacity data'!$H:$H,'capacity data'!$E:$E,"TPO",'capacity data'!$B:$B,'cluster capacity, unallocateds'!B24))/SUMIFS('capacity data'!$G:$G,'capacity data'!$E:$E,"TPO",'capacity data'!$B:$B,'cluster capacity, unallocateds'!B24),"")</f>
        <v/>
      </c>
      <c r="F24" s="173"/>
      <c r="G24" s="236" t="str">
        <f>IFERROR(SUMIFS('capacity data'!$L:$L,'capacity data'!$B:$B,B24,'capacity data'!$E:$E,"PSO")/SUM((SUMIFS('capacity data'!$G:$G,'capacity data'!$E:$E,"PSO",'capacity data'!$B:$B,B24))-SUMIFS('capacity data'!$H:$H,'capacity data'!$E:$E,"PSO",'capacity data'!$B:$B,B24)),"")</f>
        <v/>
      </c>
      <c r="H24" s="236" t="str">
        <f>IFERROR(SUMIFS('capacity data'!$L:$L,'capacity data'!$B:$B,B24,'capacity data'!$E:$E,"PSO")/SUMIFS('capacity data'!$G:$G,'capacity data'!$E:$E,"PSO",'capacity data'!$B:$B,B24),"")</f>
        <v/>
      </c>
      <c r="I24" s="173"/>
      <c r="J24" s="78" t="str">
        <f>IFERROR(SUMIFS('capacity data'!$L:$L,'capacity data'!$B:$B,B24,'capacity data'!$E:$E,"TPO")/SUM((SUMIFS('capacity data'!$G:$G,'capacity data'!$E:$E,"TPO",'capacity data'!$B:$B,B24))-SUMIFS('capacity data'!$H:$H,'capacity data'!$E:$E,"TPO",'capacity data'!$B:$B,B24)),"")</f>
        <v/>
      </c>
      <c r="K24" s="78" t="str">
        <f>IFERROR(SUMIFS('capacity data'!$L:$L,'capacity data'!$B:$B,B24,'capacity data'!$E:$E,"TPO")/SUMIFS('capacity data'!$G:$G,'capacity data'!$E:$E,"TPO",'capacity data'!$B:$B,B24),"")</f>
        <v/>
      </c>
    </row>
    <row r="25" spans="1:11" ht="16" x14ac:dyDescent="0.2">
      <c r="A25" s="246"/>
      <c r="B25" s="74" t="str">
        <f>HLOOKUP($B$4,Region_Table,19,0)</f>
        <v>Lambeth - N07</v>
      </c>
      <c r="C25" s="79" t="str">
        <f>IFERROR(SUM((SUMIFS('capacity data'!$G:$G,'capacity data'!$E:$E,"PO",'capacity data'!$B:$B,'cluster capacity, unallocateds'!B25))-SUMIFS('capacity data'!$H:$H,'capacity data'!$E:$E,"PO",'capacity data'!$B:$B,'cluster capacity, unallocateds'!B25))/SUMIFS('capacity data'!$G:$G,'capacity data'!$E:$E,"PO",'capacity data'!$B:$B,'cluster capacity, unallocateds'!B25),"")</f>
        <v/>
      </c>
      <c r="D25" s="79" t="str">
        <f>IFERROR(SUM((SUMIFS('capacity data'!$G:$G,'capacity data'!$E:$E,"PSO",'capacity data'!$B:$B,'cluster capacity, unallocateds'!B25))-SUMIFS('capacity data'!$H:$H,'capacity data'!$E:$E,"PSO",'capacity data'!$B:$B,'cluster capacity, unallocateds'!B25))/SUMIFS('capacity data'!$G:$G,'capacity data'!$E:$E,"PSO",'capacity data'!$B:$B,'cluster capacity, unallocateds'!B25),"")</f>
        <v/>
      </c>
      <c r="E25" s="79" t="str">
        <f>IFERROR(SUM((SUMIFS('capacity data'!$G:$G,'capacity data'!$E:$E,"TPO",'capacity data'!$B:$B,'cluster capacity, unallocateds'!B25))-SUMIFS('capacity data'!$H:$H,'capacity data'!$E:$E,"TPO",'capacity data'!$B:$B,'cluster capacity, unallocateds'!B25))/SUMIFS('capacity data'!$G:$G,'capacity data'!$E:$E,"TPO",'capacity data'!$B:$B,'cluster capacity, unallocateds'!B25),"")</f>
        <v/>
      </c>
      <c r="F25" s="173"/>
      <c r="G25" s="236" t="str">
        <f>IFERROR(SUMIFS('capacity data'!$L:$L,'capacity data'!$B:$B,B25,'capacity data'!$E:$E,"PSO")/SUM((SUMIFS('capacity data'!$G:$G,'capacity data'!$E:$E,"PSO",'capacity data'!$B:$B,B25))-SUMIFS('capacity data'!$H:$H,'capacity data'!$E:$E,"PSO",'capacity data'!$B:$B,B25)),"")</f>
        <v/>
      </c>
      <c r="H25" s="236" t="str">
        <f>IFERROR(SUMIFS('capacity data'!$L:$L,'capacity data'!$B:$B,B25,'capacity data'!$E:$E,"PSO")/SUMIFS('capacity data'!$G:$G,'capacity data'!$E:$E,"PSO",'capacity data'!$B:$B,B25),"")</f>
        <v/>
      </c>
      <c r="I25" s="173"/>
      <c r="J25" s="78" t="str">
        <f>IFERROR(SUMIFS('capacity data'!$L:$L,'capacity data'!$B:$B,B25,'capacity data'!$E:$E,"TPO")/SUM((SUMIFS('capacity data'!$G:$G,'capacity data'!$E:$E,"TPO",'capacity data'!$B:$B,B25))-SUMIFS('capacity data'!$H:$H,'capacity data'!$E:$E,"TPO",'capacity data'!$B:$B,B25)),"")</f>
        <v/>
      </c>
      <c r="K25" s="78" t="str">
        <f>IFERROR(SUMIFS('capacity data'!$L:$L,'capacity data'!$B:$B,B25,'capacity data'!$E:$E,"TPO")/SUMIFS('capacity data'!$G:$G,'capacity data'!$E:$E,"TPO",'capacity data'!$B:$B,B25),"")</f>
        <v/>
      </c>
    </row>
    <row r="26" spans="1:11" ht="16" x14ac:dyDescent="0.2">
      <c r="A26" s="246"/>
      <c r="B26" s="74" t="str">
        <f>HLOOKUP($B$4,Region_Table,20,0)</f>
        <v>Lewisham and Bromley</v>
      </c>
      <c r="C26" s="79" t="str">
        <f>IFERROR(SUM((SUMIFS('capacity data'!$G:$G,'capacity data'!$E:$E,"PO",'capacity data'!$B:$B,'cluster capacity, unallocateds'!B26))-SUMIFS('capacity data'!$H:$H,'capacity data'!$E:$E,"PO",'capacity data'!$B:$B,'cluster capacity, unallocateds'!B26))/SUMIFS('capacity data'!$G:$G,'capacity data'!$E:$E,"PO",'capacity data'!$B:$B,'cluster capacity, unallocateds'!B26),"")</f>
        <v/>
      </c>
      <c r="D26" s="79" t="str">
        <f>IFERROR(SUM((SUMIFS('capacity data'!$G:$G,'capacity data'!$E:$E,"PSO",'capacity data'!$B:$B,'cluster capacity, unallocateds'!B26))-SUMIFS('capacity data'!$H:$H,'capacity data'!$E:$E,"PSO",'capacity data'!$B:$B,'cluster capacity, unallocateds'!B26))/SUMIFS('capacity data'!$G:$G,'capacity data'!$E:$E,"PSO",'capacity data'!$B:$B,'cluster capacity, unallocateds'!B26),"")</f>
        <v/>
      </c>
      <c r="E26" s="79" t="str">
        <f>IFERROR(SUM((SUMIFS('capacity data'!$G:$G,'capacity data'!$E:$E,"TPO",'capacity data'!$B:$B,'cluster capacity, unallocateds'!B26))-SUMIFS('capacity data'!$H:$H,'capacity data'!$E:$E,"TPO",'capacity data'!$B:$B,'cluster capacity, unallocateds'!B26))/SUMIFS('capacity data'!$G:$G,'capacity data'!$E:$E,"TPO",'capacity data'!$B:$B,'cluster capacity, unallocateds'!B26),"")</f>
        <v/>
      </c>
      <c r="F26" s="173"/>
      <c r="G26" s="236" t="str">
        <f>IFERROR(SUMIFS('capacity data'!$L:$L,'capacity data'!$B:$B,B26,'capacity data'!$E:$E,"PSO")/SUM((SUMIFS('capacity data'!$G:$G,'capacity data'!$E:$E,"PSO",'capacity data'!$B:$B,B26))-SUMIFS('capacity data'!$H:$H,'capacity data'!$E:$E,"PSO",'capacity data'!$B:$B,B26)),"")</f>
        <v/>
      </c>
      <c r="H26" s="236" t="str">
        <f>IFERROR(SUMIFS('capacity data'!$L:$L,'capacity data'!$B:$B,B26,'capacity data'!$E:$E,"PSO")/SUMIFS('capacity data'!$G:$G,'capacity data'!$E:$E,"PSO",'capacity data'!$B:$B,B26),"")</f>
        <v/>
      </c>
      <c r="I26" s="173"/>
      <c r="J26" s="78" t="str">
        <f>IFERROR(SUMIFS('capacity data'!$L:$L,'capacity data'!$B:$B,B26,'capacity data'!$E:$E,"TPO")/SUM((SUMIFS('capacity data'!$G:$G,'capacity data'!$E:$E,"TPO",'capacity data'!$B:$B,B26))-SUMIFS('capacity data'!$H:$H,'capacity data'!$E:$E,"TPO",'capacity data'!$B:$B,B26)),"")</f>
        <v/>
      </c>
      <c r="K26" s="78" t="str">
        <f>IFERROR(SUMIFS('capacity data'!$L:$L,'capacity data'!$B:$B,B26,'capacity data'!$E:$E,"TPO")/SUMIFS('capacity data'!$G:$G,'capacity data'!$E:$E,"TPO",'capacity data'!$B:$B,B26),"")</f>
        <v/>
      </c>
    </row>
    <row r="27" spans="1:11" ht="16" x14ac:dyDescent="0.2">
      <c r="A27" s="246"/>
      <c r="B27" s="74" t="str">
        <f>HLOOKUP($B$4,Region_Table,21,0)</f>
        <v>Newham - N07</v>
      </c>
      <c r="C27" s="79" t="str">
        <f>IFERROR(SUM((SUMIFS('capacity data'!$G:$G,'capacity data'!$E:$E,"PO",'capacity data'!$B:$B,'cluster capacity, unallocateds'!B27))-SUMIFS('capacity data'!$H:$H,'capacity data'!$E:$E,"PO",'capacity data'!$B:$B,'cluster capacity, unallocateds'!B27))/SUMIFS('capacity data'!$G:$G,'capacity data'!$E:$E,"PO",'capacity data'!$B:$B,'cluster capacity, unallocateds'!B27),"")</f>
        <v/>
      </c>
      <c r="D27" s="79" t="str">
        <f>IFERROR(SUM((SUMIFS('capacity data'!$G:$G,'capacity data'!$E:$E,"PSO",'capacity data'!$B:$B,'cluster capacity, unallocateds'!B27))-SUMIFS('capacity data'!$H:$H,'capacity data'!$E:$E,"PSO",'capacity data'!$B:$B,'cluster capacity, unallocateds'!B27))/SUMIFS('capacity data'!$G:$G,'capacity data'!$E:$E,"PSO",'capacity data'!$B:$B,'cluster capacity, unallocateds'!B27),"")</f>
        <v/>
      </c>
      <c r="E27" s="79" t="str">
        <f>IFERROR(SUM((SUMIFS('capacity data'!$G:$G,'capacity data'!$E:$E,"TPO",'capacity data'!$B:$B,'cluster capacity, unallocateds'!B27))-SUMIFS('capacity data'!$H:$H,'capacity data'!$E:$E,"TPO",'capacity data'!$B:$B,'cluster capacity, unallocateds'!B27))/SUMIFS('capacity data'!$G:$G,'capacity data'!$E:$E,"TPO",'capacity data'!$B:$B,'cluster capacity, unallocateds'!B27),"")</f>
        <v/>
      </c>
      <c r="F27" s="173"/>
      <c r="G27" s="258" t="str">
        <f>IFERROR(SUMIFS('capacity data'!$L:$L,'capacity data'!$B:$B,B27,'capacity data'!$E:$E,"PSO")/SUM((SUMIFS('capacity data'!$G:$G,'capacity data'!$E:$E,"PSO",'capacity data'!$B:$B,B27))-SUMIFS('capacity data'!$H:$H,'capacity data'!$E:$E,"PSO",'capacity data'!$B:$B,B27)),"")</f>
        <v/>
      </c>
      <c r="H27" s="258" t="str">
        <f>IFERROR(SUMIFS('capacity data'!$L:$L,'capacity data'!$B:$B,B27,'capacity data'!$E:$E,"PSO")/SUMIFS('capacity data'!$G:$G,'capacity data'!$E:$E,"PSO",'capacity data'!$B:$B,B27),"")</f>
        <v/>
      </c>
      <c r="I27" s="173"/>
      <c r="J27" s="78" t="str">
        <f>IFERROR(SUMIFS('capacity data'!$L:$L,'capacity data'!$B:$B,B27,'capacity data'!$E:$E,"TPO")/SUM((SUMIFS('capacity data'!$G:$G,'capacity data'!$E:$E,"TPO",'capacity data'!$B:$B,B27))-SUMIFS('capacity data'!$H:$H,'capacity data'!$E:$E,"TPO",'capacity data'!$B:$B,B27)),"")</f>
        <v/>
      </c>
      <c r="K27" s="78" t="str">
        <f>IFERROR(SUMIFS('capacity data'!$L:$L,'capacity data'!$B:$B,B27,'capacity data'!$E:$E,"TPO")/SUMIFS('capacity data'!$G:$G,'capacity data'!$E:$E,"TPO",'capacity data'!$B:$B,B27),"")</f>
        <v/>
      </c>
    </row>
    <row r="28" spans="1:11" ht="16" x14ac:dyDescent="0.2">
      <c r="A28" s="246"/>
      <c r="B28" s="74" t="str">
        <f>HLOOKUP($B$4,Region_Table,22,0)</f>
        <v>Public Protection Community - N07</v>
      </c>
      <c r="C28" s="79" t="str">
        <f>IFERROR(SUM((SUMIFS('capacity data'!$G:$G,'capacity data'!$E:$E,"PO",'capacity data'!$B:$B,'cluster capacity, unallocateds'!B28))-SUMIFS('capacity data'!$H:$H,'capacity data'!$E:$E,"PO",'capacity data'!$B:$B,'cluster capacity, unallocateds'!B28))/SUMIFS('capacity data'!$G:$G,'capacity data'!$E:$E,"PO",'capacity data'!$B:$B,'cluster capacity, unallocateds'!B28),"")</f>
        <v/>
      </c>
      <c r="D28" s="79" t="str">
        <f>IFERROR(SUM((SUMIFS('capacity data'!$G:$G,'capacity data'!$E:$E,"PSO",'capacity data'!$B:$B,'cluster capacity, unallocateds'!B28))-SUMIFS('capacity data'!$H:$H,'capacity data'!$E:$E,"PSO",'capacity data'!$B:$B,'cluster capacity, unallocateds'!B28))/SUMIFS('capacity data'!$G:$G,'capacity data'!$E:$E,"PSO",'capacity data'!$B:$B,'cluster capacity, unallocateds'!B28),"")</f>
        <v/>
      </c>
      <c r="E28" s="79" t="str">
        <f>IFERROR(SUM((SUMIFS('capacity data'!$G:$G,'capacity data'!$E:$E,"TPO",'capacity data'!$B:$B,'cluster capacity, unallocateds'!B28))-SUMIFS('capacity data'!$H:$H,'capacity data'!$E:$E,"TPO",'capacity data'!$B:$B,'cluster capacity, unallocateds'!B28))/SUMIFS('capacity data'!$G:$G,'capacity data'!$E:$E,"TPO",'capacity data'!$B:$B,'cluster capacity, unallocateds'!B28),"")</f>
        <v/>
      </c>
      <c r="F28" s="173"/>
      <c r="G28" s="258" t="str">
        <f>IFERROR(SUMIFS('capacity data'!$L:$L,'capacity data'!$B:$B,B28,'capacity data'!$E:$E,"PSO")/SUM((SUMIFS('capacity data'!$G:$G,'capacity data'!$E:$E,"PSO",'capacity data'!$B:$B,B28))-SUMIFS('capacity data'!$H:$H,'capacity data'!$E:$E,"PSO",'capacity data'!$B:$B,B28)),"")</f>
        <v/>
      </c>
      <c r="H28" s="258" t="str">
        <f>IFERROR(SUMIFS('capacity data'!$L:$L,'capacity data'!$B:$B,B28,'capacity data'!$E:$E,"PSO")/SUMIFS('capacity data'!$G:$G,'capacity data'!$E:$E,"PSO",'capacity data'!$B:$B,B28),"")</f>
        <v/>
      </c>
      <c r="I28" s="173"/>
      <c r="J28" s="78" t="str">
        <f>IFERROR(SUMIFS('capacity data'!$L:$L,'capacity data'!$B:$B,B28,'capacity data'!$E:$E,"TPO")/SUM((SUMIFS('capacity data'!$G:$G,'capacity data'!$E:$E,"TPO",'capacity data'!$B:$B,B28))-SUMIFS('capacity data'!$H:$H,'capacity data'!$E:$E,"TPO",'capacity data'!$B:$B,B28)),"")</f>
        <v/>
      </c>
      <c r="K28" s="78" t="str">
        <f>IFERROR(SUMIFS('capacity data'!$L:$L,'capacity data'!$B:$B,B28,'capacity data'!$E:$E,"TPO")/SUMIFS('capacity data'!$G:$G,'capacity data'!$E:$E,"TPO",'capacity data'!$B:$B,B28),"")</f>
        <v/>
      </c>
    </row>
    <row r="29" spans="1:11" ht="16" x14ac:dyDescent="0.2">
      <c r="A29" s="246"/>
      <c r="B29" s="74" t="str">
        <f>HLOOKUP($B$4,Region_Table,23,0)</f>
        <v>Public Protection London</v>
      </c>
      <c r="C29" s="79" t="str">
        <f>IFERROR(SUM((SUMIFS('capacity data'!$G:$G,'capacity data'!$E:$E,"PO",'capacity data'!$B:$B,'cluster capacity, unallocateds'!B29))-SUMIFS('capacity data'!$H:$H,'capacity data'!$E:$E,"PO",'capacity data'!$B:$B,'cluster capacity, unallocateds'!B29))/SUMIFS('capacity data'!$G:$G,'capacity data'!$E:$E,"PO",'capacity data'!$B:$B,'cluster capacity, unallocateds'!B29),"")</f>
        <v/>
      </c>
      <c r="D29" s="79" t="str">
        <f>IFERROR(SUM((SUMIFS('capacity data'!$G:$G,'capacity data'!$E:$E,"PSO",'capacity data'!$B:$B,'cluster capacity, unallocateds'!B29))-SUMIFS('capacity data'!$H:$H,'capacity data'!$E:$E,"PSO",'capacity data'!$B:$B,'cluster capacity, unallocateds'!B29))/SUMIFS('capacity data'!$G:$G,'capacity data'!$E:$E,"PSO",'capacity data'!$B:$B,'cluster capacity, unallocateds'!B29),"")</f>
        <v/>
      </c>
      <c r="E29" s="79" t="str">
        <f>IFERROR(SUM((SUMIFS('capacity data'!$G:$G,'capacity data'!$E:$E,"TPO",'capacity data'!$B:$B,'cluster capacity, unallocateds'!B29))-SUMIFS('capacity data'!$H:$H,'capacity data'!$E:$E,"TPO",'capacity data'!$B:$B,'cluster capacity, unallocateds'!B29))/SUMIFS('capacity data'!$G:$G,'capacity data'!$E:$E,"TPO",'capacity data'!$B:$B,'cluster capacity, unallocateds'!B29),"")</f>
        <v/>
      </c>
      <c r="F29" s="173"/>
      <c r="G29" s="258" t="str">
        <f>IFERROR(SUMIFS('capacity data'!$L:$L,'capacity data'!$B:$B,B29,'capacity data'!$E:$E,"PSO")/SUM((SUMIFS('capacity data'!$G:$G,'capacity data'!$E:$E,"PSO",'capacity data'!$B:$B,B29))-SUMIFS('capacity data'!$H:$H,'capacity data'!$E:$E,"PSO",'capacity data'!$B:$B,B29)),"")</f>
        <v/>
      </c>
      <c r="H29" s="258" t="str">
        <f>IFERROR(SUMIFS('capacity data'!$L:$L,'capacity data'!$B:$B,B29,'capacity data'!$E:$E,"PSO")/SUMIFS('capacity data'!$G:$G,'capacity data'!$E:$E,"PSO",'capacity data'!$B:$B,B29),"")</f>
        <v/>
      </c>
      <c r="I29" s="173"/>
      <c r="J29" s="78" t="str">
        <f>IFERROR(SUMIFS('capacity data'!$L:$L,'capacity data'!$B:$B,B29,'capacity data'!$E:$E,"TPO")/SUM((SUMIFS('capacity data'!$G:$G,'capacity data'!$E:$E,"TPO",'capacity data'!$B:$B,B29))-SUMIFS('capacity data'!$H:$H,'capacity data'!$E:$E,"TPO",'capacity data'!$B:$B,B29)),"")</f>
        <v/>
      </c>
      <c r="K29" s="78" t="str">
        <f>IFERROR(SUMIFS('capacity data'!$L:$L,'capacity data'!$B:$B,B29,'capacity data'!$E:$E,"TPO")/SUMIFS('capacity data'!$G:$G,'capacity data'!$E:$E,"TPO",'capacity data'!$B:$B,B29),"")</f>
        <v/>
      </c>
    </row>
    <row r="30" spans="1:11" ht="16" x14ac:dyDescent="0.2">
      <c r="A30" s="246"/>
      <c r="B30" s="74" t="str">
        <f>HLOOKUP($B$4,Region_Table,24,0)</f>
        <v>Redbridge and Waltham Forest</v>
      </c>
      <c r="C30" s="79" t="str">
        <f>IFERROR(SUM((SUMIFS('capacity data'!$G:$G,'capacity data'!$E:$E,"PO",'capacity data'!$B:$B,'cluster capacity, unallocateds'!B30))-SUMIFS('capacity data'!$H:$H,'capacity data'!$E:$E,"PO",'capacity data'!$B:$B,'cluster capacity, unallocateds'!B30))/SUMIFS('capacity data'!$G:$G,'capacity data'!$E:$E,"PO",'capacity data'!$B:$B,'cluster capacity, unallocateds'!B30),"")</f>
        <v/>
      </c>
      <c r="D30" s="79" t="str">
        <f>IFERROR(SUM((SUMIFS('capacity data'!$G:$G,'capacity data'!$E:$E,"PSO",'capacity data'!$B:$B,'cluster capacity, unallocateds'!B30))-SUMIFS('capacity data'!$H:$H,'capacity data'!$E:$E,"PSO",'capacity data'!$B:$B,'cluster capacity, unallocateds'!B30))/SUMIFS('capacity data'!$G:$G,'capacity data'!$E:$E,"PSO",'capacity data'!$B:$B,'cluster capacity, unallocateds'!B30),"")</f>
        <v/>
      </c>
      <c r="E30" s="79" t="str">
        <f>IFERROR(SUM((SUMIFS('capacity data'!$G:$G,'capacity data'!$E:$E,"TPO",'capacity data'!$B:$B,'cluster capacity, unallocateds'!B30))-SUMIFS('capacity data'!$H:$H,'capacity data'!$E:$E,"TPO",'capacity data'!$B:$B,'cluster capacity, unallocateds'!B30))/SUMIFS('capacity data'!$G:$G,'capacity data'!$E:$E,"TPO",'capacity data'!$B:$B,'cluster capacity, unallocateds'!B30),"")</f>
        <v/>
      </c>
      <c r="F30" s="173"/>
      <c r="G30" s="258" t="str">
        <f>IFERROR(SUMIFS('capacity data'!$L:$L,'capacity data'!$B:$B,B30,'capacity data'!$E:$E,"PSO")/SUM((SUMIFS('capacity data'!$G:$G,'capacity data'!$E:$E,"PSO",'capacity data'!$B:$B,B30))-SUMIFS('capacity data'!$H:$H,'capacity data'!$E:$E,"PSO",'capacity data'!$B:$B,B30)),"")</f>
        <v/>
      </c>
      <c r="H30" s="258" t="str">
        <f>IFERROR(SUMIFS('capacity data'!$L:$L,'capacity data'!$B:$B,B30,'capacity data'!$E:$E,"PSO")/SUMIFS('capacity data'!$G:$G,'capacity data'!$E:$E,"PSO",'capacity data'!$B:$B,B30),"")</f>
        <v/>
      </c>
      <c r="I30" s="173"/>
      <c r="J30" s="78" t="str">
        <f>IFERROR(SUMIFS('capacity data'!$L:$L,'capacity data'!$B:$B,B30,'capacity data'!$E:$E,"TPO")/SUM((SUMIFS('capacity data'!$G:$G,'capacity data'!$E:$E,"TPO",'capacity data'!$B:$B,B30))-SUMIFS('capacity data'!$H:$H,'capacity data'!$E:$E,"TPO",'capacity data'!$B:$B,B30)),"")</f>
        <v/>
      </c>
      <c r="K30" s="78" t="str">
        <f>IFERROR(SUMIFS('capacity data'!$L:$L,'capacity data'!$B:$B,B30,'capacity data'!$E:$E,"TPO")/SUMIFS('capacity data'!$G:$G,'capacity data'!$E:$E,"TPO",'capacity data'!$B:$B,B30),"")</f>
        <v/>
      </c>
    </row>
    <row r="31" spans="1:11" ht="16" x14ac:dyDescent="0.2">
      <c r="A31" s="246"/>
      <c r="B31" s="74" t="str">
        <f>HLOOKUP($B$4,Region_Table,25,0)</f>
        <v>Southwark - N07</v>
      </c>
      <c r="C31" s="79" t="str">
        <f>IFERROR(SUM((SUMIFS('capacity data'!$G:$G,'capacity data'!$E:$E,"PO",'capacity data'!$B:$B,'cluster capacity, unallocateds'!B31))-SUMIFS('capacity data'!$H:$H,'capacity data'!$E:$E,"PO",'capacity data'!$B:$B,'cluster capacity, unallocateds'!B31))/SUMIFS('capacity data'!$G:$G,'capacity data'!$E:$E,"PO",'capacity data'!$B:$B,'cluster capacity, unallocateds'!B31),"")</f>
        <v/>
      </c>
      <c r="D31" s="79" t="str">
        <f>IFERROR(SUM((SUMIFS('capacity data'!$G:$G,'capacity data'!$E:$E,"PSO",'capacity data'!$B:$B,'cluster capacity, unallocateds'!B31))-SUMIFS('capacity data'!$H:$H,'capacity data'!$E:$E,"PSO",'capacity data'!$B:$B,'cluster capacity, unallocateds'!B31))/SUMIFS('capacity data'!$G:$G,'capacity data'!$E:$E,"PSO",'capacity data'!$B:$B,'cluster capacity, unallocateds'!B31),"")</f>
        <v/>
      </c>
      <c r="E31" s="79" t="str">
        <f>IFERROR(SUM((SUMIFS('capacity data'!$G:$G,'capacity data'!$E:$E,"TPO",'capacity data'!$B:$B,'cluster capacity, unallocateds'!B31))-SUMIFS('capacity data'!$H:$H,'capacity data'!$E:$E,"TPO",'capacity data'!$B:$B,'cluster capacity, unallocateds'!B31))/SUMIFS('capacity data'!$G:$G,'capacity data'!$E:$E,"TPO",'capacity data'!$B:$B,'cluster capacity, unallocateds'!B31),"")</f>
        <v/>
      </c>
      <c r="F31" s="173"/>
      <c r="G31" s="258" t="str">
        <f>IFERROR(SUMIFS('capacity data'!$L:$L,'capacity data'!$B:$B,B31,'capacity data'!$E:$E,"PSO")/SUM((SUMIFS('capacity data'!$G:$G,'capacity data'!$E:$E,"PSO",'capacity data'!$B:$B,B31))-SUMIFS('capacity data'!$H:$H,'capacity data'!$E:$E,"PSO",'capacity data'!$B:$B,B31)),"")</f>
        <v/>
      </c>
      <c r="H31" s="258" t="str">
        <f>IFERROR(SUMIFS('capacity data'!$L:$L,'capacity data'!$B:$B,B31,'capacity data'!$E:$E,"PSO")/SUMIFS('capacity data'!$G:$G,'capacity data'!$E:$E,"PSO",'capacity data'!$B:$B,B31),"")</f>
        <v/>
      </c>
      <c r="I31" s="173"/>
      <c r="J31" s="78" t="str">
        <f>IFERROR(SUMIFS('capacity data'!$L:$L,'capacity data'!$B:$B,B31,'capacity data'!$E:$E,"TPO")/SUM((SUMIFS('capacity data'!$G:$G,'capacity data'!$E:$E,"TPO",'capacity data'!$B:$B,B31))-SUMIFS('capacity data'!$H:$H,'capacity data'!$E:$E,"TPO",'capacity data'!$B:$B,B31)),"")</f>
        <v/>
      </c>
      <c r="K31" s="78" t="str">
        <f>IFERROR(SUMIFS('capacity data'!$L:$L,'capacity data'!$B:$B,B31,'capacity data'!$E:$E,"TPO")/SUMIFS('capacity data'!$G:$G,'capacity data'!$E:$E,"TPO",'capacity data'!$B:$B,B31),"")</f>
        <v/>
      </c>
    </row>
    <row r="32" spans="1:11" ht="16" x14ac:dyDescent="0.2">
      <c r="A32" s="246"/>
      <c r="B32" s="74" t="str">
        <f>HLOOKUP($B$4,Region_Table,26,0)</f>
        <v>Tower Hamlets</v>
      </c>
      <c r="C32" s="79" t="str">
        <f>IFERROR(SUM((SUMIFS('capacity data'!$G:$G,'capacity data'!$E:$E,"PO",'capacity data'!$B:$B,'cluster capacity, unallocateds'!B32))-SUMIFS('capacity data'!$H:$H,'capacity data'!$E:$E,"PO",'capacity data'!$B:$B,'cluster capacity, unallocateds'!B32))/SUMIFS('capacity data'!$G:$G,'capacity data'!$E:$E,"PO",'capacity data'!$B:$B,'cluster capacity, unallocateds'!B32),"")</f>
        <v/>
      </c>
      <c r="D32" s="79" t="str">
        <f>IFERROR(SUM((SUMIFS('capacity data'!$G:$G,'capacity data'!$E:$E,"PSO",'capacity data'!$B:$B,'cluster capacity, unallocateds'!B32))-SUMIFS('capacity data'!$H:$H,'capacity data'!$E:$E,"PSO",'capacity data'!$B:$B,'cluster capacity, unallocateds'!B32))/SUMIFS('capacity data'!$G:$G,'capacity data'!$E:$E,"PSO",'capacity data'!$B:$B,'cluster capacity, unallocateds'!B32),"")</f>
        <v/>
      </c>
      <c r="E32" s="79" t="str">
        <f>IFERROR(SUM((SUMIFS('capacity data'!$G:$G,'capacity data'!$E:$E,"TPO",'capacity data'!$B:$B,'cluster capacity, unallocateds'!B32))-SUMIFS('capacity data'!$H:$H,'capacity data'!$E:$E,"TPO",'capacity data'!$B:$B,'cluster capacity, unallocateds'!B32))/SUMIFS('capacity data'!$G:$G,'capacity data'!$E:$E,"TPO",'capacity data'!$B:$B,'cluster capacity, unallocateds'!B32),"")</f>
        <v/>
      </c>
      <c r="F32" s="173"/>
      <c r="G32" s="258" t="str">
        <f>IFERROR(SUMIFS('capacity data'!$L:$L,'capacity data'!$B:$B,B32,'capacity data'!$E:$E,"PSO")/SUM((SUMIFS('capacity data'!$G:$G,'capacity data'!$E:$E,"PSO",'capacity data'!$B:$B,B32))-SUMIFS('capacity data'!$H:$H,'capacity data'!$E:$E,"PSO",'capacity data'!$B:$B,B32)),"")</f>
        <v/>
      </c>
      <c r="H32" s="258" t="str">
        <f>IFERROR(SUMIFS('capacity data'!$L:$L,'capacity data'!$B:$B,B32,'capacity data'!$E:$E,"PSO")/SUMIFS('capacity data'!$G:$G,'capacity data'!$E:$E,"PSO",'capacity data'!$B:$B,B32),"")</f>
        <v/>
      </c>
      <c r="I32" s="173"/>
      <c r="J32" s="78" t="str">
        <f>IFERROR(SUMIFS('capacity data'!$L:$L,'capacity data'!$B:$B,B32,'capacity data'!$E:$E,"TPO")/SUM((SUMIFS('capacity data'!$G:$G,'capacity data'!$E:$E,"TPO",'capacity data'!$B:$B,B32))-SUMIFS('capacity data'!$H:$H,'capacity data'!$E:$E,"TPO",'capacity data'!$B:$B,B32)),"")</f>
        <v/>
      </c>
      <c r="K32" s="78" t="str">
        <f>IFERROR(SUMIFS('capacity data'!$L:$L,'capacity data'!$B:$B,B32,'capacity data'!$E:$E,"TPO")/SUMIFS('capacity data'!$G:$G,'capacity data'!$E:$E,"TPO",'capacity data'!$B:$B,B32),"")</f>
        <v/>
      </c>
    </row>
    <row r="33" spans="1:23" ht="16" x14ac:dyDescent="0.2">
      <c r="A33" s="246"/>
      <c r="B33" s="74" t="str">
        <f>HLOOKUP($B$4,Region_Table,27,0)</f>
        <v>Unpaid Work and Attendance Centres - N07</v>
      </c>
      <c r="C33" s="79" t="str">
        <f>IFERROR(SUM((SUMIFS('capacity data'!$G:$G,'capacity data'!$E:$E,"PO",'capacity data'!$B:$B,'cluster capacity, unallocateds'!B33))-SUMIFS('capacity data'!$H:$H,'capacity data'!$E:$E,"PO",'capacity data'!$B:$B,'cluster capacity, unallocateds'!B33))/SUMIFS('capacity data'!$G:$G,'capacity data'!$E:$E,"PO",'capacity data'!$B:$B,'cluster capacity, unallocateds'!B33),"")</f>
        <v/>
      </c>
      <c r="D33" s="79" t="str">
        <f>IFERROR(SUM((SUMIFS('capacity data'!$G:$G,'capacity data'!$E:$E,"PSO",'capacity data'!$B:$B,'cluster capacity, unallocateds'!B33))-SUMIFS('capacity data'!$H:$H,'capacity data'!$E:$E,"PSO",'capacity data'!$B:$B,'cluster capacity, unallocateds'!B33))/SUMIFS('capacity data'!$G:$G,'capacity data'!$E:$E,"PSO",'capacity data'!$B:$B,'cluster capacity, unallocateds'!B33),"")</f>
        <v/>
      </c>
      <c r="E33" s="79" t="str">
        <f>IFERROR(SUM((SUMIFS('capacity data'!$G:$G,'capacity data'!$E:$E,"TPO",'capacity data'!$B:$B,'cluster capacity, unallocateds'!B33))-SUMIFS('capacity data'!$H:$H,'capacity data'!$E:$E,"TPO",'capacity data'!$B:$B,'cluster capacity, unallocateds'!B33))/SUMIFS('capacity data'!$G:$G,'capacity data'!$E:$E,"TPO",'capacity data'!$B:$B,'cluster capacity, unallocateds'!B33),"")</f>
        <v/>
      </c>
      <c r="F33" s="173"/>
      <c r="G33" s="258" t="str">
        <f>IFERROR(SUMIFS('capacity data'!$L:$L,'capacity data'!$B:$B,B33,'capacity data'!$E:$E,"PSO")/SUM((SUMIFS('capacity data'!$G:$G,'capacity data'!$E:$E,"PSO",'capacity data'!$B:$B,B33))-SUMIFS('capacity data'!$H:$H,'capacity data'!$E:$E,"PSO",'capacity data'!$B:$B,B33)),"")</f>
        <v/>
      </c>
      <c r="H33" s="258" t="str">
        <f>IFERROR(SUMIFS('capacity data'!$L:$L,'capacity data'!$B:$B,B33,'capacity data'!$E:$E,"PSO")/SUMIFS('capacity data'!$G:$G,'capacity data'!$E:$E,"PSO",'capacity data'!$B:$B,B33),"")</f>
        <v/>
      </c>
      <c r="I33" s="173"/>
      <c r="J33" s="78" t="str">
        <f>IFERROR(SUMIFS('capacity data'!$L:$L,'capacity data'!$B:$B,B33,'capacity data'!$E:$E,"TPO")/SUM((SUMIFS('capacity data'!$G:$G,'capacity data'!$E:$E,"TPO",'capacity data'!$B:$B,B33))-SUMIFS('capacity data'!$H:$H,'capacity data'!$E:$E,"TPO",'capacity data'!$B:$B,B33)),"")</f>
        <v/>
      </c>
      <c r="K33" s="78" t="str">
        <f>IFERROR(SUMIFS('capacity data'!$L:$L,'capacity data'!$B:$B,B33,'capacity data'!$E:$E,"TPO")/SUMIFS('capacity data'!$G:$G,'capacity data'!$E:$E,"TPO",'capacity data'!$B:$B,B33),"")</f>
        <v/>
      </c>
    </row>
    <row r="34" spans="1:23" ht="16" x14ac:dyDescent="0.2">
      <c r="A34" s="246"/>
      <c r="B34" s="74" t="str">
        <f>HLOOKUP($B$4,Region_Table,28,0)</f>
        <v>Wandsworth, Merton and Sutton</v>
      </c>
      <c r="C34" s="79" t="str">
        <f>IFERROR(SUM((SUMIFS('capacity data'!$G:$G,'capacity data'!$E:$E,"PO",'capacity data'!$B:$B,'cluster capacity, unallocateds'!B34))-SUMIFS('capacity data'!$H:$H,'capacity data'!$E:$E,"PO",'capacity data'!$B:$B,'cluster capacity, unallocateds'!B34))/SUMIFS('capacity data'!$G:$G,'capacity data'!$E:$E,"PO",'capacity data'!$B:$B,'cluster capacity, unallocateds'!B34),"")</f>
        <v/>
      </c>
      <c r="D34" s="79" t="str">
        <f>IFERROR(SUM((SUMIFS('capacity data'!$G:$G,'capacity data'!$E:$E,"PSO",'capacity data'!$B:$B,'cluster capacity, unallocateds'!B34))-SUMIFS('capacity data'!$H:$H,'capacity data'!$E:$E,"PSO",'capacity data'!$B:$B,'cluster capacity, unallocateds'!B34))/SUMIFS('capacity data'!$G:$G,'capacity data'!$E:$E,"PSO",'capacity data'!$B:$B,'cluster capacity, unallocateds'!B34),"")</f>
        <v/>
      </c>
      <c r="E34" s="79" t="str">
        <f>IFERROR(SUM((SUMIFS('capacity data'!$G:$G,'capacity data'!$E:$E,"TPO",'capacity data'!$B:$B,'cluster capacity, unallocateds'!B34))-SUMIFS('capacity data'!$H:$H,'capacity data'!$E:$E,"TPO",'capacity data'!$B:$B,'cluster capacity, unallocateds'!B34))/SUMIFS('capacity data'!$G:$G,'capacity data'!$E:$E,"TPO",'capacity data'!$B:$B,'cluster capacity, unallocateds'!B34),"")</f>
        <v/>
      </c>
      <c r="F34" s="173"/>
      <c r="G34" s="258" t="str">
        <f>IFERROR(SUMIFS('capacity data'!$L:$L,'capacity data'!$B:$B,B34,'capacity data'!$E:$E,"PSO")/SUM((SUMIFS('capacity data'!$G:$G,'capacity data'!$E:$E,"PSO",'capacity data'!$B:$B,B34))-SUMIFS('capacity data'!$H:$H,'capacity data'!$E:$E,"PSO",'capacity data'!$B:$B,B34)),"")</f>
        <v/>
      </c>
      <c r="H34" s="258" t="str">
        <f>IFERROR(SUMIFS('capacity data'!$L:$L,'capacity data'!$B:$B,B34,'capacity data'!$E:$E,"PSO")/SUMIFS('capacity data'!$G:$G,'capacity data'!$E:$E,"PSO",'capacity data'!$B:$B,B34),"")</f>
        <v/>
      </c>
      <c r="I34" s="173"/>
      <c r="J34" s="78" t="str">
        <f>IFERROR(SUMIFS('capacity data'!$L:$L,'capacity data'!$B:$B,B34,'capacity data'!$E:$E,"TPO")/SUM((SUMIFS('capacity data'!$G:$G,'capacity data'!$E:$E,"TPO",'capacity data'!$B:$B,B34))-SUMIFS('capacity data'!$H:$H,'capacity data'!$E:$E,"TPO",'capacity data'!$B:$B,B34)),"")</f>
        <v/>
      </c>
      <c r="K34" s="78" t="str">
        <f>IFERROR(SUMIFS('capacity data'!$L:$L,'capacity data'!$B:$B,B34,'capacity data'!$E:$E,"TPO")/SUMIFS('capacity data'!$G:$G,'capacity data'!$E:$E,"TPO",'capacity data'!$B:$B,B34),"")</f>
        <v/>
      </c>
    </row>
    <row r="35" spans="1:23" ht="16" x14ac:dyDescent="0.2">
      <c r="A35" s="1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</row>
    <row r="36" spans="1:23" ht="84" x14ac:dyDescent="0.2">
      <c r="A36" s="11"/>
      <c r="B36" s="25" t="s">
        <v>1273</v>
      </c>
      <c r="C36" s="177" t="s">
        <v>1282</v>
      </c>
      <c r="D36" s="177" t="s">
        <v>1283</v>
      </c>
      <c r="E36" s="177" t="s">
        <v>1284</v>
      </c>
      <c r="F36" s="177" t="s">
        <v>1285</v>
      </c>
      <c r="G36" s="177" t="s">
        <v>1286</v>
      </c>
      <c r="H36" s="177" t="s">
        <v>1287</v>
      </c>
      <c r="I36" s="177" t="s">
        <v>1288</v>
      </c>
      <c r="J36" s="178" t="s">
        <v>1289</v>
      </c>
      <c r="K36" s="177" t="s">
        <v>1290</v>
      </c>
      <c r="L36" s="177" t="s">
        <v>1291</v>
      </c>
      <c r="M36" s="177" t="s">
        <v>1292</v>
      </c>
      <c r="N36" s="2"/>
      <c r="O36" s="2"/>
      <c r="P36" s="2"/>
      <c r="Q36" s="2"/>
      <c r="R36" s="2"/>
      <c r="S36" s="2"/>
      <c r="T36" s="2"/>
      <c r="U36" s="2"/>
      <c r="V36" s="2"/>
      <c r="W36" s="1"/>
    </row>
    <row r="37" spans="1:23" ht="16" x14ac:dyDescent="0.2">
      <c r="A37" s="11"/>
      <c r="B37" s="174" t="s">
        <v>1143</v>
      </c>
      <c r="C37" s="179">
        <f>COUNTIF('capacity data'!E:E,"PO")</f>
        <v>0</v>
      </c>
      <c r="D37" s="179">
        <f>COUNTIFS('capacity data'!E:E,"PO",'capacity data'!F:F,"&gt;110%")</f>
        <v>0</v>
      </c>
      <c r="E37" s="180" t="str">
        <f>IFERROR((D37/C37),"0")</f>
        <v>0</v>
      </c>
      <c r="F37" s="179">
        <f>COUNTIF('capacity data'!E:E,"PSO")</f>
        <v>0</v>
      </c>
      <c r="G37" s="179">
        <f>COUNTIFS('capacity data'!E:E,"PSO",'capacity data'!F:F,"&gt;110%")</f>
        <v>0</v>
      </c>
      <c r="H37" s="180" t="str">
        <f>IFERROR((G37/F37),"")</f>
        <v/>
      </c>
      <c r="I37" s="179">
        <f>COUNTIFS('capacity data'!E:E,"PSO",'capacity data'!F:F,"&lt;90%")</f>
        <v>0</v>
      </c>
      <c r="J37" s="180" t="str">
        <f>IFERROR((I37/F37),"")</f>
        <v/>
      </c>
      <c r="K37" s="179">
        <f>COUNTIF('capacity data'!E:E,"TPO")</f>
        <v>0</v>
      </c>
      <c r="L37" s="179">
        <f>COUNTIFS('capacity data'!E:E,"TPO",'capacity data'!F:F,"&gt;110%")</f>
        <v>0</v>
      </c>
      <c r="M37" s="180" t="str">
        <f>IFERROR((L37/K37),"")</f>
        <v/>
      </c>
      <c r="N37" s="2"/>
      <c r="O37" s="2"/>
      <c r="P37" s="2"/>
      <c r="Q37" s="2"/>
      <c r="R37" s="2"/>
      <c r="S37" s="2"/>
      <c r="T37" s="2"/>
      <c r="U37" s="2"/>
      <c r="V37" s="2"/>
      <c r="W37" s="1"/>
    </row>
    <row r="38" spans="1:23" ht="16" x14ac:dyDescent="0.2">
      <c r="A38" s="11"/>
      <c r="B38" s="74" t="str">
        <f>HLOOKUP($B$4,Region_Table,2,0)</f>
        <v>Accredited Programmes and Structured Interventions - N07</v>
      </c>
      <c r="C38" s="87">
        <f>COUNTIFS('capacity data'!$B:$B,'cluster capacity, unallocateds'!B38,'capacity data'!$E:$E,"PO")</f>
        <v>0</v>
      </c>
      <c r="D38" s="87">
        <f>COUNTIFS('capacity data'!$B:$B,'cluster capacity, unallocateds'!B38,'capacity data'!$E:$E,"PO",'capacity data'!$F:$F,"&gt;110%")</f>
        <v>0</v>
      </c>
      <c r="E38" s="78" t="str">
        <f t="shared" ref="E38:E56" si="0">IFERROR((D38/C38),"")</f>
        <v/>
      </c>
      <c r="F38" s="87">
        <f>COUNTIFS('capacity data'!$B:$B,'cluster capacity, unallocateds'!B38,'capacity data'!$E:$E,"PSO")</f>
        <v>0</v>
      </c>
      <c r="G38" s="87">
        <f>COUNTIFS('capacity data'!$B:$B,'cluster capacity, unallocateds'!B38,'capacity data'!$E:$E,"PSO",'capacity data'!$F:$F,"&gt;110%")</f>
        <v>0</v>
      </c>
      <c r="H38" s="78" t="str">
        <f t="shared" ref="H38:H56" si="1">IFERROR((G38/F38),"")</f>
        <v/>
      </c>
      <c r="I38" s="87">
        <f>COUNTIFS('capacity data'!$B:$B,'cluster capacity, unallocateds'!B38,'capacity data'!$E:$E,"PSO",'capacity data'!$F:$F,"&lt;90%")</f>
        <v>0</v>
      </c>
      <c r="J38" s="78" t="str">
        <f t="shared" ref="J38:J56" si="2">IFERROR((I38/F38),"")</f>
        <v/>
      </c>
      <c r="K38" s="87">
        <f>COUNTIFS('capacity data'!$B:$B,'cluster capacity, unallocateds'!B38,'capacity data'!$E:$E,"TPO")</f>
        <v>0</v>
      </c>
      <c r="L38" s="87">
        <f>COUNTIFS('capacity data'!$B:$B,'cluster capacity, unallocateds'!B38,'capacity data'!$E:$E,"TPO",'capacity data'!$F:$F,"&gt;110%")</f>
        <v>0</v>
      </c>
      <c r="M38" s="78" t="str">
        <f t="shared" ref="M38:M56" si="3">IFERROR((L38/K38),"")</f>
        <v/>
      </c>
      <c r="N38" s="2"/>
      <c r="O38" s="2"/>
      <c r="P38" s="2"/>
      <c r="Q38" s="2"/>
      <c r="R38" s="2"/>
      <c r="S38" s="2"/>
      <c r="T38" s="2"/>
      <c r="U38" s="2"/>
      <c r="V38" s="2"/>
      <c r="W38" s="1"/>
    </row>
    <row r="39" spans="1:23" ht="16" x14ac:dyDescent="0.2">
      <c r="A39" s="11"/>
      <c r="B39" s="74" t="str">
        <f>HLOOKUP($B$4,Region_Table,3,0)</f>
        <v>All London</v>
      </c>
      <c r="C39" s="87">
        <f>COUNTIFS('capacity data'!$B:$B,'cluster capacity, unallocateds'!B39,'capacity data'!$E:$E,"PO")</f>
        <v>0</v>
      </c>
      <c r="D39" s="87">
        <f>COUNTIFS('capacity data'!$B:$B,'cluster capacity, unallocateds'!B39,'capacity data'!$E:$E,"PO",'capacity data'!$F:$F,"&gt;110%")</f>
        <v>0</v>
      </c>
      <c r="E39" s="78" t="str">
        <f t="shared" si="0"/>
        <v/>
      </c>
      <c r="F39" s="87">
        <f>COUNTIFS('capacity data'!$B:$B,'cluster capacity, unallocateds'!B39,'capacity data'!$E:$E,"PSO")</f>
        <v>0</v>
      </c>
      <c r="G39" s="87">
        <f>COUNTIFS('capacity data'!$B:$B,'cluster capacity, unallocateds'!B39,'capacity data'!$E:$E,"PSO",'capacity data'!$F:$F,"&gt;110%")</f>
        <v>0</v>
      </c>
      <c r="H39" s="78" t="str">
        <f t="shared" si="1"/>
        <v/>
      </c>
      <c r="I39" s="87">
        <f>COUNTIFS('capacity data'!$B:$B,'cluster capacity, unallocateds'!B39,'capacity data'!$E:$E,"PSO",'capacity data'!$F:$F,"&lt;90%")</f>
        <v>0</v>
      </c>
      <c r="J39" s="78" t="str">
        <f t="shared" si="2"/>
        <v/>
      </c>
      <c r="K39" s="87">
        <f>COUNTIFS('capacity data'!$B:$B,'cluster capacity, unallocateds'!B39,'capacity data'!$E:$E,"TPO")</f>
        <v>0</v>
      </c>
      <c r="L39" s="87">
        <f>COUNTIFS('capacity data'!$B:$B,'cluster capacity, unallocateds'!B39,'capacity data'!$E:$E,"TPO",'capacity data'!$F:$F,"&gt;110%")</f>
        <v>0</v>
      </c>
      <c r="M39" s="78" t="str">
        <f t="shared" si="3"/>
        <v/>
      </c>
      <c r="N39" s="2"/>
      <c r="O39" s="2"/>
      <c r="P39" s="2"/>
      <c r="Q39" s="2"/>
      <c r="R39" s="2"/>
      <c r="S39" s="2"/>
      <c r="T39" s="2"/>
      <c r="U39" s="2"/>
      <c r="V39" s="2"/>
      <c r="W39" s="1"/>
    </row>
    <row r="40" spans="1:23" ht="16" x14ac:dyDescent="0.2">
      <c r="A40" s="11"/>
      <c r="B40" s="74" t="str">
        <f>HLOOKUP($B$4,Region_Table,4,0)</f>
        <v>Barking and Dagenham and Havering</v>
      </c>
      <c r="C40" s="87">
        <f>COUNTIFS('capacity data'!$B:$B,'cluster capacity, unallocateds'!B40,'capacity data'!$E:$E,"PO")</f>
        <v>0</v>
      </c>
      <c r="D40" s="87">
        <f>COUNTIFS('capacity data'!$B:$B,'cluster capacity, unallocateds'!B40,'capacity data'!$E:$E,"PO",'capacity data'!$F:$F,"&gt;110%")</f>
        <v>0</v>
      </c>
      <c r="E40" s="78" t="str">
        <f t="shared" si="0"/>
        <v/>
      </c>
      <c r="F40" s="87">
        <f>COUNTIFS('capacity data'!$B:$B,'cluster capacity, unallocateds'!B40,'capacity data'!$E:$E,"PSO")</f>
        <v>0</v>
      </c>
      <c r="G40" s="87">
        <f>COUNTIFS('capacity data'!$B:$B,'cluster capacity, unallocateds'!B40,'capacity data'!$E:$E,"PSO",'capacity data'!$F:$F,"&gt;110%")</f>
        <v>0</v>
      </c>
      <c r="H40" s="78" t="str">
        <f t="shared" si="1"/>
        <v/>
      </c>
      <c r="I40" s="87">
        <f>COUNTIFS('capacity data'!$B:$B,'cluster capacity, unallocateds'!B40,'capacity data'!$E:$E,"PSO",'capacity data'!$F:$F,"&lt;90%")</f>
        <v>0</v>
      </c>
      <c r="J40" s="78" t="str">
        <f t="shared" si="2"/>
        <v/>
      </c>
      <c r="K40" s="87">
        <f>COUNTIFS('capacity data'!$B:$B,'cluster capacity, unallocateds'!B40,'capacity data'!$E:$E,"TPO")</f>
        <v>0</v>
      </c>
      <c r="L40" s="87">
        <f>COUNTIFS('capacity data'!$B:$B,'cluster capacity, unallocateds'!B40,'capacity data'!$E:$E,"TPO",'capacity data'!$F:$F,"&gt;110%")</f>
        <v>0</v>
      </c>
      <c r="M40" s="78" t="str">
        <f t="shared" si="3"/>
        <v/>
      </c>
      <c r="N40" s="2"/>
      <c r="O40" s="2"/>
      <c r="P40" s="2"/>
      <c r="Q40" s="2"/>
      <c r="R40" s="2"/>
      <c r="S40" s="2"/>
      <c r="T40" s="2"/>
      <c r="U40" s="2"/>
      <c r="V40" s="2"/>
      <c r="W40" s="1"/>
    </row>
    <row r="41" spans="1:23" ht="16" x14ac:dyDescent="0.2">
      <c r="A41" s="11"/>
      <c r="B41" s="74" t="str">
        <f>HLOOKUP($B$4,Region_Table,5,0)</f>
        <v>Brent - N07</v>
      </c>
      <c r="C41" s="87">
        <f>COUNTIFS('capacity data'!$B:$B,'cluster capacity, unallocateds'!B41,'capacity data'!$E:$E,"PO")</f>
        <v>0</v>
      </c>
      <c r="D41" s="87">
        <f>COUNTIFS('capacity data'!$B:$B,'cluster capacity, unallocateds'!B41,'capacity data'!$E:$E,"PO",'capacity data'!$F:$F,"&gt;110%")</f>
        <v>0</v>
      </c>
      <c r="E41" s="78" t="str">
        <f t="shared" si="0"/>
        <v/>
      </c>
      <c r="F41" s="87">
        <f>COUNTIFS('capacity data'!$B:$B,'cluster capacity, unallocateds'!B41,'capacity data'!$E:$E,"PSO")</f>
        <v>0</v>
      </c>
      <c r="G41" s="87">
        <f>COUNTIFS('capacity data'!$B:$B,'cluster capacity, unallocateds'!B41,'capacity data'!$E:$E,"PSO",'capacity data'!$F:$F,"&gt;110%")</f>
        <v>0</v>
      </c>
      <c r="H41" s="78" t="str">
        <f t="shared" si="1"/>
        <v/>
      </c>
      <c r="I41" s="87">
        <f>COUNTIFS('capacity data'!$B:$B,'cluster capacity, unallocateds'!B41,'capacity data'!$E:$E,"PSO",'capacity data'!$F:$F,"&lt;90%")</f>
        <v>0</v>
      </c>
      <c r="J41" s="78" t="str">
        <f t="shared" si="2"/>
        <v/>
      </c>
      <c r="K41" s="87">
        <f>COUNTIFS('capacity data'!$B:$B,'cluster capacity, unallocateds'!B41,'capacity data'!$E:$E,"TPO")</f>
        <v>0</v>
      </c>
      <c r="L41" s="87">
        <f>COUNTIFS('capacity data'!$B:$B,'cluster capacity, unallocateds'!B41,'capacity data'!$E:$E,"TPO",'capacity data'!$F:$F,"&gt;110%")</f>
        <v>0</v>
      </c>
      <c r="M41" s="78" t="str">
        <f t="shared" si="3"/>
        <v/>
      </c>
      <c r="N41" s="2"/>
      <c r="O41" s="2"/>
      <c r="P41" s="2"/>
      <c r="Q41" s="2"/>
      <c r="R41" s="2"/>
      <c r="S41" s="2"/>
      <c r="T41" s="2"/>
      <c r="U41" s="2"/>
      <c r="V41" s="2"/>
      <c r="W41" s="1"/>
    </row>
    <row r="42" spans="1:23" ht="16" x14ac:dyDescent="0.2">
      <c r="A42" s="11"/>
      <c r="B42" s="74" t="str">
        <f>HLOOKUP($B$4,Region_Table,6,0)</f>
        <v>Camden, Islington</v>
      </c>
      <c r="C42" s="87">
        <f>COUNTIFS('capacity data'!$B:$B,'cluster capacity, unallocateds'!B42,'capacity data'!$E:$E,"PO")</f>
        <v>0</v>
      </c>
      <c r="D42" s="87">
        <f>COUNTIFS('capacity data'!$B:$B,'cluster capacity, unallocateds'!B42,'capacity data'!$E:$E,"PO",'capacity data'!$F:$F,"&gt;110%")</f>
        <v>0</v>
      </c>
      <c r="E42" s="78" t="str">
        <f t="shared" si="0"/>
        <v/>
      </c>
      <c r="F42" s="87">
        <f>COUNTIFS('capacity data'!$B:$B,'cluster capacity, unallocateds'!B42,'capacity data'!$E:$E,"PSO")</f>
        <v>0</v>
      </c>
      <c r="G42" s="87">
        <f>COUNTIFS('capacity data'!$B:$B,'cluster capacity, unallocateds'!B42,'capacity data'!$E:$E,"PSO",'capacity data'!$F:$F,"&gt;110%")</f>
        <v>0</v>
      </c>
      <c r="H42" s="78" t="str">
        <f t="shared" si="1"/>
        <v/>
      </c>
      <c r="I42" s="87">
        <f>COUNTIFS('capacity data'!$B:$B,'cluster capacity, unallocateds'!B42,'capacity data'!$E:$E,"PSO",'capacity data'!$F:$F,"&lt;90%")</f>
        <v>0</v>
      </c>
      <c r="J42" s="78" t="str">
        <f t="shared" si="2"/>
        <v/>
      </c>
      <c r="K42" s="87">
        <f>COUNTIFS('capacity data'!$B:$B,'cluster capacity, unallocateds'!B42,'capacity data'!$E:$E,"TPO")</f>
        <v>0</v>
      </c>
      <c r="L42" s="87">
        <f>COUNTIFS('capacity data'!$B:$B,'cluster capacity, unallocateds'!B42,'capacity data'!$E:$E,"TPO",'capacity data'!$F:$F,"&gt;110%")</f>
        <v>0</v>
      </c>
      <c r="M42" s="78" t="str">
        <f t="shared" si="3"/>
        <v/>
      </c>
      <c r="N42" s="2"/>
      <c r="O42" s="2"/>
      <c r="P42" s="2"/>
      <c r="Q42" s="2"/>
      <c r="R42" s="2"/>
      <c r="S42" s="2"/>
      <c r="T42" s="2"/>
      <c r="U42" s="2"/>
      <c r="V42" s="2"/>
      <c r="W42" s="1"/>
    </row>
    <row r="43" spans="1:23" ht="16" x14ac:dyDescent="0.2">
      <c r="A43" s="11"/>
      <c r="B43" s="74" t="str">
        <f>HLOOKUP($B$4,Region_Table,7,0)</f>
        <v>Community Integration</v>
      </c>
      <c r="C43" s="87">
        <f>COUNTIFS('capacity data'!$B:$B,'cluster capacity, unallocateds'!B43,'capacity data'!$E:$E,"PO")</f>
        <v>0</v>
      </c>
      <c r="D43" s="87">
        <f>COUNTIFS('capacity data'!$B:$B,'cluster capacity, unallocateds'!B43,'capacity data'!$E:$E,"PO",'capacity data'!$F:$F,"&gt;110%")</f>
        <v>0</v>
      </c>
      <c r="E43" s="78" t="str">
        <f t="shared" si="0"/>
        <v/>
      </c>
      <c r="F43" s="87">
        <f>COUNTIFS('capacity data'!$B:$B,'cluster capacity, unallocateds'!B43,'capacity data'!$E:$E,"PSO")</f>
        <v>0</v>
      </c>
      <c r="G43" s="87">
        <f>COUNTIFS('capacity data'!$B:$B,'cluster capacity, unallocateds'!B43,'capacity data'!$E:$E,"PSO",'capacity data'!$F:$F,"&gt;110%")</f>
        <v>0</v>
      </c>
      <c r="H43" s="78" t="str">
        <f t="shared" si="1"/>
        <v/>
      </c>
      <c r="I43" s="87">
        <f>COUNTIFS('capacity data'!$B:$B,'cluster capacity, unallocateds'!B43,'capacity data'!$E:$E,"PSO",'capacity data'!$F:$F,"&lt;90%")</f>
        <v>0</v>
      </c>
      <c r="J43" s="78" t="str">
        <f t="shared" si="2"/>
        <v/>
      </c>
      <c r="K43" s="87">
        <f>COUNTIFS('capacity data'!$B:$B,'cluster capacity, unallocateds'!B43,'capacity data'!$E:$E,"TPO")</f>
        <v>0</v>
      </c>
      <c r="L43" s="87">
        <f>COUNTIFS('capacity data'!$B:$B,'cluster capacity, unallocateds'!B43,'capacity data'!$E:$E,"TPO",'capacity data'!$F:$F,"&gt;110%")</f>
        <v>0</v>
      </c>
      <c r="M43" s="78" t="str">
        <f t="shared" si="3"/>
        <v/>
      </c>
      <c r="N43" s="2"/>
      <c r="O43" s="2"/>
      <c r="P43" s="2"/>
      <c r="Q43" s="2"/>
      <c r="R43" s="2"/>
      <c r="S43" s="2"/>
      <c r="T43" s="2"/>
      <c r="U43" s="2"/>
      <c r="V43" s="2"/>
      <c r="W43" s="1"/>
    </row>
    <row r="44" spans="1:23" ht="16" x14ac:dyDescent="0.2">
      <c r="A44" s="11"/>
      <c r="B44" s="74" t="str">
        <f>HLOOKUP($B$4,Region_Table,8,0)</f>
        <v>Corporate Services - N07</v>
      </c>
      <c r="C44" s="87">
        <f>COUNTIFS('capacity data'!$B:$B,'cluster capacity, unallocateds'!B44,'capacity data'!$E:$E,"PO")</f>
        <v>0</v>
      </c>
      <c r="D44" s="87">
        <f>COUNTIFS('capacity data'!$B:$B,'cluster capacity, unallocateds'!B44,'capacity data'!$E:$E,"PO",'capacity data'!$F:$F,"&gt;110%")</f>
        <v>0</v>
      </c>
      <c r="E44" s="78" t="str">
        <f t="shared" si="0"/>
        <v/>
      </c>
      <c r="F44" s="87">
        <f>COUNTIFS('capacity data'!$B:$B,'cluster capacity, unallocateds'!B44,'capacity data'!$E:$E,"PSO")</f>
        <v>0</v>
      </c>
      <c r="G44" s="87">
        <f>COUNTIFS('capacity data'!$B:$B,'cluster capacity, unallocateds'!B44,'capacity data'!$E:$E,"PSO",'capacity data'!$F:$F,"&gt;110%")</f>
        <v>0</v>
      </c>
      <c r="H44" s="78" t="str">
        <f t="shared" si="1"/>
        <v/>
      </c>
      <c r="I44" s="87">
        <f>COUNTIFS('capacity data'!$B:$B,'cluster capacity, unallocateds'!B44,'capacity data'!$E:$E,"PSO",'capacity data'!$F:$F,"&lt;90%")</f>
        <v>0</v>
      </c>
      <c r="J44" s="78" t="str">
        <f t="shared" si="2"/>
        <v/>
      </c>
      <c r="K44" s="87">
        <f>COUNTIFS('capacity data'!$B:$B,'cluster capacity, unallocateds'!B44,'capacity data'!$E:$E,"TPO")</f>
        <v>0</v>
      </c>
      <c r="L44" s="87">
        <f>COUNTIFS('capacity data'!$B:$B,'cluster capacity, unallocateds'!B44,'capacity data'!$E:$E,"TPO",'capacity data'!$F:$F,"&gt;110%")</f>
        <v>0</v>
      </c>
      <c r="M44" s="78" t="str">
        <f t="shared" si="3"/>
        <v/>
      </c>
      <c r="N44" s="2"/>
      <c r="O44" s="2"/>
      <c r="P44" s="2"/>
      <c r="Q44" s="2"/>
      <c r="R44" s="2"/>
      <c r="S44" s="2"/>
      <c r="T44" s="2"/>
      <c r="U44" s="2"/>
      <c r="V44" s="2"/>
      <c r="W44" s="1"/>
    </row>
    <row r="45" spans="1:23" ht="16" x14ac:dyDescent="0.2">
      <c r="A45" s="11"/>
      <c r="B45" s="74" t="str">
        <f>HLOOKUP($B$4,Region_Table,9,0)</f>
        <v>Croydon - N07</v>
      </c>
      <c r="C45" s="87">
        <f>COUNTIFS('capacity data'!$B:$B,'cluster capacity, unallocateds'!B45,'capacity data'!$E:$E,"PO")</f>
        <v>0</v>
      </c>
      <c r="D45" s="87">
        <f>COUNTIFS('capacity data'!$B:$B,'cluster capacity, unallocateds'!B45,'capacity data'!$E:$E,"PO",'capacity data'!$F:$F,"&gt;110%")</f>
        <v>0</v>
      </c>
      <c r="E45" s="78" t="str">
        <f t="shared" si="0"/>
        <v/>
      </c>
      <c r="F45" s="87">
        <f>COUNTIFS('capacity data'!$B:$B,'cluster capacity, unallocateds'!B45,'capacity data'!$E:$E,"PSO")</f>
        <v>0</v>
      </c>
      <c r="G45" s="87">
        <f>COUNTIFS('capacity data'!$B:$B,'cluster capacity, unallocateds'!B45,'capacity data'!$E:$E,"PSO",'capacity data'!$F:$F,"&gt;110%")</f>
        <v>0</v>
      </c>
      <c r="H45" s="78" t="str">
        <f t="shared" si="1"/>
        <v/>
      </c>
      <c r="I45" s="87">
        <f>COUNTIFS('capacity data'!$B:$B,'cluster capacity, unallocateds'!B45,'capacity data'!$E:$E,"PSO",'capacity data'!$F:$F,"&lt;90%")</f>
        <v>0</v>
      </c>
      <c r="J45" s="78" t="str">
        <f t="shared" si="2"/>
        <v/>
      </c>
      <c r="K45" s="87">
        <f>COUNTIFS('capacity data'!$B:$B,'cluster capacity, unallocateds'!B45,'capacity data'!$E:$E,"TPO")</f>
        <v>0</v>
      </c>
      <c r="L45" s="87">
        <f>COUNTIFS('capacity data'!$B:$B,'cluster capacity, unallocateds'!B45,'capacity data'!$E:$E,"TPO",'capacity data'!$F:$F,"&gt;110%")</f>
        <v>0</v>
      </c>
      <c r="M45" s="78" t="str">
        <f t="shared" si="3"/>
        <v/>
      </c>
      <c r="N45" s="2"/>
      <c r="O45" s="2"/>
      <c r="P45" s="2"/>
      <c r="Q45" s="2"/>
      <c r="R45" s="2"/>
      <c r="S45" s="2"/>
      <c r="T45" s="2"/>
      <c r="U45" s="2"/>
      <c r="V45" s="2"/>
      <c r="W45" s="1"/>
    </row>
    <row r="46" spans="1:23" ht="16" x14ac:dyDescent="0.2">
      <c r="A46" s="11"/>
      <c r="B46" s="74" t="str">
        <f>HLOOKUP($B$4,Region_Table,10,0)</f>
        <v>Ealing and Hillingdon</v>
      </c>
      <c r="C46" s="87">
        <f>COUNTIFS('capacity data'!$B:$B,'cluster capacity, unallocateds'!B46,'capacity data'!$E:$E,"PO")</f>
        <v>0</v>
      </c>
      <c r="D46" s="87">
        <f>COUNTIFS('capacity data'!$B:$B,'cluster capacity, unallocateds'!B46,'capacity data'!$E:$E,"PO",'capacity data'!$F:$F,"&gt;110%")</f>
        <v>0</v>
      </c>
      <c r="E46" s="78" t="str">
        <f t="shared" si="0"/>
        <v/>
      </c>
      <c r="F46" s="87">
        <f>COUNTIFS('capacity data'!$B:$B,'cluster capacity, unallocateds'!B46,'capacity data'!$E:$E,"PSO")</f>
        <v>0</v>
      </c>
      <c r="G46" s="87">
        <f>COUNTIFS('capacity data'!$B:$B,'cluster capacity, unallocateds'!B46,'capacity data'!$E:$E,"PSO",'capacity data'!$F:$F,"&gt;110%")</f>
        <v>0</v>
      </c>
      <c r="H46" s="78" t="str">
        <f t="shared" si="1"/>
        <v/>
      </c>
      <c r="I46" s="87">
        <f>COUNTIFS('capacity data'!$B:$B,'cluster capacity, unallocateds'!B46,'capacity data'!$E:$E,"PSO",'capacity data'!$F:$F,"&lt;90%")</f>
        <v>0</v>
      </c>
      <c r="J46" s="78" t="str">
        <f t="shared" si="2"/>
        <v/>
      </c>
      <c r="K46" s="87">
        <f>COUNTIFS('capacity data'!$B:$B,'cluster capacity, unallocateds'!B46,'capacity data'!$E:$E,"TPO")</f>
        <v>0</v>
      </c>
      <c r="L46" s="87">
        <f>COUNTIFS('capacity data'!$B:$B,'cluster capacity, unallocateds'!B46,'capacity data'!$E:$E,"TPO",'capacity data'!$F:$F,"&gt;110%")</f>
        <v>0</v>
      </c>
      <c r="M46" s="78" t="str">
        <f t="shared" si="3"/>
        <v/>
      </c>
      <c r="N46" s="2"/>
      <c r="O46" s="2"/>
      <c r="P46" s="2"/>
      <c r="Q46" s="2"/>
      <c r="R46" s="2"/>
      <c r="S46" s="2"/>
      <c r="T46" s="2"/>
      <c r="U46" s="2"/>
      <c r="V46" s="2"/>
      <c r="W46" s="1"/>
    </row>
    <row r="47" spans="1:23" ht="16" x14ac:dyDescent="0.2">
      <c r="A47" s="11"/>
      <c r="B47" s="74" t="str">
        <f>HLOOKUP($B$4,Region_Table,11,0)</f>
        <v>Enfield and Haringey</v>
      </c>
      <c r="C47" s="87">
        <f>COUNTIFS('capacity data'!$B:$B,'cluster capacity, unallocateds'!B47,'capacity data'!$E:$E,"PO")</f>
        <v>0</v>
      </c>
      <c r="D47" s="87">
        <f>COUNTIFS('capacity data'!$B:$B,'cluster capacity, unallocateds'!B47,'capacity data'!$E:$E,"PO",'capacity data'!$F:$F,"&gt;110%")</f>
        <v>0</v>
      </c>
      <c r="E47" s="78" t="str">
        <f t="shared" si="0"/>
        <v/>
      </c>
      <c r="F47" s="87">
        <f>COUNTIFS('capacity data'!$B:$B,'cluster capacity, unallocateds'!B47,'capacity data'!$E:$E,"PSO")</f>
        <v>0</v>
      </c>
      <c r="G47" s="87">
        <f>COUNTIFS('capacity data'!$B:$B,'cluster capacity, unallocateds'!B47,'capacity data'!$E:$E,"PSO",'capacity data'!$F:$F,"&gt;110%")</f>
        <v>0</v>
      </c>
      <c r="H47" s="78" t="str">
        <f t="shared" si="1"/>
        <v/>
      </c>
      <c r="I47" s="87">
        <f>COUNTIFS('capacity data'!$B:$B,'cluster capacity, unallocateds'!B47,'capacity data'!$E:$E,"PSO",'capacity data'!$F:$F,"&lt;90%")</f>
        <v>0</v>
      </c>
      <c r="J47" s="78" t="str">
        <f t="shared" si="2"/>
        <v/>
      </c>
      <c r="K47" s="87">
        <f>COUNTIFS('capacity data'!$B:$B,'cluster capacity, unallocateds'!B47,'capacity data'!$E:$E,"TPO")</f>
        <v>0</v>
      </c>
      <c r="L47" s="87">
        <f>COUNTIFS('capacity data'!$B:$B,'cluster capacity, unallocateds'!B47,'capacity data'!$E:$E,"TPO",'capacity data'!$F:$F,"&gt;110%")</f>
        <v>0</v>
      </c>
      <c r="M47" s="78" t="str">
        <f t="shared" si="3"/>
        <v/>
      </c>
      <c r="N47" s="2"/>
      <c r="O47" s="2"/>
      <c r="P47" s="2"/>
      <c r="Q47" s="2"/>
      <c r="R47" s="2"/>
      <c r="S47" s="2"/>
      <c r="T47" s="2"/>
      <c r="U47" s="2"/>
      <c r="V47" s="2"/>
      <c r="W47" s="1"/>
    </row>
    <row r="48" spans="1:23" ht="16" x14ac:dyDescent="0.2">
      <c r="A48" s="11"/>
      <c r="B48" s="74" t="str">
        <f>HLOOKUP($B$4,Region_Table,12,0)</f>
        <v>Greenwich and Bexley</v>
      </c>
      <c r="C48" s="87">
        <f>COUNTIFS('capacity data'!$B:$B,'cluster capacity, unallocateds'!B48,'capacity data'!$E:$E,"PO")</f>
        <v>0</v>
      </c>
      <c r="D48" s="87">
        <f>COUNTIFS('capacity data'!$B:$B,'cluster capacity, unallocateds'!B48,'capacity data'!$E:$E,"PO",'capacity data'!$F:$F,"&gt;110%")</f>
        <v>0</v>
      </c>
      <c r="E48" s="78" t="str">
        <f t="shared" si="0"/>
        <v/>
      </c>
      <c r="F48" s="87">
        <f>COUNTIFS('capacity data'!$B:$B,'cluster capacity, unallocateds'!B48,'capacity data'!$E:$E,"PSO")</f>
        <v>0</v>
      </c>
      <c r="G48" s="87">
        <f>COUNTIFS('capacity data'!$B:$B,'cluster capacity, unallocateds'!B48,'capacity data'!$E:$E,"PSO",'capacity data'!$F:$F,"&gt;110%")</f>
        <v>0</v>
      </c>
      <c r="H48" s="78" t="str">
        <f t="shared" si="1"/>
        <v/>
      </c>
      <c r="I48" s="87">
        <f>COUNTIFS('capacity data'!$B:$B,'cluster capacity, unallocateds'!B48,'capacity data'!$E:$E,"PSO",'capacity data'!$F:$F,"&lt;90%")</f>
        <v>0</v>
      </c>
      <c r="J48" s="78" t="str">
        <f t="shared" si="2"/>
        <v/>
      </c>
      <c r="K48" s="87">
        <f>COUNTIFS('capacity data'!$B:$B,'cluster capacity, unallocateds'!B48,'capacity data'!$E:$E,"TPO")</f>
        <v>0</v>
      </c>
      <c r="L48" s="87">
        <f>COUNTIFS('capacity data'!$B:$B,'cluster capacity, unallocateds'!B48,'capacity data'!$E:$E,"TPO",'capacity data'!$F:$F,"&gt;110%")</f>
        <v>0</v>
      </c>
      <c r="M48" s="78" t="str">
        <f t="shared" si="3"/>
        <v/>
      </c>
      <c r="N48" s="2"/>
      <c r="O48" s="2"/>
      <c r="P48" s="2"/>
      <c r="Q48" s="2"/>
      <c r="R48" s="2"/>
      <c r="S48" s="2"/>
      <c r="T48" s="2"/>
      <c r="U48" s="2"/>
      <c r="V48" s="2"/>
      <c r="W48" s="1"/>
    </row>
    <row r="49" spans="1:23" ht="16" x14ac:dyDescent="0.2">
      <c r="A49" s="11"/>
      <c r="B49" s="74" t="str">
        <f>HLOOKUP($B$4,Region_Table,13,0)</f>
        <v>Hackney and City</v>
      </c>
      <c r="C49" s="87">
        <f>COUNTIFS('capacity data'!$B:$B,'cluster capacity, unallocateds'!B49,'capacity data'!$E:$E,"PO")</f>
        <v>0</v>
      </c>
      <c r="D49" s="87">
        <f>COUNTIFS('capacity data'!$B:$B,'cluster capacity, unallocateds'!B49,'capacity data'!$E:$E,"PO",'capacity data'!$F:$F,"&gt;110%")</f>
        <v>0</v>
      </c>
      <c r="E49" s="78" t="str">
        <f t="shared" si="0"/>
        <v/>
      </c>
      <c r="F49" s="87">
        <f>COUNTIFS('capacity data'!$B:$B,'cluster capacity, unallocateds'!B49,'capacity data'!$E:$E,"PSO")</f>
        <v>0</v>
      </c>
      <c r="G49" s="87">
        <f>COUNTIFS('capacity data'!$B:$B,'cluster capacity, unallocateds'!B49,'capacity data'!$E:$E,"PSO",'capacity data'!$F:$F,"&gt;110%")</f>
        <v>0</v>
      </c>
      <c r="H49" s="78" t="str">
        <f t="shared" si="1"/>
        <v/>
      </c>
      <c r="I49" s="87">
        <f>COUNTIFS('capacity data'!$B:$B,'cluster capacity, unallocateds'!B49,'capacity data'!$E:$E,"PSO",'capacity data'!$F:$F,"&lt;90%")</f>
        <v>0</v>
      </c>
      <c r="J49" s="78" t="str">
        <f t="shared" si="2"/>
        <v/>
      </c>
      <c r="K49" s="87">
        <f>COUNTIFS('capacity data'!$B:$B,'cluster capacity, unallocateds'!B49,'capacity data'!$E:$E,"TPO")</f>
        <v>0</v>
      </c>
      <c r="L49" s="87">
        <f>COUNTIFS('capacity data'!$B:$B,'cluster capacity, unallocateds'!B49,'capacity data'!$E:$E,"TPO",'capacity data'!$F:$F,"&gt;110%")</f>
        <v>0</v>
      </c>
      <c r="M49" s="78" t="str">
        <f t="shared" si="3"/>
        <v/>
      </c>
      <c r="N49" s="2"/>
      <c r="O49" s="2"/>
      <c r="P49" s="2"/>
      <c r="Q49" s="2"/>
      <c r="R49" s="2"/>
      <c r="S49" s="2"/>
      <c r="T49" s="2"/>
      <c r="U49" s="2"/>
      <c r="V49" s="2"/>
      <c r="W49" s="1"/>
    </row>
    <row r="50" spans="1:23" ht="16" x14ac:dyDescent="0.2">
      <c r="A50" s="11"/>
      <c r="B50" s="74" t="str">
        <f>HLOOKUP($B$4,Region_Table,14,0)</f>
        <v>Hammersmith, Fulham, Kensington, Chelsea and Westminster</v>
      </c>
      <c r="C50" s="87">
        <f>COUNTIFS('capacity data'!$B:$B,'cluster capacity, unallocateds'!B50,'capacity data'!$E:$E,"PO")</f>
        <v>0</v>
      </c>
      <c r="D50" s="87">
        <f>COUNTIFS('capacity data'!$B:$B,'cluster capacity, unallocateds'!B50,'capacity data'!$E:$E,"PO",'capacity data'!$F:$F,"&gt;110%")</f>
        <v>0</v>
      </c>
      <c r="E50" s="78" t="str">
        <f t="shared" si="0"/>
        <v/>
      </c>
      <c r="F50" s="87">
        <f>COUNTIFS('capacity data'!$B:$B,'cluster capacity, unallocateds'!B50,'capacity data'!$E:$E,"PSO")</f>
        <v>0</v>
      </c>
      <c r="G50" s="87">
        <f>COUNTIFS('capacity data'!$B:$B,'cluster capacity, unallocateds'!B50,'capacity data'!$E:$E,"PSO",'capacity data'!$F:$F,"&gt;110%")</f>
        <v>0</v>
      </c>
      <c r="H50" s="78" t="str">
        <f t="shared" si="1"/>
        <v/>
      </c>
      <c r="I50" s="87">
        <f>COUNTIFS('capacity data'!$B:$B,'cluster capacity, unallocateds'!B50,'capacity data'!$E:$E,"PSO",'capacity data'!$F:$F,"&lt;90%")</f>
        <v>0</v>
      </c>
      <c r="J50" s="78" t="str">
        <f t="shared" si="2"/>
        <v/>
      </c>
      <c r="K50" s="87">
        <f>COUNTIFS('capacity data'!$B:$B,'cluster capacity, unallocateds'!B50,'capacity data'!$E:$E,"TPO")</f>
        <v>0</v>
      </c>
      <c r="L50" s="87">
        <f>COUNTIFS('capacity data'!$B:$B,'cluster capacity, unallocateds'!B50,'capacity data'!$E:$E,"TPO",'capacity data'!$F:$F,"&gt;110%")</f>
        <v>0</v>
      </c>
      <c r="M50" s="78" t="str">
        <f t="shared" si="3"/>
        <v/>
      </c>
      <c r="N50" s="2"/>
      <c r="O50" s="2"/>
      <c r="P50" s="2"/>
      <c r="Q50" s="2"/>
      <c r="R50" s="2"/>
      <c r="S50" s="2"/>
      <c r="T50" s="2"/>
      <c r="U50" s="2"/>
      <c r="V50" s="2"/>
      <c r="W50" s="1"/>
    </row>
    <row r="51" spans="1:23" ht="16" x14ac:dyDescent="0.2">
      <c r="A51" s="11"/>
      <c r="B51" s="74" t="str">
        <f>HLOOKUP($B$4,Region_Table,15,0)</f>
        <v>Harrow and Barnet</v>
      </c>
      <c r="C51" s="87">
        <f>COUNTIFS('capacity data'!$B:$B,'cluster capacity, unallocateds'!B51,'capacity data'!$E:$E,"PO")</f>
        <v>0</v>
      </c>
      <c r="D51" s="87">
        <f>COUNTIFS('capacity data'!$B:$B,'cluster capacity, unallocateds'!B51,'capacity data'!$E:$E,"PO",'capacity data'!$F:$F,"&gt;110%")</f>
        <v>0</v>
      </c>
      <c r="E51" s="78" t="str">
        <f t="shared" si="0"/>
        <v/>
      </c>
      <c r="F51" s="87">
        <f>COUNTIFS('capacity data'!$B:$B,'cluster capacity, unallocateds'!B51,'capacity data'!$E:$E,"PSO")</f>
        <v>0</v>
      </c>
      <c r="G51" s="87">
        <f>COUNTIFS('capacity data'!$B:$B,'cluster capacity, unallocateds'!B51,'capacity data'!$E:$E,"PSO",'capacity data'!$F:$F,"&gt;110%")</f>
        <v>0</v>
      </c>
      <c r="H51" s="78" t="str">
        <f t="shared" si="1"/>
        <v/>
      </c>
      <c r="I51" s="87">
        <f>COUNTIFS('capacity data'!$B:$B,'cluster capacity, unallocateds'!B51,'capacity data'!$E:$E,"PSO",'capacity data'!$F:$F,"&lt;90%")</f>
        <v>0</v>
      </c>
      <c r="J51" s="78" t="str">
        <f t="shared" si="2"/>
        <v/>
      </c>
      <c r="K51" s="87">
        <f>COUNTIFS('capacity data'!$B:$B,'cluster capacity, unallocateds'!B51,'capacity data'!$E:$E,"TPO")</f>
        <v>0</v>
      </c>
      <c r="L51" s="87">
        <f>COUNTIFS('capacity data'!$B:$B,'cluster capacity, unallocateds'!B51,'capacity data'!$E:$E,"TPO",'capacity data'!$F:$F,"&gt;110%")</f>
        <v>0</v>
      </c>
      <c r="M51" s="78" t="str">
        <f t="shared" si="3"/>
        <v/>
      </c>
      <c r="N51" s="2"/>
      <c r="O51" s="2"/>
      <c r="P51" s="2"/>
      <c r="Q51" s="2"/>
      <c r="R51" s="2"/>
      <c r="S51" s="2"/>
      <c r="T51" s="2"/>
      <c r="U51" s="2"/>
      <c r="V51" s="2"/>
      <c r="W51" s="1"/>
    </row>
    <row r="52" spans="1:23" ht="16" x14ac:dyDescent="0.2">
      <c r="A52" s="11"/>
      <c r="B52" s="74" t="str">
        <f>HLOOKUP($B$4,Region_Table,16,0)</f>
        <v>Headquarters - N07</v>
      </c>
      <c r="C52" s="87">
        <f>COUNTIFS('capacity data'!$B:$B,'cluster capacity, unallocateds'!B52,'capacity data'!$E:$E,"PO")</f>
        <v>0</v>
      </c>
      <c r="D52" s="87">
        <f>COUNTIFS('capacity data'!$B:$B,'cluster capacity, unallocateds'!B52,'capacity data'!$E:$E,"PO",'capacity data'!$F:$F,"&gt;110%")</f>
        <v>0</v>
      </c>
      <c r="E52" s="78" t="str">
        <f t="shared" si="0"/>
        <v/>
      </c>
      <c r="F52" s="87">
        <f>COUNTIFS('capacity data'!$B:$B,'cluster capacity, unallocateds'!B52,'capacity data'!$E:$E,"PSO")</f>
        <v>0</v>
      </c>
      <c r="G52" s="87">
        <f>COUNTIFS('capacity data'!$B:$B,'cluster capacity, unallocateds'!B52,'capacity data'!$E:$E,"PSO",'capacity data'!$F:$F,"&gt;110%")</f>
        <v>0</v>
      </c>
      <c r="H52" s="78" t="str">
        <f t="shared" si="1"/>
        <v/>
      </c>
      <c r="I52" s="87">
        <f>COUNTIFS('capacity data'!$B:$B,'cluster capacity, unallocateds'!B52,'capacity data'!$E:$E,"PSO",'capacity data'!$F:$F,"&lt;90%")</f>
        <v>0</v>
      </c>
      <c r="J52" s="78" t="str">
        <f t="shared" si="2"/>
        <v/>
      </c>
      <c r="K52" s="87">
        <f>COUNTIFS('capacity data'!$B:$B,'cluster capacity, unallocateds'!B52,'capacity data'!$E:$E,"TPO")</f>
        <v>0</v>
      </c>
      <c r="L52" s="87">
        <f>COUNTIFS('capacity data'!$B:$B,'cluster capacity, unallocateds'!B52,'capacity data'!$E:$E,"TPO",'capacity data'!$F:$F,"&gt;110%")</f>
        <v>0</v>
      </c>
      <c r="M52" s="78" t="str">
        <f t="shared" si="3"/>
        <v/>
      </c>
      <c r="N52" s="2"/>
      <c r="O52" s="2"/>
      <c r="P52" s="2"/>
      <c r="Q52" s="2"/>
      <c r="R52" s="2"/>
      <c r="S52" s="2"/>
      <c r="T52" s="2"/>
      <c r="U52" s="2"/>
      <c r="V52" s="2"/>
      <c r="W52" s="1"/>
    </row>
    <row r="53" spans="1:23" ht="16" x14ac:dyDescent="0.2">
      <c r="A53" s="11"/>
      <c r="B53" s="74" t="str">
        <f>HLOOKUP($B$4,Region_Table,17,0)</f>
        <v>Inactive Level 2(N07)</v>
      </c>
      <c r="C53" s="87">
        <f>COUNTIFS('capacity data'!$B:$B,'cluster capacity, unallocateds'!B53,'capacity data'!$E:$E,"PO")</f>
        <v>0</v>
      </c>
      <c r="D53" s="87">
        <f>COUNTIFS('capacity data'!$B:$B,'cluster capacity, unallocateds'!B53,'capacity data'!$E:$E,"PO",'capacity data'!$F:$F,"&gt;110%")</f>
        <v>0</v>
      </c>
      <c r="E53" s="78" t="str">
        <f t="shared" si="0"/>
        <v/>
      </c>
      <c r="F53" s="87">
        <f>COUNTIFS('capacity data'!$B:$B,'cluster capacity, unallocateds'!B53,'capacity data'!$E:$E,"PSO")</f>
        <v>0</v>
      </c>
      <c r="G53" s="87">
        <f>COUNTIFS('capacity data'!$B:$B,'cluster capacity, unallocateds'!B53,'capacity data'!$E:$E,"PSO",'capacity data'!$F:$F,"&gt;110%")</f>
        <v>0</v>
      </c>
      <c r="H53" s="78" t="str">
        <f t="shared" si="1"/>
        <v/>
      </c>
      <c r="I53" s="87">
        <f>COUNTIFS('capacity data'!$B:$B,'cluster capacity, unallocateds'!B53,'capacity data'!$E:$E,"PSO",'capacity data'!$F:$F,"&lt;90%")</f>
        <v>0</v>
      </c>
      <c r="J53" s="78" t="str">
        <f t="shared" si="2"/>
        <v/>
      </c>
      <c r="K53" s="87">
        <f>COUNTIFS('capacity data'!$B:$B,'cluster capacity, unallocateds'!B53,'capacity data'!$E:$E,"TPO")</f>
        <v>0</v>
      </c>
      <c r="L53" s="87">
        <f>COUNTIFS('capacity data'!$B:$B,'cluster capacity, unallocateds'!B53,'capacity data'!$E:$E,"TPO",'capacity data'!$F:$F,"&gt;110%")</f>
        <v>0</v>
      </c>
      <c r="M53" s="78" t="str">
        <f t="shared" si="3"/>
        <v/>
      </c>
      <c r="N53" s="2"/>
      <c r="O53" s="2"/>
      <c r="P53" s="2"/>
      <c r="Q53" s="2"/>
      <c r="R53" s="2"/>
      <c r="S53" s="2"/>
      <c r="T53" s="2"/>
      <c r="U53" s="2"/>
      <c r="V53" s="2"/>
      <c r="W53" s="1"/>
    </row>
    <row r="54" spans="1:23" ht="16" x14ac:dyDescent="0.2">
      <c r="A54" s="11"/>
      <c r="B54" s="74" t="str">
        <f>HLOOKUP($B$4,Region_Table,18,0)</f>
        <v>Kingston, Richmond and Hounslow</v>
      </c>
      <c r="C54" s="87">
        <f>COUNTIFS('capacity data'!$B:$B,'cluster capacity, unallocateds'!B54,'capacity data'!$E:$E,"PO")</f>
        <v>0</v>
      </c>
      <c r="D54" s="87">
        <f>COUNTIFS('capacity data'!$B:$B,'cluster capacity, unallocateds'!B54,'capacity data'!$E:$E,"PO",'capacity data'!$F:$F,"&gt;110%")</f>
        <v>0</v>
      </c>
      <c r="E54" s="78" t="str">
        <f t="shared" si="0"/>
        <v/>
      </c>
      <c r="F54" s="87">
        <f>COUNTIFS('capacity data'!$B:$B,'cluster capacity, unallocateds'!B54,'capacity data'!$E:$E,"PSO")</f>
        <v>0</v>
      </c>
      <c r="G54" s="87">
        <f>COUNTIFS('capacity data'!$B:$B,'cluster capacity, unallocateds'!B54,'capacity data'!$E:$E,"PSO",'capacity data'!$F:$F,"&gt;110%")</f>
        <v>0</v>
      </c>
      <c r="H54" s="78" t="str">
        <f t="shared" si="1"/>
        <v/>
      </c>
      <c r="I54" s="87">
        <f>COUNTIFS('capacity data'!$B:$B,'cluster capacity, unallocateds'!B54,'capacity data'!$E:$E,"PSO",'capacity data'!$F:$F,"&lt;90%")</f>
        <v>0</v>
      </c>
      <c r="J54" s="78" t="str">
        <f t="shared" si="2"/>
        <v/>
      </c>
      <c r="K54" s="87">
        <f>COUNTIFS('capacity data'!$B:$B,'cluster capacity, unallocateds'!B54,'capacity data'!$E:$E,"TPO")</f>
        <v>0</v>
      </c>
      <c r="L54" s="87">
        <f>COUNTIFS('capacity data'!$B:$B,'cluster capacity, unallocateds'!B54,'capacity data'!$E:$E,"TPO",'capacity data'!$F:$F,"&gt;110%")</f>
        <v>0</v>
      </c>
      <c r="M54" s="78" t="str">
        <f t="shared" si="3"/>
        <v/>
      </c>
      <c r="N54" s="2"/>
      <c r="O54" s="2"/>
      <c r="P54" s="2"/>
      <c r="Q54" s="2"/>
      <c r="R54" s="2"/>
      <c r="S54" s="2"/>
      <c r="T54" s="2"/>
      <c r="U54" s="2"/>
      <c r="V54" s="2"/>
      <c r="W54" s="1"/>
    </row>
    <row r="55" spans="1:23" ht="16" x14ac:dyDescent="0.2">
      <c r="A55" s="11"/>
      <c r="B55" s="74" t="str">
        <f>HLOOKUP($B$4,Region_Table,19,0)</f>
        <v>Lambeth - N07</v>
      </c>
      <c r="C55" s="87">
        <f>COUNTIFS('capacity data'!$B:$B,'cluster capacity, unallocateds'!B55,'capacity data'!$E:$E,"PO")</f>
        <v>0</v>
      </c>
      <c r="D55" s="87">
        <f>COUNTIFS('capacity data'!$B:$B,'cluster capacity, unallocateds'!B55,'capacity data'!$E:$E,"PO",'capacity data'!$F:$F,"&gt;110%")</f>
        <v>0</v>
      </c>
      <c r="E55" s="78" t="str">
        <f t="shared" si="0"/>
        <v/>
      </c>
      <c r="F55" s="87">
        <f>COUNTIFS('capacity data'!$B:$B,'cluster capacity, unallocateds'!B55,'capacity data'!$E:$E,"PSO")</f>
        <v>0</v>
      </c>
      <c r="G55" s="87">
        <f>COUNTIFS('capacity data'!$B:$B,'cluster capacity, unallocateds'!B55,'capacity data'!$E:$E,"PSO",'capacity data'!$F:$F,"&gt;110%")</f>
        <v>0</v>
      </c>
      <c r="H55" s="78" t="str">
        <f t="shared" si="1"/>
        <v/>
      </c>
      <c r="I55" s="87">
        <f>COUNTIFS('capacity data'!$B:$B,'cluster capacity, unallocateds'!B55,'capacity data'!$E:$E,"PSO",'capacity data'!$F:$F,"&lt;90%")</f>
        <v>0</v>
      </c>
      <c r="J55" s="78" t="str">
        <f t="shared" si="2"/>
        <v/>
      </c>
      <c r="K55" s="87">
        <f>COUNTIFS('capacity data'!$B:$B,'cluster capacity, unallocateds'!B55,'capacity data'!$E:$E,"TPO")</f>
        <v>0</v>
      </c>
      <c r="L55" s="87">
        <f>COUNTIFS('capacity data'!$B:$B,'cluster capacity, unallocateds'!B55,'capacity data'!$E:$E,"TPO",'capacity data'!$F:$F,"&gt;110%")</f>
        <v>0</v>
      </c>
      <c r="M55" s="78" t="str">
        <f t="shared" si="3"/>
        <v/>
      </c>
      <c r="N55" s="2"/>
      <c r="O55" s="2"/>
      <c r="P55" s="2"/>
      <c r="Q55" s="2"/>
      <c r="R55" s="2"/>
      <c r="S55" s="2"/>
      <c r="T55" s="2"/>
      <c r="U55" s="2"/>
      <c r="V55" s="2"/>
      <c r="W55" s="1"/>
    </row>
    <row r="56" spans="1:23" ht="16" x14ac:dyDescent="0.2">
      <c r="A56" s="11"/>
      <c r="B56" s="74" t="str">
        <f>HLOOKUP($B$4,Region_Table,20,0)</f>
        <v>Lewisham and Bromley</v>
      </c>
      <c r="C56" s="87">
        <f>COUNTIFS('capacity data'!$B:$B,'cluster capacity, unallocateds'!B56,'capacity data'!$E:$E,"PO")</f>
        <v>0</v>
      </c>
      <c r="D56" s="87">
        <f>COUNTIFS('capacity data'!$B:$B,'cluster capacity, unallocateds'!B56,'capacity data'!$E:$E,"PO",'capacity data'!$F:$F,"&gt;110%")</f>
        <v>0</v>
      </c>
      <c r="E56" s="78" t="str">
        <f t="shared" si="0"/>
        <v/>
      </c>
      <c r="F56" s="87">
        <f>COUNTIFS('capacity data'!$B:$B,'cluster capacity, unallocateds'!B56,'capacity data'!$E:$E,"PSO")</f>
        <v>0</v>
      </c>
      <c r="G56" s="87">
        <f>COUNTIFS('capacity data'!$B:$B,'cluster capacity, unallocateds'!B56,'capacity data'!$E:$E,"PSO",'capacity data'!$F:$F,"&gt;110%")</f>
        <v>0</v>
      </c>
      <c r="H56" s="78" t="str">
        <f t="shared" si="1"/>
        <v/>
      </c>
      <c r="I56" s="87">
        <f>COUNTIFS('capacity data'!$B:$B,'cluster capacity, unallocateds'!B56,'capacity data'!$E:$E,"PSO",'capacity data'!$F:$F,"&lt;90%")</f>
        <v>0</v>
      </c>
      <c r="J56" s="78" t="str">
        <f t="shared" si="2"/>
        <v/>
      </c>
      <c r="K56" s="87">
        <f>COUNTIFS('capacity data'!$B:$B,'cluster capacity, unallocateds'!B56,'capacity data'!$E:$E,"TPO")</f>
        <v>0</v>
      </c>
      <c r="L56" s="87">
        <f>COUNTIFS('capacity data'!$B:$B,'cluster capacity, unallocateds'!B56,'capacity data'!$E:$E,"TPO",'capacity data'!$F:$F,"&gt;110%")</f>
        <v>0</v>
      </c>
      <c r="M56" s="78" t="str">
        <f t="shared" si="3"/>
        <v/>
      </c>
      <c r="N56" s="2"/>
      <c r="O56" s="2"/>
      <c r="P56" s="2"/>
      <c r="Q56" s="2"/>
      <c r="R56" s="2"/>
      <c r="S56" s="2"/>
      <c r="T56" s="2"/>
      <c r="U56" s="2"/>
      <c r="V56" s="2"/>
      <c r="W56" s="1"/>
    </row>
    <row r="57" spans="1:23" ht="16" x14ac:dyDescent="0.2">
      <c r="A57" s="11"/>
      <c r="B57" s="74" t="str">
        <f>HLOOKUP($B$4,Region_Table,21,0)</f>
        <v>Newham - N07</v>
      </c>
      <c r="C57" s="87">
        <f>COUNTIFS('capacity data'!$B:$B,'cluster capacity, unallocateds'!B57,'capacity data'!$E:$E,"PO")</f>
        <v>0</v>
      </c>
      <c r="D57" s="87">
        <f>COUNTIFS('capacity data'!$B:$B,'cluster capacity, unallocateds'!B57,'capacity data'!$E:$E,"PO",'capacity data'!$F:$F,"&gt;110%")</f>
        <v>0</v>
      </c>
      <c r="E57" s="78" t="str">
        <f t="shared" ref="E57:E64" si="4">IFERROR((D57/C57),"")</f>
        <v/>
      </c>
      <c r="F57" s="87">
        <f>COUNTIFS('capacity data'!$B:$B,'cluster capacity, unallocateds'!B57,'capacity data'!$E:$E,"PSO")</f>
        <v>0</v>
      </c>
      <c r="G57" s="87">
        <f>COUNTIFS('capacity data'!$B:$B,'cluster capacity, unallocateds'!B57,'capacity data'!$E:$E,"PSO",'capacity data'!$F:$F,"&gt;110%")</f>
        <v>0</v>
      </c>
      <c r="H57" s="78" t="str">
        <f t="shared" ref="H57:H64" si="5">IFERROR((G57/F57),"")</f>
        <v/>
      </c>
      <c r="I57" s="87">
        <f>COUNTIFS('capacity data'!$B:$B,'cluster capacity, unallocateds'!B57,'capacity data'!$E:$E,"PSO",'capacity data'!$F:$F,"&lt;90%")</f>
        <v>0</v>
      </c>
      <c r="J57" s="78" t="str">
        <f t="shared" ref="J57:J64" si="6">IFERROR((I57/F57),"")</f>
        <v/>
      </c>
      <c r="K57" s="87">
        <f>COUNTIFS('capacity data'!$B:$B,'cluster capacity, unallocateds'!B57,'capacity data'!$E:$E,"TPO")</f>
        <v>0</v>
      </c>
      <c r="L57" s="87">
        <f>COUNTIFS('capacity data'!$B:$B,'cluster capacity, unallocateds'!B57,'capacity data'!$E:$E,"TPO",'capacity data'!$F:$F,"&gt;110%")</f>
        <v>0</v>
      </c>
      <c r="M57" s="78" t="str">
        <f t="shared" ref="M57:M64" si="7">IFERROR((L57/K57),"")</f>
        <v/>
      </c>
      <c r="N57" s="2"/>
      <c r="O57" s="2"/>
      <c r="P57" s="2"/>
      <c r="Q57" s="2"/>
      <c r="R57" s="2"/>
      <c r="S57" s="2"/>
      <c r="T57" s="2"/>
      <c r="U57" s="2"/>
      <c r="V57" s="2"/>
      <c r="W57" s="1"/>
    </row>
    <row r="58" spans="1:23" ht="16" x14ac:dyDescent="0.2">
      <c r="A58" s="11"/>
      <c r="B58" s="74" t="str">
        <f>HLOOKUP($B$4,Region_Table,22,0)</f>
        <v>Public Protection Community - N07</v>
      </c>
      <c r="C58" s="87">
        <f>COUNTIFS('capacity data'!$B:$B,'cluster capacity, unallocateds'!B58,'capacity data'!$E:$E,"PO")</f>
        <v>0</v>
      </c>
      <c r="D58" s="87">
        <f>COUNTIFS('capacity data'!$B:$B,'cluster capacity, unallocateds'!B58,'capacity data'!$E:$E,"PO",'capacity data'!$F:$F,"&gt;110%")</f>
        <v>0</v>
      </c>
      <c r="E58" s="78" t="str">
        <f t="shared" si="4"/>
        <v/>
      </c>
      <c r="F58" s="87">
        <f>COUNTIFS('capacity data'!$B:$B,'cluster capacity, unallocateds'!B58,'capacity data'!$E:$E,"PSO")</f>
        <v>0</v>
      </c>
      <c r="G58" s="87">
        <f>COUNTIFS('capacity data'!$B:$B,'cluster capacity, unallocateds'!B58,'capacity data'!$E:$E,"PSO",'capacity data'!$F:$F,"&gt;110%")</f>
        <v>0</v>
      </c>
      <c r="H58" s="78" t="str">
        <f t="shared" si="5"/>
        <v/>
      </c>
      <c r="I58" s="87">
        <f>COUNTIFS('capacity data'!$B:$B,'cluster capacity, unallocateds'!B58,'capacity data'!$E:$E,"PSO",'capacity data'!$F:$F,"&lt;90%")</f>
        <v>0</v>
      </c>
      <c r="J58" s="78" t="str">
        <f t="shared" si="6"/>
        <v/>
      </c>
      <c r="K58" s="87">
        <f>COUNTIFS('capacity data'!$B:$B,'cluster capacity, unallocateds'!B58,'capacity data'!$E:$E,"TPO")</f>
        <v>0</v>
      </c>
      <c r="L58" s="87">
        <f>COUNTIFS('capacity data'!$B:$B,'cluster capacity, unallocateds'!B58,'capacity data'!$E:$E,"TPO",'capacity data'!$F:$F,"&gt;110%")</f>
        <v>0</v>
      </c>
      <c r="M58" s="78" t="str">
        <f t="shared" si="7"/>
        <v/>
      </c>
      <c r="N58" s="2"/>
      <c r="O58" s="2"/>
      <c r="P58" s="2"/>
      <c r="Q58" s="2"/>
      <c r="R58" s="2"/>
      <c r="S58" s="2"/>
      <c r="T58" s="2"/>
      <c r="U58" s="2"/>
      <c r="V58" s="2"/>
      <c r="W58" s="1"/>
    </row>
    <row r="59" spans="1:23" ht="16" x14ac:dyDescent="0.2">
      <c r="A59" s="11"/>
      <c r="B59" s="74" t="str">
        <f>HLOOKUP($B$4,Region_Table,23,0)</f>
        <v>Public Protection London</v>
      </c>
      <c r="C59" s="87">
        <f>COUNTIFS('capacity data'!$B:$B,'cluster capacity, unallocateds'!B59,'capacity data'!$E:$E,"PO")</f>
        <v>0</v>
      </c>
      <c r="D59" s="87">
        <f>COUNTIFS('capacity data'!$B:$B,'cluster capacity, unallocateds'!B59,'capacity data'!$E:$E,"PO",'capacity data'!$F:$F,"&gt;110%")</f>
        <v>0</v>
      </c>
      <c r="E59" s="78" t="str">
        <f t="shared" si="4"/>
        <v/>
      </c>
      <c r="F59" s="87">
        <f>COUNTIFS('capacity data'!$B:$B,'cluster capacity, unallocateds'!B59,'capacity data'!$E:$E,"PSO")</f>
        <v>0</v>
      </c>
      <c r="G59" s="87">
        <f>COUNTIFS('capacity data'!$B:$B,'cluster capacity, unallocateds'!B59,'capacity data'!$E:$E,"PSO",'capacity data'!$F:$F,"&gt;110%")</f>
        <v>0</v>
      </c>
      <c r="H59" s="78" t="str">
        <f t="shared" si="5"/>
        <v/>
      </c>
      <c r="I59" s="87">
        <f>COUNTIFS('capacity data'!$B:$B,'cluster capacity, unallocateds'!B59,'capacity data'!$E:$E,"PSO",'capacity data'!$F:$F,"&lt;90%")</f>
        <v>0</v>
      </c>
      <c r="J59" s="78" t="str">
        <f t="shared" si="6"/>
        <v/>
      </c>
      <c r="K59" s="87">
        <f>COUNTIFS('capacity data'!$B:$B,'cluster capacity, unallocateds'!B59,'capacity data'!$E:$E,"TPO")</f>
        <v>0</v>
      </c>
      <c r="L59" s="87">
        <f>COUNTIFS('capacity data'!$B:$B,'cluster capacity, unallocateds'!B59,'capacity data'!$E:$E,"TPO",'capacity data'!$F:$F,"&gt;110%")</f>
        <v>0</v>
      </c>
      <c r="M59" s="78" t="str">
        <f t="shared" si="7"/>
        <v/>
      </c>
      <c r="N59" s="2"/>
      <c r="O59" s="2"/>
      <c r="P59" s="2"/>
      <c r="Q59" s="2"/>
      <c r="R59" s="2"/>
      <c r="S59" s="2"/>
      <c r="T59" s="2"/>
      <c r="U59" s="2"/>
      <c r="V59" s="2"/>
      <c r="W59" s="1"/>
    </row>
    <row r="60" spans="1:23" ht="16" x14ac:dyDescent="0.2">
      <c r="A60" s="11"/>
      <c r="B60" s="74" t="str">
        <f>HLOOKUP($B$4,Region_Table,24,0)</f>
        <v>Redbridge and Waltham Forest</v>
      </c>
      <c r="C60" s="87">
        <f>COUNTIFS('capacity data'!$B:$B,'cluster capacity, unallocateds'!B60,'capacity data'!$E:$E,"PO")</f>
        <v>0</v>
      </c>
      <c r="D60" s="87">
        <f>COUNTIFS('capacity data'!$B:$B,'cluster capacity, unallocateds'!B60,'capacity data'!$E:$E,"PO",'capacity data'!$F:$F,"&gt;110%")</f>
        <v>0</v>
      </c>
      <c r="E60" s="78" t="str">
        <f t="shared" si="4"/>
        <v/>
      </c>
      <c r="F60" s="87">
        <f>COUNTIFS('capacity data'!$B:$B,'cluster capacity, unallocateds'!B60,'capacity data'!$E:$E,"PSO")</f>
        <v>0</v>
      </c>
      <c r="G60" s="87">
        <f>COUNTIFS('capacity data'!$B:$B,'cluster capacity, unallocateds'!B60,'capacity data'!$E:$E,"PSO",'capacity data'!$F:$F,"&gt;110%")</f>
        <v>0</v>
      </c>
      <c r="H60" s="78" t="str">
        <f t="shared" si="5"/>
        <v/>
      </c>
      <c r="I60" s="87">
        <f>COUNTIFS('capacity data'!$B:$B,'cluster capacity, unallocateds'!B60,'capacity data'!$E:$E,"PSO",'capacity data'!$F:$F,"&lt;90%")</f>
        <v>0</v>
      </c>
      <c r="J60" s="78" t="str">
        <f t="shared" si="6"/>
        <v/>
      </c>
      <c r="K60" s="87">
        <f>COUNTIFS('capacity data'!$B:$B,'cluster capacity, unallocateds'!B60,'capacity data'!$E:$E,"TPO")</f>
        <v>0</v>
      </c>
      <c r="L60" s="87">
        <f>COUNTIFS('capacity data'!$B:$B,'cluster capacity, unallocateds'!B60,'capacity data'!$E:$E,"TPO",'capacity data'!$F:$F,"&gt;110%")</f>
        <v>0</v>
      </c>
      <c r="M60" s="78" t="str">
        <f t="shared" si="7"/>
        <v/>
      </c>
      <c r="N60" s="2"/>
      <c r="O60" s="2"/>
      <c r="P60" s="2"/>
      <c r="Q60" s="2"/>
      <c r="R60" s="2"/>
      <c r="S60" s="2"/>
      <c r="T60" s="2"/>
      <c r="U60" s="2"/>
      <c r="V60" s="2"/>
      <c r="W60" s="1"/>
    </row>
    <row r="61" spans="1:23" ht="16" x14ac:dyDescent="0.2">
      <c r="A61" s="11"/>
      <c r="B61" s="74" t="str">
        <f>HLOOKUP($B$4,Region_Table,25,0)</f>
        <v>Southwark - N07</v>
      </c>
      <c r="C61" s="87">
        <f>COUNTIFS('capacity data'!$B:$B,'cluster capacity, unallocateds'!B61,'capacity data'!$E:$E,"PO")</f>
        <v>0</v>
      </c>
      <c r="D61" s="87">
        <f>COUNTIFS('capacity data'!$B:$B,'cluster capacity, unallocateds'!B61,'capacity data'!$E:$E,"PO",'capacity data'!$F:$F,"&gt;110%")</f>
        <v>0</v>
      </c>
      <c r="E61" s="78" t="str">
        <f t="shared" si="4"/>
        <v/>
      </c>
      <c r="F61" s="87">
        <f>COUNTIFS('capacity data'!$B:$B,'cluster capacity, unallocateds'!B61,'capacity data'!$E:$E,"PSO")</f>
        <v>0</v>
      </c>
      <c r="G61" s="87">
        <f>COUNTIFS('capacity data'!$B:$B,'cluster capacity, unallocateds'!B61,'capacity data'!$E:$E,"PSO",'capacity data'!$F:$F,"&gt;110%")</f>
        <v>0</v>
      </c>
      <c r="H61" s="78" t="str">
        <f t="shared" si="5"/>
        <v/>
      </c>
      <c r="I61" s="87">
        <f>COUNTIFS('capacity data'!$B:$B,'cluster capacity, unallocateds'!B61,'capacity data'!$E:$E,"PSO",'capacity data'!$F:$F,"&lt;90%")</f>
        <v>0</v>
      </c>
      <c r="J61" s="78" t="str">
        <f t="shared" si="6"/>
        <v/>
      </c>
      <c r="K61" s="87">
        <f>COUNTIFS('capacity data'!$B:$B,'cluster capacity, unallocateds'!B61,'capacity data'!$E:$E,"TPO")</f>
        <v>0</v>
      </c>
      <c r="L61" s="87">
        <f>COUNTIFS('capacity data'!$B:$B,'cluster capacity, unallocateds'!B61,'capacity data'!$E:$E,"TPO",'capacity data'!$F:$F,"&gt;110%")</f>
        <v>0</v>
      </c>
      <c r="M61" s="78" t="str">
        <f t="shared" si="7"/>
        <v/>
      </c>
      <c r="N61" s="2"/>
      <c r="O61" s="2"/>
      <c r="P61" s="2"/>
      <c r="Q61" s="2"/>
      <c r="R61" s="2"/>
      <c r="S61" s="2"/>
      <c r="T61" s="2"/>
      <c r="U61" s="2"/>
      <c r="V61" s="2"/>
      <c r="W61" s="1"/>
    </row>
    <row r="62" spans="1:23" ht="16" x14ac:dyDescent="0.2">
      <c r="A62" s="11"/>
      <c r="B62" s="74" t="str">
        <f>HLOOKUP($B$4,Region_Table,26,0)</f>
        <v>Tower Hamlets</v>
      </c>
      <c r="C62" s="87">
        <f>COUNTIFS('capacity data'!$B:$B,'cluster capacity, unallocateds'!B62,'capacity data'!$E:$E,"PO")</f>
        <v>0</v>
      </c>
      <c r="D62" s="87">
        <f>COUNTIFS('capacity data'!$B:$B,'cluster capacity, unallocateds'!B62,'capacity data'!$E:$E,"PO",'capacity data'!$F:$F,"&gt;110%")</f>
        <v>0</v>
      </c>
      <c r="E62" s="78" t="str">
        <f t="shared" si="4"/>
        <v/>
      </c>
      <c r="F62" s="87">
        <f>COUNTIFS('capacity data'!$B:$B,'cluster capacity, unallocateds'!B62,'capacity data'!$E:$E,"PSO")</f>
        <v>0</v>
      </c>
      <c r="G62" s="87">
        <f>COUNTIFS('capacity data'!$B:$B,'cluster capacity, unallocateds'!B62,'capacity data'!$E:$E,"PSO",'capacity data'!$F:$F,"&gt;110%")</f>
        <v>0</v>
      </c>
      <c r="H62" s="78" t="str">
        <f t="shared" si="5"/>
        <v/>
      </c>
      <c r="I62" s="87">
        <f>COUNTIFS('capacity data'!$B:$B,'cluster capacity, unallocateds'!B62,'capacity data'!$E:$E,"PSO",'capacity data'!$F:$F,"&lt;90%")</f>
        <v>0</v>
      </c>
      <c r="J62" s="78" t="str">
        <f t="shared" si="6"/>
        <v/>
      </c>
      <c r="K62" s="87">
        <f>COUNTIFS('capacity data'!$B:$B,'cluster capacity, unallocateds'!B62,'capacity data'!$E:$E,"TPO")</f>
        <v>0</v>
      </c>
      <c r="L62" s="87">
        <f>COUNTIFS('capacity data'!$B:$B,'cluster capacity, unallocateds'!B62,'capacity data'!$E:$E,"TPO",'capacity data'!$F:$F,"&gt;110%")</f>
        <v>0</v>
      </c>
      <c r="M62" s="78" t="str">
        <f t="shared" si="7"/>
        <v/>
      </c>
      <c r="N62" s="2"/>
      <c r="O62" s="2"/>
      <c r="P62" s="2"/>
      <c r="Q62" s="2"/>
      <c r="R62" s="2"/>
      <c r="S62" s="2"/>
      <c r="T62" s="2"/>
      <c r="U62" s="2"/>
      <c r="V62" s="2"/>
      <c r="W62" s="1"/>
    </row>
    <row r="63" spans="1:23" ht="16" x14ac:dyDescent="0.2">
      <c r="A63" s="11"/>
      <c r="B63" s="74" t="str">
        <f>HLOOKUP($B$4,Region_Table,27,0)</f>
        <v>Unpaid Work and Attendance Centres - N07</v>
      </c>
      <c r="C63" s="87">
        <f>COUNTIFS('capacity data'!$B:$B,'cluster capacity, unallocateds'!B63,'capacity data'!$E:$E,"PO")</f>
        <v>0</v>
      </c>
      <c r="D63" s="87">
        <f>COUNTIFS('capacity data'!$B:$B,'cluster capacity, unallocateds'!B63,'capacity data'!$E:$E,"PO",'capacity data'!$F:$F,"&gt;110%")</f>
        <v>0</v>
      </c>
      <c r="E63" s="78" t="str">
        <f t="shared" si="4"/>
        <v/>
      </c>
      <c r="F63" s="87">
        <f>COUNTIFS('capacity data'!$B:$B,'cluster capacity, unallocateds'!B63,'capacity data'!$E:$E,"PSO")</f>
        <v>0</v>
      </c>
      <c r="G63" s="87">
        <f>COUNTIFS('capacity data'!$B:$B,'cluster capacity, unallocateds'!B63,'capacity data'!$E:$E,"PSO",'capacity data'!$F:$F,"&gt;110%")</f>
        <v>0</v>
      </c>
      <c r="H63" s="78" t="str">
        <f t="shared" si="5"/>
        <v/>
      </c>
      <c r="I63" s="87">
        <f>COUNTIFS('capacity data'!$B:$B,'cluster capacity, unallocateds'!B63,'capacity data'!$E:$E,"PSO",'capacity data'!$F:$F,"&lt;90%")</f>
        <v>0</v>
      </c>
      <c r="J63" s="78" t="str">
        <f t="shared" si="6"/>
        <v/>
      </c>
      <c r="K63" s="87">
        <f>COUNTIFS('capacity data'!$B:$B,'cluster capacity, unallocateds'!B63,'capacity data'!$E:$E,"TPO")</f>
        <v>0</v>
      </c>
      <c r="L63" s="87">
        <f>COUNTIFS('capacity data'!$B:$B,'cluster capacity, unallocateds'!B63,'capacity data'!$E:$E,"TPO",'capacity data'!$F:$F,"&gt;110%")</f>
        <v>0</v>
      </c>
      <c r="M63" s="78" t="str">
        <f t="shared" si="7"/>
        <v/>
      </c>
      <c r="N63" s="2"/>
      <c r="O63" s="2"/>
      <c r="P63" s="2"/>
      <c r="Q63" s="2"/>
      <c r="R63" s="2"/>
      <c r="S63" s="2"/>
      <c r="T63" s="2"/>
      <c r="U63" s="2"/>
      <c r="V63" s="2"/>
      <c r="W63" s="1"/>
    </row>
    <row r="64" spans="1:23" ht="16" x14ac:dyDescent="0.2">
      <c r="A64" s="11"/>
      <c r="B64" s="74" t="str">
        <f>HLOOKUP($B$4,Region_Table,28,0)</f>
        <v>Wandsworth, Merton and Sutton</v>
      </c>
      <c r="C64" s="87">
        <f>COUNTIFS('capacity data'!$B:$B,'cluster capacity, unallocateds'!B64,'capacity data'!$E:$E,"PO")</f>
        <v>0</v>
      </c>
      <c r="D64" s="87">
        <f>COUNTIFS('capacity data'!$B:$B,'cluster capacity, unallocateds'!B64,'capacity data'!$E:$E,"PO",'capacity data'!$F:$F,"&gt;110%")</f>
        <v>0</v>
      </c>
      <c r="E64" s="78" t="str">
        <f t="shared" si="4"/>
        <v/>
      </c>
      <c r="F64" s="87">
        <f>COUNTIFS('capacity data'!$B:$B,'cluster capacity, unallocateds'!B64,'capacity data'!$E:$E,"PSO")</f>
        <v>0</v>
      </c>
      <c r="G64" s="87">
        <f>COUNTIFS('capacity data'!$B:$B,'cluster capacity, unallocateds'!B64,'capacity data'!$E:$E,"PSO",'capacity data'!$F:$F,"&gt;110%")</f>
        <v>0</v>
      </c>
      <c r="H64" s="78" t="str">
        <f t="shared" si="5"/>
        <v/>
      </c>
      <c r="I64" s="87">
        <f>COUNTIFS('capacity data'!$B:$B,'cluster capacity, unallocateds'!B64,'capacity data'!$E:$E,"PSO",'capacity data'!$F:$F,"&lt;90%")</f>
        <v>0</v>
      </c>
      <c r="J64" s="78" t="str">
        <f t="shared" si="6"/>
        <v/>
      </c>
      <c r="K64" s="87">
        <f>COUNTIFS('capacity data'!$B:$B,'cluster capacity, unallocateds'!B64,'capacity data'!$E:$E,"TPO")</f>
        <v>0</v>
      </c>
      <c r="L64" s="87">
        <f>COUNTIFS('capacity data'!$B:$B,'cluster capacity, unallocateds'!B64,'capacity data'!$E:$E,"TPO",'capacity data'!$F:$F,"&gt;110%")</f>
        <v>0</v>
      </c>
      <c r="M64" s="78" t="str">
        <f t="shared" si="7"/>
        <v/>
      </c>
      <c r="N64" s="2"/>
      <c r="O64" s="2"/>
      <c r="P64" s="2"/>
      <c r="Q64" s="2"/>
      <c r="R64" s="2"/>
      <c r="S64" s="2"/>
      <c r="T64" s="2"/>
      <c r="U64" s="2"/>
      <c r="V64" s="2"/>
      <c r="W64" s="1"/>
    </row>
    <row r="65" spans="1:23" ht="10.5" customHeight="1" x14ac:dyDescent="0.2">
      <c r="A65" s="11"/>
      <c r="B65" s="1"/>
      <c r="C65" s="361"/>
      <c r="D65" s="362"/>
      <c r="E65" s="362"/>
      <c r="F65" s="362"/>
      <c r="G65" s="362"/>
      <c r="H65" s="362"/>
      <c r="I65" s="362"/>
      <c r="J65" s="362"/>
      <c r="K65" s="36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"/>
    </row>
    <row r="66" spans="1:23" ht="72.75" customHeight="1" x14ac:dyDescent="0.2">
      <c r="A66" s="11"/>
      <c r="B66" s="25" t="s">
        <v>1273</v>
      </c>
      <c r="C66" s="244" t="s">
        <v>1167</v>
      </c>
      <c r="D66" s="244" t="s">
        <v>1168</v>
      </c>
      <c r="E66" s="244" t="s">
        <v>1169</v>
      </c>
      <c r="F66" s="244" t="s">
        <v>1170</v>
      </c>
      <c r="G66" s="244" t="s">
        <v>1171</v>
      </c>
      <c r="H66" s="244" t="s">
        <v>1172</v>
      </c>
      <c r="I66" s="244" t="s">
        <v>1173</v>
      </c>
      <c r="J66" s="244" t="s">
        <v>1174</v>
      </c>
      <c r="K66" s="244" t="s">
        <v>1175</v>
      </c>
      <c r="O66" s="2"/>
      <c r="P66" s="2"/>
      <c r="Q66" s="2"/>
      <c r="R66" s="2"/>
      <c r="S66" s="2"/>
      <c r="T66" s="2"/>
      <c r="U66" s="2"/>
      <c r="V66" s="2"/>
      <c r="W66" s="1"/>
    </row>
    <row r="67" spans="1:23" ht="16" x14ac:dyDescent="0.2">
      <c r="A67" s="11"/>
      <c r="B67" s="174" t="s">
        <v>1157</v>
      </c>
      <c r="C67" s="181">
        <f>SUMIF('capacity data'!E:E,"PO",'capacity data'!I:I)</f>
        <v>0</v>
      </c>
      <c r="D67" s="181">
        <f>SUMIF('capacity data'!E:E,"PO",'capacity data'!J:J)</f>
        <v>0</v>
      </c>
      <c r="E67" s="182" t="e">
        <f>D67/C67</f>
        <v>#DIV/0!</v>
      </c>
      <c r="F67" s="181">
        <f>SUMIF('capacity data'!E:E,"PSO",'capacity data'!I:I)</f>
        <v>0</v>
      </c>
      <c r="G67" s="181">
        <f>SUMIF('capacity data'!E:E,"PSO",'capacity data'!J:J)</f>
        <v>0</v>
      </c>
      <c r="H67" s="182" t="e">
        <f>G67/F67</f>
        <v>#DIV/0!</v>
      </c>
      <c r="I67" s="181">
        <f>SUMIF('capacity data'!E:E,"TPO",'capacity data'!I:I)</f>
        <v>0</v>
      </c>
      <c r="J67" s="181">
        <f>SUMIF('capacity data'!E:E,"TPO",'capacity data'!J:J)</f>
        <v>0</v>
      </c>
      <c r="K67" s="182" t="e">
        <f>J67/I67</f>
        <v>#DIV/0!</v>
      </c>
      <c r="O67" s="2"/>
      <c r="P67" s="2"/>
      <c r="Q67" s="2"/>
      <c r="R67" s="2"/>
      <c r="S67" s="2"/>
      <c r="T67" s="2"/>
      <c r="U67" s="2"/>
      <c r="V67" s="2"/>
      <c r="W67" s="1"/>
    </row>
    <row r="68" spans="1:23" ht="16" x14ac:dyDescent="0.2">
      <c r="A68" s="11"/>
      <c r="B68" s="74" t="str">
        <f>HLOOKUP($B$4,Region_Table,2,0)</f>
        <v>Accredited Programmes and Structured Interventions - N07</v>
      </c>
      <c r="C68" s="107">
        <f>SUMIFS('capacity data'!I:I,'capacity data'!E:E,"PO",'capacity data'!B:B,'cluster capacity, unallocateds'!B68)</f>
        <v>0</v>
      </c>
      <c r="D68" s="107">
        <f>SUMIFS('capacity data'!J:J,'capacity data'!E:E,"PO",'capacity data'!B:B,'cluster capacity, unallocateds'!B68)</f>
        <v>0</v>
      </c>
      <c r="E68" s="182" t="str">
        <f>IFERROR(D68/C68,"")</f>
        <v/>
      </c>
      <c r="F68" s="107">
        <f>SUMIFS('capacity data'!I:I,'capacity data'!E:E,"PSO",'capacity data'!B:B,'cluster capacity, unallocateds'!B68)</f>
        <v>0</v>
      </c>
      <c r="G68" s="107">
        <f>SUMIFS('capacity data'!J:J,'capacity data'!E:E,"PSO",'capacity data'!B:B,'cluster capacity, unallocateds'!B68)</f>
        <v>0</v>
      </c>
      <c r="H68" s="182" t="str">
        <f>IFERROR(G68/F68,"")</f>
        <v/>
      </c>
      <c r="I68" s="107">
        <f>SUMIFS('capacity data'!I:I,'capacity data'!E:E,"TPO",'capacity data'!B:B,'cluster capacity, unallocateds'!B68)</f>
        <v>0</v>
      </c>
      <c r="J68" s="107">
        <f>SUMIFS('capacity data'!J:J,'capacity data'!E:E,"TPO",'capacity data'!B:B,'cluster capacity, unallocateds'!B68)</f>
        <v>0</v>
      </c>
      <c r="K68" s="182" t="str">
        <f>IFERROR(J68/I68,"")</f>
        <v/>
      </c>
      <c r="O68" s="2"/>
      <c r="P68" s="2"/>
      <c r="Q68" s="2"/>
      <c r="R68" s="2"/>
      <c r="S68" s="2"/>
      <c r="T68" s="2"/>
      <c r="U68" s="2"/>
      <c r="V68" s="2"/>
      <c r="W68" s="1"/>
    </row>
    <row r="69" spans="1:23" ht="16" x14ac:dyDescent="0.2">
      <c r="A69" s="11"/>
      <c r="B69" s="74" t="str">
        <f>HLOOKUP($B$4,Region_Table,3,0)</f>
        <v>All London</v>
      </c>
      <c r="C69" s="107">
        <f>SUMIFS('capacity data'!I:I,'capacity data'!E:E,"PO",'capacity data'!B:B,'cluster capacity, unallocateds'!B69)</f>
        <v>0</v>
      </c>
      <c r="D69" s="107">
        <f>SUMIFS('capacity data'!J:J,'capacity data'!E:E,"PO",'capacity data'!B:B,'cluster capacity, unallocateds'!B69)</f>
        <v>0</v>
      </c>
      <c r="E69" s="182" t="str">
        <f t="shared" ref="E69:E83" si="8">IFERROR(D69/C69,"")</f>
        <v/>
      </c>
      <c r="F69" s="107">
        <f>SUMIFS('capacity data'!I:I,'capacity data'!E:E,"PSO",'capacity data'!B:B,'cluster capacity, unallocateds'!B69)</f>
        <v>0</v>
      </c>
      <c r="G69" s="107">
        <f>SUMIFS('capacity data'!J:J,'capacity data'!E:E,"PSO",'capacity data'!B:B,'cluster capacity, unallocateds'!B69)</f>
        <v>0</v>
      </c>
      <c r="H69" s="182" t="str">
        <f t="shared" ref="H69:H83" si="9">IFERROR(G69/F69,"")</f>
        <v/>
      </c>
      <c r="I69" s="107">
        <f>SUMIFS('capacity data'!I:I,'capacity data'!E:E,"TPO",'capacity data'!B:B,'cluster capacity, unallocateds'!B69)</f>
        <v>0</v>
      </c>
      <c r="J69" s="107">
        <f>SUMIFS('capacity data'!J:J,'capacity data'!E:E,"TPO",'capacity data'!B:B,'cluster capacity, unallocateds'!B69)</f>
        <v>0</v>
      </c>
      <c r="K69" s="182" t="str">
        <f t="shared" ref="K69:K83" si="10">IFERROR(J69/I69,"")</f>
        <v/>
      </c>
      <c r="O69" s="2"/>
      <c r="P69" s="2"/>
      <c r="Q69" s="2"/>
      <c r="R69" s="2"/>
      <c r="S69" s="2"/>
      <c r="T69" s="2"/>
      <c r="U69" s="2"/>
      <c r="V69" s="2"/>
      <c r="W69" s="1"/>
    </row>
    <row r="70" spans="1:23" x14ac:dyDescent="0.15">
      <c r="B70" s="74" t="str">
        <f>HLOOKUP($B$4,Region_Table,4,0)</f>
        <v>Barking and Dagenham and Havering</v>
      </c>
      <c r="C70" s="107">
        <f>SUMIFS('capacity data'!I:I,'capacity data'!E:E,"PO",'capacity data'!B:B,'cluster capacity, unallocateds'!B70)</f>
        <v>0</v>
      </c>
      <c r="D70" s="107">
        <f>SUMIFS('capacity data'!J:J,'capacity data'!E:E,"PO",'capacity data'!B:B,'cluster capacity, unallocateds'!B70)</f>
        <v>0</v>
      </c>
      <c r="E70" s="182" t="str">
        <f t="shared" si="8"/>
        <v/>
      </c>
      <c r="F70" s="107">
        <f>SUMIFS('capacity data'!I:I,'capacity data'!E:E,"PSO",'capacity data'!B:B,'cluster capacity, unallocateds'!B70)</f>
        <v>0</v>
      </c>
      <c r="G70" s="107">
        <f>SUMIFS('capacity data'!J:J,'capacity data'!E:E,"PSO",'capacity data'!B:B,'cluster capacity, unallocateds'!B70)</f>
        <v>0</v>
      </c>
      <c r="H70" s="182" t="str">
        <f t="shared" si="9"/>
        <v/>
      </c>
      <c r="I70" s="107">
        <f>SUMIFS('capacity data'!I:I,'capacity data'!E:E,"TPO",'capacity data'!B:B,'cluster capacity, unallocateds'!B70)</f>
        <v>0</v>
      </c>
      <c r="J70" s="107">
        <f>SUMIFS('capacity data'!J:J,'capacity data'!E:E,"TPO",'capacity data'!B:B,'cluster capacity, unallocateds'!B70)</f>
        <v>0</v>
      </c>
      <c r="K70" s="182" t="str">
        <f t="shared" si="10"/>
        <v/>
      </c>
    </row>
    <row r="71" spans="1:23" x14ac:dyDescent="0.15">
      <c r="B71" s="74" t="str">
        <f>HLOOKUP($B$4,Region_Table,5,0)</f>
        <v>Brent - N07</v>
      </c>
      <c r="C71" s="107">
        <f>SUMIFS('capacity data'!I:I,'capacity data'!E:E,"PO",'capacity data'!B:B,'cluster capacity, unallocateds'!B71)</f>
        <v>0</v>
      </c>
      <c r="D71" s="107">
        <f>SUMIFS('capacity data'!J:J,'capacity data'!E:E,"PO",'capacity data'!B:B,'cluster capacity, unallocateds'!B71)</f>
        <v>0</v>
      </c>
      <c r="E71" s="182" t="str">
        <f t="shared" si="8"/>
        <v/>
      </c>
      <c r="F71" s="107">
        <f>SUMIFS('capacity data'!I:I,'capacity data'!E:E,"PSO",'capacity data'!B:B,'cluster capacity, unallocateds'!B71)</f>
        <v>0</v>
      </c>
      <c r="G71" s="107">
        <f>SUMIFS('capacity data'!J:J,'capacity data'!E:E,"PSO",'capacity data'!B:B,'cluster capacity, unallocateds'!B71)</f>
        <v>0</v>
      </c>
      <c r="H71" s="182" t="str">
        <f t="shared" si="9"/>
        <v/>
      </c>
      <c r="I71" s="107">
        <f>SUMIFS('capacity data'!I:I,'capacity data'!E:E,"TPO",'capacity data'!B:B,'cluster capacity, unallocateds'!B71)</f>
        <v>0</v>
      </c>
      <c r="J71" s="107">
        <f>SUMIFS('capacity data'!J:J,'capacity data'!E:E,"TPO",'capacity data'!B:B,'cluster capacity, unallocateds'!B71)</f>
        <v>0</v>
      </c>
      <c r="K71" s="182" t="str">
        <f t="shared" si="10"/>
        <v/>
      </c>
    </row>
    <row r="72" spans="1:23" x14ac:dyDescent="0.15">
      <c r="B72" s="74" t="str">
        <f>HLOOKUP($B$4,Region_Table,6,0)</f>
        <v>Camden, Islington</v>
      </c>
      <c r="C72" s="107">
        <f>SUMIFS('capacity data'!I:I,'capacity data'!E:E,"PO",'capacity data'!B:B,'cluster capacity, unallocateds'!B72)</f>
        <v>0</v>
      </c>
      <c r="D72" s="107">
        <f>SUMIFS('capacity data'!J:J,'capacity data'!E:E,"PO",'capacity data'!B:B,'cluster capacity, unallocateds'!B72)</f>
        <v>0</v>
      </c>
      <c r="E72" s="182" t="str">
        <f t="shared" si="8"/>
        <v/>
      </c>
      <c r="F72" s="107">
        <f>SUMIFS('capacity data'!I:I,'capacity data'!E:E,"PSO",'capacity data'!B:B,'cluster capacity, unallocateds'!B72)</f>
        <v>0</v>
      </c>
      <c r="G72" s="107">
        <f>SUMIFS('capacity data'!J:J,'capacity data'!E:E,"PSO",'capacity data'!B:B,'cluster capacity, unallocateds'!B72)</f>
        <v>0</v>
      </c>
      <c r="H72" s="182" t="str">
        <f t="shared" si="9"/>
        <v/>
      </c>
      <c r="I72" s="107">
        <f>SUMIFS('capacity data'!I:I,'capacity data'!E:E,"TPO",'capacity data'!B:B,'cluster capacity, unallocateds'!B72)</f>
        <v>0</v>
      </c>
      <c r="J72" s="107">
        <f>SUMIFS('capacity data'!J:J,'capacity data'!E:E,"TPO",'capacity data'!B:B,'cluster capacity, unallocateds'!B72)</f>
        <v>0</v>
      </c>
      <c r="K72" s="182" t="str">
        <f t="shared" si="10"/>
        <v/>
      </c>
    </row>
    <row r="73" spans="1:23" x14ac:dyDescent="0.15">
      <c r="B73" s="74" t="str">
        <f>HLOOKUP($B$4,Region_Table,7,0)</f>
        <v>Community Integration</v>
      </c>
      <c r="C73" s="107">
        <f>SUMIFS('capacity data'!I:I,'capacity data'!E:E,"PO",'capacity data'!B:B,'cluster capacity, unallocateds'!B73)</f>
        <v>0</v>
      </c>
      <c r="D73" s="107">
        <f>SUMIFS('capacity data'!J:J,'capacity data'!E:E,"PO",'capacity data'!B:B,'cluster capacity, unallocateds'!B73)</f>
        <v>0</v>
      </c>
      <c r="E73" s="182" t="str">
        <f t="shared" si="8"/>
        <v/>
      </c>
      <c r="F73" s="107">
        <f>SUMIFS('capacity data'!I:I,'capacity data'!E:E,"PSO",'capacity data'!B:B,'cluster capacity, unallocateds'!B73)</f>
        <v>0</v>
      </c>
      <c r="G73" s="107">
        <f>SUMIFS('capacity data'!J:J,'capacity data'!E:E,"PSO",'capacity data'!B:B,'cluster capacity, unallocateds'!B73)</f>
        <v>0</v>
      </c>
      <c r="H73" s="182" t="str">
        <f t="shared" si="9"/>
        <v/>
      </c>
      <c r="I73" s="107">
        <f>SUMIFS('capacity data'!I:I,'capacity data'!E:E,"TPO",'capacity data'!B:B,'cluster capacity, unallocateds'!B73)</f>
        <v>0</v>
      </c>
      <c r="J73" s="107">
        <f>SUMIFS('capacity data'!J:J,'capacity data'!E:E,"TPO",'capacity data'!B:B,'cluster capacity, unallocateds'!B73)</f>
        <v>0</v>
      </c>
      <c r="K73" s="182" t="str">
        <f t="shared" si="10"/>
        <v/>
      </c>
    </row>
    <row r="74" spans="1:23" x14ac:dyDescent="0.15">
      <c r="B74" s="74" t="str">
        <f>HLOOKUP($B$4,Region_Table,8,0)</f>
        <v>Corporate Services - N07</v>
      </c>
      <c r="C74" s="107">
        <f>SUMIFS('capacity data'!I:I,'capacity data'!E:E,"PO",'capacity data'!B:B,'cluster capacity, unallocateds'!B74)</f>
        <v>0</v>
      </c>
      <c r="D74" s="107">
        <f>SUMIFS('capacity data'!J:J,'capacity data'!E:E,"PO",'capacity data'!B:B,'cluster capacity, unallocateds'!B74)</f>
        <v>0</v>
      </c>
      <c r="E74" s="182" t="str">
        <f t="shared" si="8"/>
        <v/>
      </c>
      <c r="F74" s="107">
        <f>SUMIFS('capacity data'!I:I,'capacity data'!E:E,"PSO",'capacity data'!B:B,'cluster capacity, unallocateds'!B74)</f>
        <v>0</v>
      </c>
      <c r="G74" s="107">
        <f>SUMIFS('capacity data'!J:J,'capacity data'!E:E,"PSO",'capacity data'!B:B,'cluster capacity, unallocateds'!B74)</f>
        <v>0</v>
      </c>
      <c r="H74" s="182" t="str">
        <f t="shared" si="9"/>
        <v/>
      </c>
      <c r="I74" s="107">
        <f>SUMIFS('capacity data'!I:I,'capacity data'!E:E,"TPO",'capacity data'!B:B,'cluster capacity, unallocateds'!B74)</f>
        <v>0</v>
      </c>
      <c r="J74" s="107">
        <f>SUMIFS('capacity data'!J:J,'capacity data'!E:E,"TPO",'capacity data'!B:B,'cluster capacity, unallocateds'!B74)</f>
        <v>0</v>
      </c>
      <c r="K74" s="182" t="str">
        <f t="shared" si="10"/>
        <v/>
      </c>
    </row>
    <row r="75" spans="1:23" x14ac:dyDescent="0.15">
      <c r="B75" s="74" t="str">
        <f>HLOOKUP($B$4,Region_Table,9,0)</f>
        <v>Croydon - N07</v>
      </c>
      <c r="C75" s="107">
        <f>SUMIFS('capacity data'!I:I,'capacity data'!E:E,"PO",'capacity data'!B:B,'cluster capacity, unallocateds'!B75)</f>
        <v>0</v>
      </c>
      <c r="D75" s="107">
        <f>SUMIFS('capacity data'!J:J,'capacity data'!E:E,"PO",'capacity data'!B:B,'cluster capacity, unallocateds'!B75)</f>
        <v>0</v>
      </c>
      <c r="E75" s="182" t="str">
        <f t="shared" si="8"/>
        <v/>
      </c>
      <c r="F75" s="107">
        <f>SUMIFS('capacity data'!I:I,'capacity data'!E:E,"PSO",'capacity data'!B:B,'cluster capacity, unallocateds'!B75)</f>
        <v>0</v>
      </c>
      <c r="G75" s="107">
        <f>SUMIFS('capacity data'!J:J,'capacity data'!E:E,"PSO",'capacity data'!B:B,'cluster capacity, unallocateds'!B75)</f>
        <v>0</v>
      </c>
      <c r="H75" s="182" t="str">
        <f t="shared" si="9"/>
        <v/>
      </c>
      <c r="I75" s="107">
        <f>SUMIFS('capacity data'!I:I,'capacity data'!E:E,"TPO",'capacity data'!B:B,'cluster capacity, unallocateds'!B75)</f>
        <v>0</v>
      </c>
      <c r="J75" s="107">
        <f>SUMIFS('capacity data'!J:J,'capacity data'!E:E,"TPO",'capacity data'!B:B,'cluster capacity, unallocateds'!B75)</f>
        <v>0</v>
      </c>
      <c r="K75" s="182" t="str">
        <f t="shared" si="10"/>
        <v/>
      </c>
    </row>
    <row r="76" spans="1:23" x14ac:dyDescent="0.15">
      <c r="B76" s="74" t="str">
        <f>HLOOKUP($B$4,Region_Table,10,0)</f>
        <v>Ealing and Hillingdon</v>
      </c>
      <c r="C76" s="107">
        <f>SUMIFS('capacity data'!I:I,'capacity data'!E:E,"PO",'capacity data'!B:B,'cluster capacity, unallocateds'!B76)</f>
        <v>0</v>
      </c>
      <c r="D76" s="107">
        <f>SUMIFS('capacity data'!J:J,'capacity data'!E:E,"PO",'capacity data'!B:B,'cluster capacity, unallocateds'!B76)</f>
        <v>0</v>
      </c>
      <c r="E76" s="182" t="str">
        <f t="shared" si="8"/>
        <v/>
      </c>
      <c r="F76" s="107">
        <f>SUMIFS('capacity data'!I:I,'capacity data'!E:E,"PSO",'capacity data'!B:B,'cluster capacity, unallocateds'!B76)</f>
        <v>0</v>
      </c>
      <c r="G76" s="107">
        <f>SUMIFS('capacity data'!J:J,'capacity data'!E:E,"PSO",'capacity data'!B:B,'cluster capacity, unallocateds'!B76)</f>
        <v>0</v>
      </c>
      <c r="H76" s="182" t="str">
        <f t="shared" si="9"/>
        <v/>
      </c>
      <c r="I76" s="107">
        <f>SUMIFS('capacity data'!I:I,'capacity data'!E:E,"TPO",'capacity data'!B:B,'cluster capacity, unallocateds'!B76)</f>
        <v>0</v>
      </c>
      <c r="J76" s="107">
        <f>SUMIFS('capacity data'!J:J,'capacity data'!E:E,"TPO",'capacity data'!B:B,'cluster capacity, unallocateds'!B76)</f>
        <v>0</v>
      </c>
      <c r="K76" s="182" t="str">
        <f t="shared" si="10"/>
        <v/>
      </c>
    </row>
    <row r="77" spans="1:23" x14ac:dyDescent="0.15">
      <c r="B77" s="74" t="str">
        <f>HLOOKUP($B$4,Region_Table,11,0)</f>
        <v>Enfield and Haringey</v>
      </c>
      <c r="C77" s="107">
        <f>SUMIFS('capacity data'!I:I,'capacity data'!E:E,"PO",'capacity data'!B:B,'cluster capacity, unallocateds'!B77)</f>
        <v>0</v>
      </c>
      <c r="D77" s="107">
        <f>SUMIFS('capacity data'!J:J,'capacity data'!E:E,"PO",'capacity data'!B:B,'cluster capacity, unallocateds'!B77)</f>
        <v>0</v>
      </c>
      <c r="E77" s="182" t="str">
        <f t="shared" si="8"/>
        <v/>
      </c>
      <c r="F77" s="107">
        <f>SUMIFS('capacity data'!I:I,'capacity data'!E:E,"PSO",'capacity data'!B:B,'cluster capacity, unallocateds'!B77)</f>
        <v>0</v>
      </c>
      <c r="G77" s="107">
        <f>SUMIFS('capacity data'!J:J,'capacity data'!E:E,"PSO",'capacity data'!B:B,'cluster capacity, unallocateds'!B77)</f>
        <v>0</v>
      </c>
      <c r="H77" s="182" t="str">
        <f t="shared" si="9"/>
        <v/>
      </c>
      <c r="I77" s="107">
        <f>SUMIFS('capacity data'!I:I,'capacity data'!E:E,"TPO",'capacity data'!B:B,'cluster capacity, unallocateds'!B77)</f>
        <v>0</v>
      </c>
      <c r="J77" s="107">
        <f>SUMIFS('capacity data'!J:J,'capacity data'!E:E,"TPO",'capacity data'!B:B,'cluster capacity, unallocateds'!B77)</f>
        <v>0</v>
      </c>
      <c r="K77" s="182" t="str">
        <f t="shared" si="10"/>
        <v/>
      </c>
    </row>
    <row r="78" spans="1:23" x14ac:dyDescent="0.15">
      <c r="B78" s="74" t="str">
        <f>HLOOKUP($B$4,Region_Table,12,0)</f>
        <v>Greenwich and Bexley</v>
      </c>
      <c r="C78" s="107">
        <f>SUMIFS('capacity data'!I:I,'capacity data'!E:E,"PO",'capacity data'!B:B,'cluster capacity, unallocateds'!B78)</f>
        <v>0</v>
      </c>
      <c r="D78" s="107">
        <f>SUMIFS('capacity data'!J:J,'capacity data'!E:E,"PO",'capacity data'!B:B,'cluster capacity, unallocateds'!B78)</f>
        <v>0</v>
      </c>
      <c r="E78" s="182" t="str">
        <f t="shared" si="8"/>
        <v/>
      </c>
      <c r="F78" s="107">
        <f>SUMIFS('capacity data'!I:I,'capacity data'!E:E,"PSO",'capacity data'!B:B,'cluster capacity, unallocateds'!B78)</f>
        <v>0</v>
      </c>
      <c r="G78" s="107">
        <f>SUMIFS('capacity data'!J:J,'capacity data'!E:E,"PSO",'capacity data'!B:B,'cluster capacity, unallocateds'!B78)</f>
        <v>0</v>
      </c>
      <c r="H78" s="182" t="str">
        <f t="shared" si="9"/>
        <v/>
      </c>
      <c r="I78" s="107">
        <f>SUMIFS('capacity data'!I:I,'capacity data'!E:E,"TPO",'capacity data'!B:B,'cluster capacity, unallocateds'!B78)</f>
        <v>0</v>
      </c>
      <c r="J78" s="107">
        <f>SUMIFS('capacity data'!J:J,'capacity data'!E:E,"TPO",'capacity data'!B:B,'cluster capacity, unallocateds'!B78)</f>
        <v>0</v>
      </c>
      <c r="K78" s="182" t="str">
        <f t="shared" si="10"/>
        <v/>
      </c>
    </row>
    <row r="79" spans="1:23" x14ac:dyDescent="0.15">
      <c r="B79" s="74" t="str">
        <f>HLOOKUP($B$4,Region_Table,13,0)</f>
        <v>Hackney and City</v>
      </c>
      <c r="C79" s="107">
        <f>SUMIFS('capacity data'!I:I,'capacity data'!E:E,"PO",'capacity data'!B:B,'cluster capacity, unallocateds'!B79)</f>
        <v>0</v>
      </c>
      <c r="D79" s="107">
        <f>SUMIFS('capacity data'!J:J,'capacity data'!E:E,"PO",'capacity data'!B:B,'cluster capacity, unallocateds'!B79)</f>
        <v>0</v>
      </c>
      <c r="E79" s="182" t="str">
        <f t="shared" si="8"/>
        <v/>
      </c>
      <c r="F79" s="107">
        <f>SUMIFS('capacity data'!I:I,'capacity data'!E:E,"PSO",'capacity data'!B:B,'cluster capacity, unallocateds'!B79)</f>
        <v>0</v>
      </c>
      <c r="G79" s="107">
        <f>SUMIFS('capacity data'!J:J,'capacity data'!E:E,"PSO",'capacity data'!B:B,'cluster capacity, unallocateds'!B79)</f>
        <v>0</v>
      </c>
      <c r="H79" s="182" t="str">
        <f t="shared" si="9"/>
        <v/>
      </c>
      <c r="I79" s="107">
        <f>SUMIFS('capacity data'!I:I,'capacity data'!E:E,"TPO",'capacity data'!B:B,'cluster capacity, unallocateds'!B79)</f>
        <v>0</v>
      </c>
      <c r="J79" s="107">
        <f>SUMIFS('capacity data'!J:J,'capacity data'!E:E,"TPO",'capacity data'!B:B,'cluster capacity, unallocateds'!B79)</f>
        <v>0</v>
      </c>
      <c r="K79" s="182" t="str">
        <f t="shared" si="10"/>
        <v/>
      </c>
    </row>
    <row r="80" spans="1:23" x14ac:dyDescent="0.15">
      <c r="B80" s="74" t="str">
        <f>HLOOKUP($B$4,Region_Table,14,0)</f>
        <v>Hammersmith, Fulham, Kensington, Chelsea and Westminster</v>
      </c>
      <c r="C80" s="107">
        <f>SUMIFS('capacity data'!I:I,'capacity data'!E:E,"PO",'capacity data'!B:B,'cluster capacity, unallocateds'!B80)</f>
        <v>0</v>
      </c>
      <c r="D80" s="107">
        <f>SUMIFS('capacity data'!J:J,'capacity data'!E:E,"PO",'capacity data'!B:B,'cluster capacity, unallocateds'!B80)</f>
        <v>0</v>
      </c>
      <c r="E80" s="182" t="str">
        <f t="shared" si="8"/>
        <v/>
      </c>
      <c r="F80" s="107">
        <f>SUMIFS('capacity data'!I:I,'capacity data'!E:E,"PSO",'capacity data'!B:B,'cluster capacity, unallocateds'!B80)</f>
        <v>0</v>
      </c>
      <c r="G80" s="107">
        <f>SUMIFS('capacity data'!J:J,'capacity data'!E:E,"PSO",'capacity data'!B:B,'cluster capacity, unallocateds'!B80)</f>
        <v>0</v>
      </c>
      <c r="H80" s="182" t="str">
        <f t="shared" si="9"/>
        <v/>
      </c>
      <c r="I80" s="107">
        <f>SUMIFS('capacity data'!I:I,'capacity data'!E:E,"TPO",'capacity data'!B:B,'cluster capacity, unallocateds'!B80)</f>
        <v>0</v>
      </c>
      <c r="J80" s="107">
        <f>SUMIFS('capacity data'!J:J,'capacity data'!E:E,"TPO",'capacity data'!B:B,'cluster capacity, unallocateds'!B80)</f>
        <v>0</v>
      </c>
      <c r="K80" s="182" t="str">
        <f t="shared" si="10"/>
        <v/>
      </c>
    </row>
    <row r="81" spans="2:11" x14ac:dyDescent="0.15">
      <c r="B81" s="74" t="str">
        <f>HLOOKUP($B$4,Region_Table,15,0)</f>
        <v>Harrow and Barnet</v>
      </c>
      <c r="C81" s="107">
        <f>SUMIFS('capacity data'!I:I,'capacity data'!E:E,"PO",'capacity data'!B:B,'cluster capacity, unallocateds'!B81)</f>
        <v>0</v>
      </c>
      <c r="D81" s="107">
        <f>SUMIFS('capacity data'!J:J,'capacity data'!E:E,"PO",'capacity data'!B:B,'cluster capacity, unallocateds'!B81)</f>
        <v>0</v>
      </c>
      <c r="E81" s="182" t="str">
        <f t="shared" si="8"/>
        <v/>
      </c>
      <c r="F81" s="107">
        <f>SUMIFS('capacity data'!I:I,'capacity data'!E:E,"PSO",'capacity data'!B:B,'cluster capacity, unallocateds'!B81)</f>
        <v>0</v>
      </c>
      <c r="G81" s="107">
        <f>SUMIFS('capacity data'!J:J,'capacity data'!E:E,"PSO",'capacity data'!B:B,'cluster capacity, unallocateds'!B81)</f>
        <v>0</v>
      </c>
      <c r="H81" s="182" t="str">
        <f t="shared" si="9"/>
        <v/>
      </c>
      <c r="I81" s="107">
        <f>SUMIFS('capacity data'!I:I,'capacity data'!E:E,"TPO",'capacity data'!B:B,'cluster capacity, unallocateds'!B81)</f>
        <v>0</v>
      </c>
      <c r="J81" s="107">
        <f>SUMIFS('capacity data'!J:J,'capacity data'!E:E,"TPO",'capacity data'!B:B,'cluster capacity, unallocateds'!B81)</f>
        <v>0</v>
      </c>
      <c r="K81" s="182" t="str">
        <f t="shared" si="10"/>
        <v/>
      </c>
    </row>
    <row r="82" spans="2:11" x14ac:dyDescent="0.15">
      <c r="B82" s="74" t="str">
        <f>HLOOKUP($B$4,Region_Table,16,0)</f>
        <v>Headquarters - N07</v>
      </c>
      <c r="C82" s="107">
        <f>SUMIFS('capacity data'!I:I,'capacity data'!E:E,"PO",'capacity data'!B:B,'cluster capacity, unallocateds'!B82)</f>
        <v>0</v>
      </c>
      <c r="D82" s="107">
        <f>SUMIFS('capacity data'!J:J,'capacity data'!E:E,"PO",'capacity data'!B:B,'cluster capacity, unallocateds'!B82)</f>
        <v>0</v>
      </c>
      <c r="E82" s="182" t="str">
        <f t="shared" si="8"/>
        <v/>
      </c>
      <c r="F82" s="107">
        <f>SUMIFS('capacity data'!I:I,'capacity data'!E:E,"PSO",'capacity data'!B:B,'cluster capacity, unallocateds'!B82)</f>
        <v>0</v>
      </c>
      <c r="G82" s="107">
        <f>SUMIFS('capacity data'!J:J,'capacity data'!E:E,"PSO",'capacity data'!B:B,'cluster capacity, unallocateds'!B82)</f>
        <v>0</v>
      </c>
      <c r="H82" s="182" t="str">
        <f t="shared" si="9"/>
        <v/>
      </c>
      <c r="I82" s="107">
        <f>SUMIFS('capacity data'!I:I,'capacity data'!E:E,"TPO",'capacity data'!B:B,'cluster capacity, unallocateds'!B82)</f>
        <v>0</v>
      </c>
      <c r="J82" s="107">
        <f>SUMIFS('capacity data'!J:J,'capacity data'!E:E,"TPO",'capacity data'!B:B,'cluster capacity, unallocateds'!B82)</f>
        <v>0</v>
      </c>
      <c r="K82" s="182" t="str">
        <f t="shared" si="10"/>
        <v/>
      </c>
    </row>
    <row r="83" spans="2:11" x14ac:dyDescent="0.15">
      <c r="B83" s="74" t="str">
        <f>HLOOKUP($B$4,Region_Table,17,0)</f>
        <v>Inactive Level 2(N07)</v>
      </c>
      <c r="C83" s="107">
        <f>SUMIFS('capacity data'!I:I,'capacity data'!E:E,"PO",'capacity data'!B:B,'cluster capacity, unallocateds'!B83)</f>
        <v>0</v>
      </c>
      <c r="D83" s="107">
        <f>SUMIFS('capacity data'!J:J,'capacity data'!E:E,"PO",'capacity data'!B:B,'cluster capacity, unallocateds'!B83)</f>
        <v>0</v>
      </c>
      <c r="E83" s="182" t="str">
        <f t="shared" si="8"/>
        <v/>
      </c>
      <c r="F83" s="107">
        <f>SUMIFS('capacity data'!I:I,'capacity data'!E:E,"PSO",'capacity data'!B:B,'cluster capacity, unallocateds'!B83)</f>
        <v>0</v>
      </c>
      <c r="G83" s="107">
        <f>SUMIFS('capacity data'!J:J,'capacity data'!E:E,"PSO",'capacity data'!B:B,'cluster capacity, unallocateds'!B83)</f>
        <v>0</v>
      </c>
      <c r="H83" s="182" t="str">
        <f t="shared" si="9"/>
        <v/>
      </c>
      <c r="I83" s="107">
        <f>SUMIFS('capacity data'!I:I,'capacity data'!E:E,"TPO",'capacity data'!B:B,'cluster capacity, unallocateds'!B83)</f>
        <v>0</v>
      </c>
      <c r="J83" s="107">
        <f>SUMIFS('capacity data'!J:J,'capacity data'!E:E,"TPO",'capacity data'!B:B,'cluster capacity, unallocateds'!B83)</f>
        <v>0</v>
      </c>
      <c r="K83" s="182" t="str">
        <f t="shared" si="10"/>
        <v/>
      </c>
    </row>
    <row r="84" spans="2:11" x14ac:dyDescent="0.15">
      <c r="B84" s="74" t="str">
        <f>HLOOKUP($B$4,Region_Table,18,0)</f>
        <v>Kingston, Richmond and Hounslow</v>
      </c>
      <c r="C84" s="107">
        <f>SUMIFS('capacity data'!I:I,'capacity data'!E:E,"PO",'capacity data'!B:B,'cluster capacity, unallocateds'!B84)</f>
        <v>0</v>
      </c>
      <c r="D84" s="107">
        <f>SUMIFS('capacity data'!J:J,'capacity data'!E:E,"PO",'capacity data'!B:B,'cluster capacity, unallocateds'!B84)</f>
        <v>0</v>
      </c>
      <c r="E84" s="182" t="str">
        <f t="shared" ref="E84:E86" si="11">IFERROR(D84/C84,"")</f>
        <v/>
      </c>
      <c r="F84" s="107">
        <f>SUMIFS('capacity data'!I:I,'capacity data'!E:E,"PSO",'capacity data'!B:B,'cluster capacity, unallocateds'!B84)</f>
        <v>0</v>
      </c>
      <c r="G84" s="107">
        <f>SUMIFS('capacity data'!J:J,'capacity data'!E:E,"PSO",'capacity data'!B:B,'cluster capacity, unallocateds'!B84)</f>
        <v>0</v>
      </c>
      <c r="H84" s="182" t="str">
        <f t="shared" ref="H84:H86" si="12">IFERROR(G84/F84,"")</f>
        <v/>
      </c>
      <c r="I84" s="107">
        <f>SUMIFS('capacity data'!I:I,'capacity data'!E:E,"TPO",'capacity data'!B:B,'cluster capacity, unallocateds'!B84)</f>
        <v>0</v>
      </c>
      <c r="J84" s="107">
        <f>SUMIFS('capacity data'!J:J,'capacity data'!E:E,"TPO",'capacity data'!B:B,'cluster capacity, unallocateds'!B84)</f>
        <v>0</v>
      </c>
      <c r="K84" s="182" t="str">
        <f t="shared" ref="K84:K86" si="13">IFERROR(J84/I84,"")</f>
        <v/>
      </c>
    </row>
    <row r="85" spans="2:11" x14ac:dyDescent="0.15">
      <c r="B85" s="74" t="str">
        <f>HLOOKUP($B$4,Region_Table,19,0)</f>
        <v>Lambeth - N07</v>
      </c>
      <c r="C85" s="107">
        <f>SUMIFS('capacity data'!I:I,'capacity data'!E:E,"PO",'capacity data'!B:B,'cluster capacity, unallocateds'!B85)</f>
        <v>0</v>
      </c>
      <c r="D85" s="107">
        <f>SUMIFS('capacity data'!J:J,'capacity data'!E:E,"PO",'capacity data'!B:B,'cluster capacity, unallocateds'!B85)</f>
        <v>0</v>
      </c>
      <c r="E85" s="182" t="str">
        <f t="shared" si="11"/>
        <v/>
      </c>
      <c r="F85" s="107">
        <f>SUMIFS('capacity data'!I:I,'capacity data'!E:E,"PSO",'capacity data'!B:B,'cluster capacity, unallocateds'!B85)</f>
        <v>0</v>
      </c>
      <c r="G85" s="107">
        <f>SUMIFS('capacity data'!J:J,'capacity data'!E:E,"PSO",'capacity data'!B:B,'cluster capacity, unallocateds'!B85)</f>
        <v>0</v>
      </c>
      <c r="H85" s="182" t="str">
        <f t="shared" si="12"/>
        <v/>
      </c>
      <c r="I85" s="107">
        <f>SUMIFS('capacity data'!I:I,'capacity data'!E:E,"TPO",'capacity data'!B:B,'cluster capacity, unallocateds'!B85)</f>
        <v>0</v>
      </c>
      <c r="J85" s="107">
        <f>SUMIFS('capacity data'!J:J,'capacity data'!E:E,"TPO",'capacity data'!B:B,'cluster capacity, unallocateds'!B85)</f>
        <v>0</v>
      </c>
      <c r="K85" s="182" t="str">
        <f t="shared" si="13"/>
        <v/>
      </c>
    </row>
    <row r="86" spans="2:11" ht="15" customHeight="1" x14ac:dyDescent="0.15">
      <c r="B86" s="74" t="str">
        <f>HLOOKUP($B$4,Region_Table,20,0)</f>
        <v>Lewisham and Bromley</v>
      </c>
      <c r="C86" s="107">
        <f>SUMIFS('capacity data'!I:I,'capacity data'!E:E,"PO",'capacity data'!B:B,'cluster capacity, unallocateds'!B86)</f>
        <v>0</v>
      </c>
      <c r="D86" s="107">
        <f>SUMIFS('capacity data'!J:J,'capacity data'!E:E,"PO",'capacity data'!B:B,'cluster capacity, unallocateds'!B86)</f>
        <v>0</v>
      </c>
      <c r="E86" s="182" t="str">
        <f t="shared" si="11"/>
        <v/>
      </c>
      <c r="F86" s="107">
        <f>SUMIFS('capacity data'!I:I,'capacity data'!E:E,"PSO",'capacity data'!B:B,'cluster capacity, unallocateds'!B86)</f>
        <v>0</v>
      </c>
      <c r="G86" s="107">
        <f>SUMIFS('capacity data'!J:J,'capacity data'!E:E,"PSO",'capacity data'!B:B,'cluster capacity, unallocateds'!B86)</f>
        <v>0</v>
      </c>
      <c r="H86" s="182" t="str">
        <f t="shared" si="12"/>
        <v/>
      </c>
      <c r="I86" s="107">
        <f>SUMIFS('capacity data'!I:I,'capacity data'!E:E,"TPO",'capacity data'!B:B,'cluster capacity, unallocateds'!B86)</f>
        <v>0</v>
      </c>
      <c r="J86" s="107">
        <f>SUMIFS('capacity data'!J:J,'capacity data'!E:E,"TPO",'capacity data'!B:B,'cluster capacity, unallocateds'!B86)</f>
        <v>0</v>
      </c>
      <c r="K86" s="182" t="str">
        <f t="shared" si="13"/>
        <v/>
      </c>
    </row>
    <row r="87" spans="2:11" ht="15" customHeight="1" x14ac:dyDescent="0.15">
      <c r="B87" s="74" t="str">
        <f>HLOOKUP($B$4,Region_Table,21,0)</f>
        <v>Newham - N07</v>
      </c>
      <c r="C87" s="107">
        <f>SUMIFS('capacity data'!I:I,'capacity data'!E:E,"PO",'capacity data'!B:B,'cluster capacity, unallocateds'!B87)</f>
        <v>0</v>
      </c>
      <c r="D87" s="107">
        <f>SUMIFS('capacity data'!J:J,'capacity data'!E:E,"PO",'capacity data'!B:B,'cluster capacity, unallocateds'!B87)</f>
        <v>0</v>
      </c>
      <c r="E87" s="182" t="str">
        <f t="shared" ref="E87:E94" si="14">IFERROR(D87/C87,"")</f>
        <v/>
      </c>
      <c r="F87" s="107">
        <f>SUMIFS('capacity data'!I:I,'capacity data'!E:E,"PSO",'capacity data'!B:B,'cluster capacity, unallocateds'!B87)</f>
        <v>0</v>
      </c>
      <c r="G87" s="107">
        <f>SUMIFS('capacity data'!J:J,'capacity data'!E:E,"PSO",'capacity data'!B:B,'cluster capacity, unallocateds'!B87)</f>
        <v>0</v>
      </c>
      <c r="H87" s="182" t="str">
        <f t="shared" ref="H87:H94" si="15">IFERROR(G87/F87,"")</f>
        <v/>
      </c>
      <c r="I87" s="107">
        <f>SUMIFS('capacity data'!I:I,'capacity data'!E:E,"TPO",'capacity data'!B:B,'cluster capacity, unallocateds'!B87)</f>
        <v>0</v>
      </c>
      <c r="J87" s="107">
        <f>SUMIFS('capacity data'!J:J,'capacity data'!E:E,"TPO",'capacity data'!B:B,'cluster capacity, unallocateds'!B87)</f>
        <v>0</v>
      </c>
      <c r="K87" s="182" t="str">
        <f t="shared" ref="K87:K94" si="16">IFERROR(J87/I87,"")</f>
        <v/>
      </c>
    </row>
    <row r="88" spans="2:11" ht="15" customHeight="1" x14ac:dyDescent="0.15">
      <c r="B88" s="74" t="str">
        <f>HLOOKUP($B$4,Region_Table,22,0)</f>
        <v>Public Protection Community - N07</v>
      </c>
      <c r="C88" s="107">
        <f>SUMIFS('capacity data'!I:I,'capacity data'!E:E,"PO",'capacity data'!B:B,'cluster capacity, unallocateds'!B88)</f>
        <v>0</v>
      </c>
      <c r="D88" s="107">
        <f>SUMIFS('capacity data'!J:J,'capacity data'!E:E,"PO",'capacity data'!B:B,'cluster capacity, unallocateds'!B88)</f>
        <v>0</v>
      </c>
      <c r="E88" s="182" t="str">
        <f t="shared" si="14"/>
        <v/>
      </c>
      <c r="F88" s="107">
        <f>SUMIFS('capacity data'!I:I,'capacity data'!E:E,"PSO",'capacity data'!B:B,'cluster capacity, unallocateds'!B88)</f>
        <v>0</v>
      </c>
      <c r="G88" s="107">
        <f>SUMIFS('capacity data'!J:J,'capacity data'!E:E,"PSO",'capacity data'!B:B,'cluster capacity, unallocateds'!B88)</f>
        <v>0</v>
      </c>
      <c r="H88" s="182" t="str">
        <f t="shared" si="15"/>
        <v/>
      </c>
      <c r="I88" s="107">
        <f>SUMIFS('capacity data'!I:I,'capacity data'!E:E,"TPO",'capacity data'!B:B,'cluster capacity, unallocateds'!B88)</f>
        <v>0</v>
      </c>
      <c r="J88" s="107">
        <f>SUMIFS('capacity data'!J:J,'capacity data'!E:E,"TPO",'capacity data'!B:B,'cluster capacity, unallocateds'!B88)</f>
        <v>0</v>
      </c>
      <c r="K88" s="182" t="str">
        <f t="shared" si="16"/>
        <v/>
      </c>
    </row>
    <row r="89" spans="2:11" ht="15" customHeight="1" x14ac:dyDescent="0.15">
      <c r="B89" s="74" t="str">
        <f>HLOOKUP($B$4,Region_Table,23,0)</f>
        <v>Public Protection London</v>
      </c>
      <c r="C89" s="107">
        <f>SUMIFS('capacity data'!I:I,'capacity data'!E:E,"PO",'capacity data'!B:B,'cluster capacity, unallocateds'!B89)</f>
        <v>0</v>
      </c>
      <c r="D89" s="107">
        <f>SUMIFS('capacity data'!J:J,'capacity data'!E:E,"PO",'capacity data'!B:B,'cluster capacity, unallocateds'!B89)</f>
        <v>0</v>
      </c>
      <c r="E89" s="182" t="str">
        <f t="shared" si="14"/>
        <v/>
      </c>
      <c r="F89" s="107">
        <f>SUMIFS('capacity data'!I:I,'capacity data'!E:E,"PSO",'capacity data'!B:B,'cluster capacity, unallocateds'!B89)</f>
        <v>0</v>
      </c>
      <c r="G89" s="107">
        <f>SUMIFS('capacity data'!J:J,'capacity data'!E:E,"PSO",'capacity data'!B:B,'cluster capacity, unallocateds'!B89)</f>
        <v>0</v>
      </c>
      <c r="H89" s="182" t="str">
        <f t="shared" si="15"/>
        <v/>
      </c>
      <c r="I89" s="107">
        <f>SUMIFS('capacity data'!I:I,'capacity data'!E:E,"TPO",'capacity data'!B:B,'cluster capacity, unallocateds'!B89)</f>
        <v>0</v>
      </c>
      <c r="J89" s="107">
        <f>SUMIFS('capacity data'!J:J,'capacity data'!E:E,"TPO",'capacity data'!B:B,'cluster capacity, unallocateds'!B89)</f>
        <v>0</v>
      </c>
      <c r="K89" s="182" t="str">
        <f t="shared" si="16"/>
        <v/>
      </c>
    </row>
    <row r="90" spans="2:11" ht="15" customHeight="1" x14ac:dyDescent="0.15">
      <c r="B90" s="74" t="str">
        <f>HLOOKUP($B$4,Region_Table,24,0)</f>
        <v>Redbridge and Waltham Forest</v>
      </c>
      <c r="C90" s="107">
        <f>SUMIFS('capacity data'!I:I,'capacity data'!E:E,"PO",'capacity data'!B:B,'cluster capacity, unallocateds'!B90)</f>
        <v>0</v>
      </c>
      <c r="D90" s="107">
        <f>SUMIFS('capacity data'!J:J,'capacity data'!E:E,"PO",'capacity data'!B:B,'cluster capacity, unallocateds'!B90)</f>
        <v>0</v>
      </c>
      <c r="E90" s="182" t="str">
        <f t="shared" si="14"/>
        <v/>
      </c>
      <c r="F90" s="107">
        <f>SUMIFS('capacity data'!I:I,'capacity data'!E:E,"PSO",'capacity data'!B:B,'cluster capacity, unallocateds'!B90)</f>
        <v>0</v>
      </c>
      <c r="G90" s="107">
        <f>SUMIFS('capacity data'!J:J,'capacity data'!E:E,"PSO",'capacity data'!B:B,'cluster capacity, unallocateds'!B90)</f>
        <v>0</v>
      </c>
      <c r="H90" s="182" t="str">
        <f t="shared" si="15"/>
        <v/>
      </c>
      <c r="I90" s="107">
        <f>SUMIFS('capacity data'!I:I,'capacity data'!E:E,"TPO",'capacity data'!B:B,'cluster capacity, unallocateds'!B90)</f>
        <v>0</v>
      </c>
      <c r="J90" s="107">
        <f>SUMIFS('capacity data'!J:J,'capacity data'!E:E,"TPO",'capacity data'!B:B,'cluster capacity, unallocateds'!B90)</f>
        <v>0</v>
      </c>
      <c r="K90" s="182" t="str">
        <f t="shared" si="16"/>
        <v/>
      </c>
    </row>
    <row r="91" spans="2:11" ht="15" customHeight="1" x14ac:dyDescent="0.15">
      <c r="B91" s="74" t="str">
        <f>HLOOKUP($B$4,Region_Table,25,0)</f>
        <v>Southwark - N07</v>
      </c>
      <c r="C91" s="107">
        <f>SUMIFS('capacity data'!I:I,'capacity data'!E:E,"PO",'capacity data'!B:B,'cluster capacity, unallocateds'!B91)</f>
        <v>0</v>
      </c>
      <c r="D91" s="107">
        <f>SUMIFS('capacity data'!J:J,'capacity data'!E:E,"PO",'capacity data'!B:B,'cluster capacity, unallocateds'!B91)</f>
        <v>0</v>
      </c>
      <c r="E91" s="182" t="str">
        <f t="shared" si="14"/>
        <v/>
      </c>
      <c r="F91" s="107">
        <f>SUMIFS('capacity data'!I:I,'capacity data'!E:E,"PSO",'capacity data'!B:B,'cluster capacity, unallocateds'!B91)</f>
        <v>0</v>
      </c>
      <c r="G91" s="107">
        <f>SUMIFS('capacity data'!J:J,'capacity data'!E:E,"PSO",'capacity data'!B:B,'cluster capacity, unallocateds'!B91)</f>
        <v>0</v>
      </c>
      <c r="H91" s="182" t="str">
        <f t="shared" si="15"/>
        <v/>
      </c>
      <c r="I91" s="107">
        <f>SUMIFS('capacity data'!I:I,'capacity data'!E:E,"TPO",'capacity data'!B:B,'cluster capacity, unallocateds'!B91)</f>
        <v>0</v>
      </c>
      <c r="J91" s="107">
        <f>SUMIFS('capacity data'!J:J,'capacity data'!E:E,"TPO",'capacity data'!B:B,'cluster capacity, unallocateds'!B91)</f>
        <v>0</v>
      </c>
      <c r="K91" s="182" t="str">
        <f t="shared" si="16"/>
        <v/>
      </c>
    </row>
    <row r="92" spans="2:11" ht="15" customHeight="1" x14ac:dyDescent="0.15">
      <c r="B92" s="74" t="str">
        <f>HLOOKUP($B$4,Region_Table,26,0)</f>
        <v>Tower Hamlets</v>
      </c>
      <c r="C92" s="107">
        <f>SUMIFS('capacity data'!I:I,'capacity data'!E:E,"PO",'capacity data'!B:B,'cluster capacity, unallocateds'!B92)</f>
        <v>0</v>
      </c>
      <c r="D92" s="107">
        <f>SUMIFS('capacity data'!J:J,'capacity data'!E:E,"PO",'capacity data'!B:B,'cluster capacity, unallocateds'!B92)</f>
        <v>0</v>
      </c>
      <c r="E92" s="182" t="str">
        <f t="shared" si="14"/>
        <v/>
      </c>
      <c r="F92" s="107">
        <f>SUMIFS('capacity data'!I:I,'capacity data'!E:E,"PSO",'capacity data'!B:B,'cluster capacity, unallocateds'!B92)</f>
        <v>0</v>
      </c>
      <c r="G92" s="107">
        <f>SUMIFS('capacity data'!J:J,'capacity data'!E:E,"PSO",'capacity data'!B:B,'cluster capacity, unallocateds'!B92)</f>
        <v>0</v>
      </c>
      <c r="H92" s="182" t="str">
        <f t="shared" si="15"/>
        <v/>
      </c>
      <c r="I92" s="107">
        <f>SUMIFS('capacity data'!I:I,'capacity data'!E:E,"TPO",'capacity data'!B:B,'cluster capacity, unallocateds'!B92)</f>
        <v>0</v>
      </c>
      <c r="J92" s="107">
        <f>SUMIFS('capacity data'!J:J,'capacity data'!E:E,"TPO",'capacity data'!B:B,'cluster capacity, unallocateds'!B92)</f>
        <v>0</v>
      </c>
      <c r="K92" s="182" t="str">
        <f t="shared" si="16"/>
        <v/>
      </c>
    </row>
    <row r="93" spans="2:11" ht="15" customHeight="1" x14ac:dyDescent="0.15">
      <c r="B93" s="74" t="str">
        <f>HLOOKUP($B$4,Region_Table,27,0)</f>
        <v>Unpaid Work and Attendance Centres - N07</v>
      </c>
      <c r="C93" s="107">
        <f>SUMIFS('capacity data'!I:I,'capacity data'!E:E,"PO",'capacity data'!B:B,'cluster capacity, unallocateds'!B93)</f>
        <v>0</v>
      </c>
      <c r="D93" s="107">
        <f>SUMIFS('capacity data'!J:J,'capacity data'!E:E,"PO",'capacity data'!B:B,'cluster capacity, unallocateds'!B93)</f>
        <v>0</v>
      </c>
      <c r="E93" s="182" t="str">
        <f t="shared" si="14"/>
        <v/>
      </c>
      <c r="F93" s="107">
        <f>SUMIFS('capacity data'!I:I,'capacity data'!E:E,"PSO",'capacity data'!B:B,'cluster capacity, unallocateds'!B93)</f>
        <v>0</v>
      </c>
      <c r="G93" s="107">
        <f>SUMIFS('capacity data'!J:J,'capacity data'!E:E,"PSO",'capacity data'!B:B,'cluster capacity, unallocateds'!B93)</f>
        <v>0</v>
      </c>
      <c r="H93" s="182" t="str">
        <f t="shared" si="15"/>
        <v/>
      </c>
      <c r="I93" s="107">
        <f>SUMIFS('capacity data'!I:I,'capacity data'!E:E,"TPO",'capacity data'!B:B,'cluster capacity, unallocateds'!B93)</f>
        <v>0</v>
      </c>
      <c r="J93" s="107">
        <f>SUMIFS('capacity data'!J:J,'capacity data'!E:E,"TPO",'capacity data'!B:B,'cluster capacity, unallocateds'!B93)</f>
        <v>0</v>
      </c>
      <c r="K93" s="182" t="str">
        <f t="shared" si="16"/>
        <v/>
      </c>
    </row>
    <row r="94" spans="2:11" ht="15" customHeight="1" x14ac:dyDescent="0.15">
      <c r="B94" s="74" t="str">
        <f>HLOOKUP($B$4,Region_Table,28,0)</f>
        <v>Wandsworth, Merton and Sutton</v>
      </c>
      <c r="C94" s="107">
        <f>SUMIFS('capacity data'!I:I,'capacity data'!E:E,"PO",'capacity data'!B:B,'cluster capacity, unallocateds'!B94)</f>
        <v>0</v>
      </c>
      <c r="D94" s="107">
        <f>SUMIFS('capacity data'!J:J,'capacity data'!E:E,"PO",'capacity data'!B:B,'cluster capacity, unallocateds'!B94)</f>
        <v>0</v>
      </c>
      <c r="E94" s="182" t="str">
        <f t="shared" si="14"/>
        <v/>
      </c>
      <c r="F94" s="107">
        <f>SUMIFS('capacity data'!I:I,'capacity data'!E:E,"PSO",'capacity data'!B:B,'cluster capacity, unallocateds'!B94)</f>
        <v>0</v>
      </c>
      <c r="G94" s="107">
        <f>SUMIFS('capacity data'!J:J,'capacity data'!E:E,"PSO",'capacity data'!B:B,'cluster capacity, unallocateds'!B94)</f>
        <v>0</v>
      </c>
      <c r="H94" s="182" t="str">
        <f t="shared" si="15"/>
        <v/>
      </c>
      <c r="I94" s="107">
        <f>SUMIFS('capacity data'!I:I,'capacity data'!E:E,"TPO",'capacity data'!B:B,'cluster capacity, unallocateds'!B94)</f>
        <v>0</v>
      </c>
      <c r="J94" s="107">
        <f>SUMIFS('capacity data'!J:J,'capacity data'!E:E,"TPO",'capacity data'!B:B,'cluster capacity, unallocateds'!B94)</f>
        <v>0</v>
      </c>
      <c r="K94" s="182" t="str">
        <f t="shared" si="16"/>
        <v/>
      </c>
    </row>
    <row r="96" spans="2:11" ht="56" x14ac:dyDescent="0.15">
      <c r="B96" s="25" t="s">
        <v>1273</v>
      </c>
      <c r="C96" s="244" t="s">
        <v>1293</v>
      </c>
      <c r="D96" s="244" t="s">
        <v>1294</v>
      </c>
      <c r="E96" s="244" t="s">
        <v>1295</v>
      </c>
      <c r="F96" s="244" t="s">
        <v>1296</v>
      </c>
      <c r="G96" s="244" t="s">
        <v>1297</v>
      </c>
      <c r="H96" s="244" t="s">
        <v>1210</v>
      </c>
      <c r="I96" s="244" t="s">
        <v>1298</v>
      </c>
    </row>
    <row r="97" spans="2:9" x14ac:dyDescent="0.15">
      <c r="B97" s="174" t="s">
        <v>1157</v>
      </c>
      <c r="C97" s="181">
        <f>SUM('capacity data'!K:K)</f>
        <v>0</v>
      </c>
      <c r="D97" s="181">
        <f>COUNTIF('capacity data'!E:E,"DMY")</f>
        <v>0</v>
      </c>
      <c r="E97" s="181">
        <f>SUMIF('capacity data'!E:E,"DMY",'capacity data'!K:K)</f>
        <v>0</v>
      </c>
      <c r="F97" s="182" t="e">
        <f>E97/C97</f>
        <v>#DIV/0!</v>
      </c>
      <c r="G97" s="183">
        <f>SUMIF('capacity data'!E:E,"SPO",'capacity data'!K:K)</f>
        <v>0</v>
      </c>
      <c r="H97" s="181">
        <f>E97+G97</f>
        <v>0</v>
      </c>
      <c r="I97" s="184" t="e">
        <f>H97/C97</f>
        <v>#DIV/0!</v>
      </c>
    </row>
    <row r="98" spans="2:9" x14ac:dyDescent="0.15">
      <c r="B98" s="74" t="str">
        <f>HLOOKUP($B$4,Region_Table,2,0)</f>
        <v>Accredited Programmes and Structured Interventions - N07</v>
      </c>
      <c r="C98" s="107">
        <f>SUMIF('capacity data'!B:B,'cluster capacity, unallocateds'!B98,'capacity data'!K:K)</f>
        <v>0</v>
      </c>
      <c r="D98" s="107">
        <f>COUNTIFS('capacity data'!B:B,'cluster capacity, unallocateds'!B98,'capacity data'!E:E,"DMY")</f>
        <v>0</v>
      </c>
      <c r="E98" s="107">
        <f>SUMIFS('capacity data'!K:K,'capacity data'!E:E,"DMY",'capacity data'!B:B,'cluster capacity, unallocateds'!B98)</f>
        <v>0</v>
      </c>
      <c r="F98" s="78" t="str">
        <f>IFERROR(E98/C98,"")</f>
        <v/>
      </c>
      <c r="G98" s="87">
        <f>SUMIFS('capacity data'!K:K,'capacity data'!E:E,"SPO",'capacity data'!B:B,'cluster capacity, unallocateds'!B98)</f>
        <v>0</v>
      </c>
      <c r="H98" s="181">
        <f t="shared" ref="H98:H113" si="17">E98+G98</f>
        <v>0</v>
      </c>
      <c r="I98" s="184" t="str">
        <f>IFERROR(H98/C98,"")</f>
        <v/>
      </c>
    </row>
    <row r="99" spans="2:9" x14ac:dyDescent="0.15">
      <c r="B99" s="74" t="str">
        <f>HLOOKUP($B$4,Region_Table,3,0)</f>
        <v>All London</v>
      </c>
      <c r="C99" s="107">
        <f>SUMIF('capacity data'!B:B,'cluster capacity, unallocateds'!B99,'capacity data'!K:K)</f>
        <v>0</v>
      </c>
      <c r="D99" s="107">
        <f>COUNTIFS('capacity data'!B:B,'cluster capacity, unallocateds'!B99,'capacity data'!E:E,"DMY")</f>
        <v>0</v>
      </c>
      <c r="E99" s="107">
        <f>SUMIFS('capacity data'!K:K,'capacity data'!E:E,"DMY",'capacity data'!B:B,'cluster capacity, unallocateds'!B99)</f>
        <v>0</v>
      </c>
      <c r="F99" s="78" t="str">
        <f t="shared" ref="F99:F113" si="18">IFERROR(E99/C99,"")</f>
        <v/>
      </c>
      <c r="G99" s="87">
        <f>SUMIFS('capacity data'!K:K,'capacity data'!E:E,"SPO",'capacity data'!B:B,'cluster capacity, unallocateds'!B99)</f>
        <v>0</v>
      </c>
      <c r="H99" s="181">
        <f t="shared" si="17"/>
        <v>0</v>
      </c>
      <c r="I99" s="184" t="str">
        <f t="shared" ref="I99:I113" si="19">IFERROR(H99/C99,"")</f>
        <v/>
      </c>
    </row>
    <row r="100" spans="2:9" x14ac:dyDescent="0.15">
      <c r="B100" s="74" t="str">
        <f>HLOOKUP($B$4,Region_Table,4,0)</f>
        <v>Barking and Dagenham and Havering</v>
      </c>
      <c r="C100" s="107">
        <f>SUMIF('capacity data'!B:B,'cluster capacity, unallocateds'!B100,'capacity data'!K:K)</f>
        <v>0</v>
      </c>
      <c r="D100" s="107">
        <f>COUNTIFS('capacity data'!B:B,'cluster capacity, unallocateds'!B100,'capacity data'!E:E,"DMY")</f>
        <v>0</v>
      </c>
      <c r="E100" s="107">
        <f>SUMIFS('capacity data'!K:K,'capacity data'!E:E,"DMY",'capacity data'!B:B,'cluster capacity, unallocateds'!B100)</f>
        <v>0</v>
      </c>
      <c r="F100" s="78" t="str">
        <f t="shared" si="18"/>
        <v/>
      </c>
      <c r="G100" s="87">
        <f>SUMIFS('capacity data'!K:K,'capacity data'!E:E,"SPO",'capacity data'!B:B,'cluster capacity, unallocateds'!B100)</f>
        <v>0</v>
      </c>
      <c r="H100" s="181">
        <f t="shared" si="17"/>
        <v>0</v>
      </c>
      <c r="I100" s="184" t="str">
        <f t="shared" si="19"/>
        <v/>
      </c>
    </row>
    <row r="101" spans="2:9" x14ac:dyDescent="0.15">
      <c r="B101" s="74" t="str">
        <f>HLOOKUP($B$4,Region_Table,5,0)</f>
        <v>Brent - N07</v>
      </c>
      <c r="C101" s="107">
        <f>SUMIF('capacity data'!B:B,'cluster capacity, unallocateds'!B101,'capacity data'!K:K)</f>
        <v>0</v>
      </c>
      <c r="D101" s="107">
        <f>COUNTIFS('capacity data'!B:B,'cluster capacity, unallocateds'!B101,'capacity data'!E:E,"DMY")</f>
        <v>0</v>
      </c>
      <c r="E101" s="107">
        <f>SUMIFS('capacity data'!K:K,'capacity data'!E:E,"DMY",'capacity data'!B:B,'cluster capacity, unallocateds'!B101)</f>
        <v>0</v>
      </c>
      <c r="F101" s="78" t="str">
        <f t="shared" si="18"/>
        <v/>
      </c>
      <c r="G101" s="87">
        <f>SUMIFS('capacity data'!K:K,'capacity data'!E:E,"SPO",'capacity data'!B:B,'cluster capacity, unallocateds'!B101)</f>
        <v>0</v>
      </c>
      <c r="H101" s="181">
        <f t="shared" si="17"/>
        <v>0</v>
      </c>
      <c r="I101" s="184" t="str">
        <f t="shared" si="19"/>
        <v/>
      </c>
    </row>
    <row r="102" spans="2:9" x14ac:dyDescent="0.15">
      <c r="B102" s="74" t="str">
        <f>HLOOKUP($B$4,Region_Table,6,0)</f>
        <v>Camden, Islington</v>
      </c>
      <c r="C102" s="107">
        <f>SUMIF('capacity data'!B:B,'cluster capacity, unallocateds'!B102,'capacity data'!K:K)</f>
        <v>0</v>
      </c>
      <c r="D102" s="107">
        <f>COUNTIFS('capacity data'!B:B,'cluster capacity, unallocateds'!B102,'capacity data'!E:E,"DMY")</f>
        <v>0</v>
      </c>
      <c r="E102" s="107">
        <f>SUMIFS('capacity data'!K:K,'capacity data'!E:E,"DMY",'capacity data'!B:B,'cluster capacity, unallocateds'!B102)</f>
        <v>0</v>
      </c>
      <c r="F102" s="78" t="str">
        <f t="shared" si="18"/>
        <v/>
      </c>
      <c r="G102" s="87">
        <f>SUMIFS('capacity data'!K:K,'capacity data'!E:E,"SPO",'capacity data'!B:B,'cluster capacity, unallocateds'!B102)</f>
        <v>0</v>
      </c>
      <c r="H102" s="181">
        <f t="shared" si="17"/>
        <v>0</v>
      </c>
      <c r="I102" s="184" t="str">
        <f t="shared" si="19"/>
        <v/>
      </c>
    </row>
    <row r="103" spans="2:9" x14ac:dyDescent="0.15">
      <c r="B103" s="74" t="str">
        <f>HLOOKUP($B$4,Region_Table,7,0)</f>
        <v>Community Integration</v>
      </c>
      <c r="C103" s="107">
        <f>SUMIF('capacity data'!B:B,'cluster capacity, unallocateds'!B103,'capacity data'!K:K)</f>
        <v>0</v>
      </c>
      <c r="D103" s="107">
        <f>COUNTIFS('capacity data'!B:B,'cluster capacity, unallocateds'!B103,'capacity data'!E:E,"DMY")</f>
        <v>0</v>
      </c>
      <c r="E103" s="107">
        <f>SUMIFS('capacity data'!K:K,'capacity data'!E:E,"DMY",'capacity data'!B:B,'cluster capacity, unallocateds'!B103)</f>
        <v>0</v>
      </c>
      <c r="F103" s="78" t="str">
        <f t="shared" si="18"/>
        <v/>
      </c>
      <c r="G103" s="87">
        <f>SUMIFS('capacity data'!K:K,'capacity data'!E:E,"SPO",'capacity data'!B:B,'cluster capacity, unallocateds'!B103)</f>
        <v>0</v>
      </c>
      <c r="H103" s="181">
        <f t="shared" si="17"/>
        <v>0</v>
      </c>
      <c r="I103" s="184" t="str">
        <f t="shared" si="19"/>
        <v/>
      </c>
    </row>
    <row r="104" spans="2:9" x14ac:dyDescent="0.15">
      <c r="B104" s="74" t="str">
        <f>HLOOKUP($B$4,Region_Table,8,0)</f>
        <v>Corporate Services - N07</v>
      </c>
      <c r="C104" s="107">
        <f>SUMIF('capacity data'!B:B,'cluster capacity, unallocateds'!B104,'capacity data'!K:K)</f>
        <v>0</v>
      </c>
      <c r="D104" s="107">
        <f>COUNTIFS('capacity data'!B:B,'cluster capacity, unallocateds'!B104,'capacity data'!E:E,"DMY")</f>
        <v>0</v>
      </c>
      <c r="E104" s="107">
        <f>SUMIFS('capacity data'!K:K,'capacity data'!E:E,"DMY",'capacity data'!B:B,'cluster capacity, unallocateds'!B104)</f>
        <v>0</v>
      </c>
      <c r="F104" s="78" t="str">
        <f t="shared" si="18"/>
        <v/>
      </c>
      <c r="G104" s="87">
        <f>SUMIFS('capacity data'!K:K,'capacity data'!E:E,"SPO",'capacity data'!B:B,'cluster capacity, unallocateds'!B104)</f>
        <v>0</v>
      </c>
      <c r="H104" s="181">
        <f t="shared" si="17"/>
        <v>0</v>
      </c>
      <c r="I104" s="184" t="str">
        <f t="shared" si="19"/>
        <v/>
      </c>
    </row>
    <row r="105" spans="2:9" x14ac:dyDescent="0.15">
      <c r="B105" s="74" t="str">
        <f>HLOOKUP($B$4,Region_Table,9,0)</f>
        <v>Croydon - N07</v>
      </c>
      <c r="C105" s="107">
        <f>SUMIF('capacity data'!B:B,'cluster capacity, unallocateds'!B105,'capacity data'!K:K)</f>
        <v>0</v>
      </c>
      <c r="D105" s="107">
        <f>COUNTIFS('capacity data'!B:B,'cluster capacity, unallocateds'!B105,'capacity data'!E:E,"DMY")</f>
        <v>0</v>
      </c>
      <c r="E105" s="107">
        <f>SUMIFS('capacity data'!K:K,'capacity data'!E:E,"DMY",'capacity data'!B:B,'cluster capacity, unallocateds'!B105)</f>
        <v>0</v>
      </c>
      <c r="F105" s="78" t="str">
        <f t="shared" si="18"/>
        <v/>
      </c>
      <c r="G105" s="87">
        <f>SUMIFS('capacity data'!K:K,'capacity data'!E:E,"SPO",'capacity data'!B:B,'cluster capacity, unallocateds'!B105)</f>
        <v>0</v>
      </c>
      <c r="H105" s="181">
        <f t="shared" si="17"/>
        <v>0</v>
      </c>
      <c r="I105" s="184" t="str">
        <f t="shared" si="19"/>
        <v/>
      </c>
    </row>
    <row r="106" spans="2:9" x14ac:dyDescent="0.15">
      <c r="B106" s="74" t="str">
        <f>HLOOKUP($B$4,Region_Table,10,0)</f>
        <v>Ealing and Hillingdon</v>
      </c>
      <c r="C106" s="107">
        <f>SUMIF('capacity data'!B:B,'cluster capacity, unallocateds'!B106,'capacity data'!K:K)</f>
        <v>0</v>
      </c>
      <c r="D106" s="107">
        <f>COUNTIFS('capacity data'!B:B,'cluster capacity, unallocateds'!B106,'capacity data'!E:E,"DMY")</f>
        <v>0</v>
      </c>
      <c r="E106" s="107">
        <f>SUMIFS('capacity data'!K:K,'capacity data'!E:E,"DMY",'capacity data'!B:B,'cluster capacity, unallocateds'!B106)</f>
        <v>0</v>
      </c>
      <c r="F106" s="78" t="str">
        <f t="shared" si="18"/>
        <v/>
      </c>
      <c r="G106" s="87">
        <f>SUMIFS('capacity data'!K:K,'capacity data'!E:E,"SPO",'capacity data'!B:B,'cluster capacity, unallocateds'!B106)</f>
        <v>0</v>
      </c>
      <c r="H106" s="181">
        <f t="shared" si="17"/>
        <v>0</v>
      </c>
      <c r="I106" s="184" t="str">
        <f t="shared" si="19"/>
        <v/>
      </c>
    </row>
    <row r="107" spans="2:9" x14ac:dyDescent="0.15">
      <c r="B107" s="74" t="str">
        <f>HLOOKUP($B$4,Region_Table,11,0)</f>
        <v>Enfield and Haringey</v>
      </c>
      <c r="C107" s="107">
        <f>SUMIF('capacity data'!B:B,'cluster capacity, unallocateds'!B107,'capacity data'!K:K)</f>
        <v>0</v>
      </c>
      <c r="D107" s="107">
        <f>COUNTIFS('capacity data'!B:B,'cluster capacity, unallocateds'!B107,'capacity data'!E:E,"DMY")</f>
        <v>0</v>
      </c>
      <c r="E107" s="107">
        <f>SUMIFS('capacity data'!K:K,'capacity data'!E:E,"DMY",'capacity data'!B:B,'cluster capacity, unallocateds'!B107)</f>
        <v>0</v>
      </c>
      <c r="F107" s="78" t="str">
        <f t="shared" si="18"/>
        <v/>
      </c>
      <c r="G107" s="87">
        <f>SUMIFS('capacity data'!K:K,'capacity data'!E:E,"SPO",'capacity data'!B:B,'cluster capacity, unallocateds'!B107)</f>
        <v>0</v>
      </c>
      <c r="H107" s="181">
        <f t="shared" si="17"/>
        <v>0</v>
      </c>
      <c r="I107" s="184" t="str">
        <f t="shared" si="19"/>
        <v/>
      </c>
    </row>
    <row r="108" spans="2:9" x14ac:dyDescent="0.15">
      <c r="B108" s="74" t="str">
        <f>HLOOKUP($B$4,Region_Table,12,0)</f>
        <v>Greenwich and Bexley</v>
      </c>
      <c r="C108" s="107">
        <f>SUMIF('capacity data'!B:B,'cluster capacity, unallocateds'!B108,'capacity data'!K:K)</f>
        <v>0</v>
      </c>
      <c r="D108" s="107">
        <f>COUNTIFS('capacity data'!B:B,'cluster capacity, unallocateds'!B108,'capacity data'!E:E,"DMY")</f>
        <v>0</v>
      </c>
      <c r="E108" s="107">
        <f>SUMIFS('capacity data'!K:K,'capacity data'!E:E,"DMY",'capacity data'!B:B,'cluster capacity, unallocateds'!B108)</f>
        <v>0</v>
      </c>
      <c r="F108" s="78" t="str">
        <f t="shared" si="18"/>
        <v/>
      </c>
      <c r="G108" s="87">
        <f>SUMIFS('capacity data'!K:K,'capacity data'!E:E,"SPO",'capacity data'!B:B,'cluster capacity, unallocateds'!B108)</f>
        <v>0</v>
      </c>
      <c r="H108" s="181">
        <f t="shared" si="17"/>
        <v>0</v>
      </c>
      <c r="I108" s="184" t="str">
        <f t="shared" si="19"/>
        <v/>
      </c>
    </row>
    <row r="109" spans="2:9" x14ac:dyDescent="0.15">
      <c r="B109" s="74" t="str">
        <f>HLOOKUP($B$4,Region_Table,13,0)</f>
        <v>Hackney and City</v>
      </c>
      <c r="C109" s="107">
        <f>SUMIF('capacity data'!B:B,'cluster capacity, unallocateds'!B109,'capacity data'!K:K)</f>
        <v>0</v>
      </c>
      <c r="D109" s="107">
        <f>COUNTIFS('capacity data'!B:B,'cluster capacity, unallocateds'!B109,'capacity data'!E:E,"DMY")</f>
        <v>0</v>
      </c>
      <c r="E109" s="107">
        <f>SUMIFS('capacity data'!K:K,'capacity data'!E:E,"DMY",'capacity data'!B:B,'cluster capacity, unallocateds'!B109)</f>
        <v>0</v>
      </c>
      <c r="F109" s="78" t="str">
        <f t="shared" si="18"/>
        <v/>
      </c>
      <c r="G109" s="87">
        <f>SUMIFS('capacity data'!K:K,'capacity data'!E:E,"SPO",'capacity data'!B:B,'cluster capacity, unallocateds'!B109)</f>
        <v>0</v>
      </c>
      <c r="H109" s="181">
        <f t="shared" si="17"/>
        <v>0</v>
      </c>
      <c r="I109" s="184" t="str">
        <f t="shared" si="19"/>
        <v/>
      </c>
    </row>
    <row r="110" spans="2:9" x14ac:dyDescent="0.15">
      <c r="B110" s="74" t="str">
        <f>HLOOKUP($B$4,Region_Table,14,0)</f>
        <v>Hammersmith, Fulham, Kensington, Chelsea and Westminster</v>
      </c>
      <c r="C110" s="107">
        <f>SUMIF('capacity data'!B:B,'cluster capacity, unallocateds'!B110,'capacity data'!K:K)</f>
        <v>0</v>
      </c>
      <c r="D110" s="107">
        <f>COUNTIFS('capacity data'!B:B,'cluster capacity, unallocateds'!B110,'capacity data'!E:E,"DMY")</f>
        <v>0</v>
      </c>
      <c r="E110" s="107">
        <f>SUMIFS('capacity data'!K:K,'capacity data'!E:E,"DMY",'capacity data'!B:B,'cluster capacity, unallocateds'!B110)</f>
        <v>0</v>
      </c>
      <c r="F110" s="78" t="str">
        <f t="shared" si="18"/>
        <v/>
      </c>
      <c r="G110" s="87">
        <f>SUMIFS('capacity data'!K:K,'capacity data'!E:E,"SPO",'capacity data'!B:B,'cluster capacity, unallocateds'!B110)</f>
        <v>0</v>
      </c>
      <c r="H110" s="181">
        <f t="shared" si="17"/>
        <v>0</v>
      </c>
      <c r="I110" s="184" t="str">
        <f t="shared" si="19"/>
        <v/>
      </c>
    </row>
    <row r="111" spans="2:9" x14ac:dyDescent="0.15">
      <c r="B111" s="74" t="str">
        <f>HLOOKUP($B$4,Region_Table,15,0)</f>
        <v>Harrow and Barnet</v>
      </c>
      <c r="C111" s="107">
        <f>SUMIF('capacity data'!B:B,'cluster capacity, unallocateds'!B111,'capacity data'!K:K)</f>
        <v>0</v>
      </c>
      <c r="D111" s="107">
        <f>COUNTIFS('capacity data'!B:B,'cluster capacity, unallocateds'!B111,'capacity data'!E:E,"DMY")</f>
        <v>0</v>
      </c>
      <c r="E111" s="107">
        <f>SUMIFS('capacity data'!K:K,'capacity data'!E:E,"DMY",'capacity data'!B:B,'cluster capacity, unallocateds'!B111)</f>
        <v>0</v>
      </c>
      <c r="F111" s="78" t="str">
        <f t="shared" si="18"/>
        <v/>
      </c>
      <c r="G111" s="87">
        <f>SUMIFS('capacity data'!K:K,'capacity data'!E:E,"SPO",'capacity data'!B:B,'cluster capacity, unallocateds'!B111)</f>
        <v>0</v>
      </c>
      <c r="H111" s="181">
        <f t="shared" si="17"/>
        <v>0</v>
      </c>
      <c r="I111" s="184" t="str">
        <f t="shared" si="19"/>
        <v/>
      </c>
    </row>
    <row r="112" spans="2:9" x14ac:dyDescent="0.15">
      <c r="B112" s="74" t="str">
        <f>HLOOKUP($B$4,Region_Table,16,0)</f>
        <v>Headquarters - N07</v>
      </c>
      <c r="C112" s="107">
        <f>SUMIF('capacity data'!B:B,'cluster capacity, unallocateds'!B112,'capacity data'!K:K)</f>
        <v>0</v>
      </c>
      <c r="D112" s="107">
        <f>COUNTIFS('capacity data'!B:B,'cluster capacity, unallocateds'!B112,'capacity data'!E:E,"DMY")</f>
        <v>0</v>
      </c>
      <c r="E112" s="107">
        <f>SUMIFS('capacity data'!K:K,'capacity data'!E:E,"DMY",'capacity data'!B:B,'cluster capacity, unallocateds'!B112)</f>
        <v>0</v>
      </c>
      <c r="F112" s="78" t="str">
        <f t="shared" si="18"/>
        <v/>
      </c>
      <c r="G112" s="87">
        <f>SUMIFS('capacity data'!K:K,'capacity data'!E:E,"SPO",'capacity data'!B:B,'cluster capacity, unallocateds'!B112)</f>
        <v>0</v>
      </c>
      <c r="H112" s="181">
        <f t="shared" si="17"/>
        <v>0</v>
      </c>
      <c r="I112" s="184" t="str">
        <f t="shared" si="19"/>
        <v/>
      </c>
    </row>
    <row r="113" spans="2:9" x14ac:dyDescent="0.15">
      <c r="B113" s="74" t="str">
        <f>HLOOKUP($B$4,Region_Table,17,0)</f>
        <v>Inactive Level 2(N07)</v>
      </c>
      <c r="C113" s="107">
        <f>SUMIF('capacity data'!B:B,'cluster capacity, unallocateds'!B113,'capacity data'!K:K)</f>
        <v>0</v>
      </c>
      <c r="D113" s="107">
        <f>COUNTIFS('capacity data'!B:B,'cluster capacity, unallocateds'!B113,'capacity data'!E:E,"DMY")</f>
        <v>0</v>
      </c>
      <c r="E113" s="107">
        <f>SUMIFS('capacity data'!K:K,'capacity data'!E:E,"DMY",'capacity data'!B:B,'cluster capacity, unallocateds'!B113)</f>
        <v>0</v>
      </c>
      <c r="F113" s="78" t="str">
        <f t="shared" si="18"/>
        <v/>
      </c>
      <c r="G113" s="87">
        <f>SUMIFS('capacity data'!K:K,'capacity data'!E:E,"SPO",'capacity data'!B:B,'cluster capacity, unallocateds'!B113)</f>
        <v>0</v>
      </c>
      <c r="H113" s="181">
        <f t="shared" si="17"/>
        <v>0</v>
      </c>
      <c r="I113" s="184" t="str">
        <f t="shared" si="19"/>
        <v/>
      </c>
    </row>
    <row r="114" spans="2:9" x14ac:dyDescent="0.15">
      <c r="B114" s="74" t="str">
        <f>HLOOKUP($B$4,Region_Table,18,0)</f>
        <v>Kingston, Richmond and Hounslow</v>
      </c>
      <c r="C114" s="107">
        <f>SUMIF('capacity data'!B:B,'cluster capacity, unallocateds'!B114,'capacity data'!K:K)</f>
        <v>0</v>
      </c>
      <c r="D114" s="107">
        <f>COUNTIFS('capacity data'!B:B,'cluster capacity, unallocateds'!B114,'capacity data'!E:E,"DMY")</f>
        <v>0</v>
      </c>
      <c r="E114" s="107">
        <f>SUMIFS('capacity data'!K:K,'capacity data'!E:E,"DMY",'capacity data'!B:B,'cluster capacity, unallocateds'!B114)</f>
        <v>0</v>
      </c>
      <c r="F114" s="78" t="str">
        <f t="shared" ref="F114:F116" si="20">IFERROR(E114/C114,"")</f>
        <v/>
      </c>
      <c r="G114" s="87">
        <f>SUMIFS('capacity data'!K:K,'capacity data'!E:E,"SPO",'capacity data'!B:B,'cluster capacity, unallocateds'!B114)</f>
        <v>0</v>
      </c>
      <c r="H114" s="181">
        <f t="shared" ref="H114:H116" si="21">E114+G114</f>
        <v>0</v>
      </c>
      <c r="I114" s="184" t="str">
        <f t="shared" ref="I114:I116" si="22">IFERROR(H114/C114,"")</f>
        <v/>
      </c>
    </row>
    <row r="115" spans="2:9" x14ac:dyDescent="0.15">
      <c r="B115" s="74" t="str">
        <f>HLOOKUP($B$4,Region_Table,19,0)</f>
        <v>Lambeth - N07</v>
      </c>
      <c r="C115" s="107">
        <f>SUMIF('capacity data'!B:B,'cluster capacity, unallocateds'!B115,'capacity data'!K:K)</f>
        <v>0</v>
      </c>
      <c r="D115" s="107">
        <f>COUNTIFS('capacity data'!B:B,'cluster capacity, unallocateds'!B115,'capacity data'!E:E,"DMY")</f>
        <v>0</v>
      </c>
      <c r="E115" s="107">
        <f>SUMIFS('capacity data'!K:K,'capacity data'!E:E,"DMY",'capacity data'!B:B,'cluster capacity, unallocateds'!B115)</f>
        <v>0</v>
      </c>
      <c r="F115" s="78" t="str">
        <f t="shared" si="20"/>
        <v/>
      </c>
      <c r="G115" s="87">
        <f>SUMIFS('capacity data'!K:K,'capacity data'!E:E,"SPO",'capacity data'!B:B,'cluster capacity, unallocateds'!B115)</f>
        <v>0</v>
      </c>
      <c r="H115" s="181">
        <f t="shared" si="21"/>
        <v>0</v>
      </c>
      <c r="I115" s="184" t="str">
        <f t="shared" si="22"/>
        <v/>
      </c>
    </row>
    <row r="116" spans="2:9" x14ac:dyDescent="0.15">
      <c r="B116" s="74" t="str">
        <f>HLOOKUP($B$4,Region_Table,20,0)</f>
        <v>Lewisham and Bromley</v>
      </c>
      <c r="C116" s="107">
        <f>SUMIF('capacity data'!B:B,'cluster capacity, unallocateds'!B116,'capacity data'!K:K)</f>
        <v>0</v>
      </c>
      <c r="D116" s="107">
        <f>COUNTIFS('capacity data'!B:B,'cluster capacity, unallocateds'!B116,'capacity data'!E:E,"DMY")</f>
        <v>0</v>
      </c>
      <c r="E116" s="107">
        <f>SUMIFS('capacity data'!K:K,'capacity data'!E:E,"DMY",'capacity data'!B:B,'cluster capacity, unallocateds'!B116)</f>
        <v>0</v>
      </c>
      <c r="F116" s="78" t="str">
        <f t="shared" si="20"/>
        <v/>
      </c>
      <c r="G116" s="87">
        <f>SUMIFS('capacity data'!K:K,'capacity data'!E:E,"SPO",'capacity data'!B:B,'cluster capacity, unallocateds'!B116)</f>
        <v>0</v>
      </c>
      <c r="H116" s="181">
        <f t="shared" si="21"/>
        <v>0</v>
      </c>
      <c r="I116" s="184" t="str">
        <f t="shared" si="22"/>
        <v/>
      </c>
    </row>
    <row r="117" spans="2:9" ht="10" customHeight="1" x14ac:dyDescent="0.15">
      <c r="B117" s="74" t="str">
        <f>HLOOKUP($B$4,Region_Table,21,0)</f>
        <v>Newham - N07</v>
      </c>
      <c r="C117" s="107">
        <f>SUMIF('capacity data'!B:B,'cluster capacity, unallocateds'!B117,'capacity data'!K:K)</f>
        <v>0</v>
      </c>
      <c r="D117" s="107">
        <f>COUNTIFS('capacity data'!B:B,'cluster capacity, unallocateds'!B117,'capacity data'!E:E,"DMY")</f>
        <v>0</v>
      </c>
      <c r="E117" s="107">
        <f>SUMIFS('capacity data'!K:K,'capacity data'!E:E,"DMY",'capacity data'!B:B,'cluster capacity, unallocateds'!B117)</f>
        <v>0</v>
      </c>
      <c r="F117" s="78" t="str">
        <f t="shared" ref="F117:F124" si="23">IFERROR(E117/C117,"")</f>
        <v/>
      </c>
      <c r="G117" s="87">
        <f>SUMIFS('capacity data'!K:K,'capacity data'!E:E,"SPO",'capacity data'!B:B,'cluster capacity, unallocateds'!B117)</f>
        <v>0</v>
      </c>
      <c r="H117" s="181">
        <f t="shared" ref="H117:H124" si="24">E117+G117</f>
        <v>0</v>
      </c>
      <c r="I117" s="184" t="str">
        <f t="shared" ref="I117:I124" si="25">IFERROR(H117/C117,"")</f>
        <v/>
      </c>
    </row>
    <row r="118" spans="2:9" x14ac:dyDescent="0.15">
      <c r="B118" s="74" t="str">
        <f>HLOOKUP($B$4,Region_Table,22,0)</f>
        <v>Public Protection Community - N07</v>
      </c>
      <c r="C118" s="107">
        <f>SUMIF('capacity data'!B:B,'cluster capacity, unallocateds'!B118,'capacity data'!K:K)</f>
        <v>0</v>
      </c>
      <c r="D118" s="107">
        <f>COUNTIFS('capacity data'!B:B,'cluster capacity, unallocateds'!B118,'capacity data'!E:E,"DMY")</f>
        <v>0</v>
      </c>
      <c r="E118" s="107">
        <f>SUMIFS('capacity data'!K:K,'capacity data'!E:E,"DMY",'capacity data'!B:B,'cluster capacity, unallocateds'!B118)</f>
        <v>0</v>
      </c>
      <c r="F118" s="78" t="str">
        <f t="shared" si="23"/>
        <v/>
      </c>
      <c r="G118" s="87">
        <f>SUMIFS('capacity data'!K:K,'capacity data'!E:E,"SPO",'capacity data'!B:B,'cluster capacity, unallocateds'!B118)</f>
        <v>0</v>
      </c>
      <c r="H118" s="181">
        <f t="shared" si="24"/>
        <v>0</v>
      </c>
      <c r="I118" s="184" t="str">
        <f t="shared" si="25"/>
        <v/>
      </c>
    </row>
    <row r="119" spans="2:9" x14ac:dyDescent="0.15">
      <c r="B119" s="74" t="str">
        <f>HLOOKUP($B$4,Region_Table,23,0)</f>
        <v>Public Protection London</v>
      </c>
      <c r="C119" s="107">
        <f>SUMIF('capacity data'!B:B,'cluster capacity, unallocateds'!B119,'capacity data'!K:K)</f>
        <v>0</v>
      </c>
      <c r="D119" s="107">
        <f>COUNTIFS('capacity data'!B:B,'cluster capacity, unallocateds'!B119,'capacity data'!E:E,"DMY")</f>
        <v>0</v>
      </c>
      <c r="E119" s="107">
        <f>SUMIFS('capacity data'!K:K,'capacity data'!E:E,"DMY",'capacity data'!B:B,'cluster capacity, unallocateds'!B119)</f>
        <v>0</v>
      </c>
      <c r="F119" s="78" t="str">
        <f t="shared" si="23"/>
        <v/>
      </c>
      <c r="G119" s="87">
        <f>SUMIFS('capacity data'!K:K,'capacity data'!E:E,"SPO",'capacity data'!B:B,'cluster capacity, unallocateds'!B119)</f>
        <v>0</v>
      </c>
      <c r="H119" s="181">
        <f t="shared" si="24"/>
        <v>0</v>
      </c>
      <c r="I119" s="184" t="str">
        <f t="shared" si="25"/>
        <v/>
      </c>
    </row>
    <row r="120" spans="2:9" x14ac:dyDescent="0.15">
      <c r="B120" s="74" t="str">
        <f>HLOOKUP($B$4,Region_Table,24,0)</f>
        <v>Redbridge and Waltham Forest</v>
      </c>
      <c r="C120" s="107">
        <f>SUMIF('capacity data'!B:B,'cluster capacity, unallocateds'!B120,'capacity data'!K:K)</f>
        <v>0</v>
      </c>
      <c r="D120" s="107">
        <f>COUNTIFS('capacity data'!B:B,'cluster capacity, unallocateds'!B120,'capacity data'!E:E,"DMY")</f>
        <v>0</v>
      </c>
      <c r="E120" s="107">
        <f>SUMIFS('capacity data'!K:K,'capacity data'!E:E,"DMY",'capacity data'!B:B,'cluster capacity, unallocateds'!B120)</f>
        <v>0</v>
      </c>
      <c r="F120" s="78" t="str">
        <f t="shared" si="23"/>
        <v/>
      </c>
      <c r="G120" s="87">
        <f>SUMIFS('capacity data'!K:K,'capacity data'!E:E,"SPO",'capacity data'!B:B,'cluster capacity, unallocateds'!B120)</f>
        <v>0</v>
      </c>
      <c r="H120" s="181">
        <f t="shared" si="24"/>
        <v>0</v>
      </c>
      <c r="I120" s="184" t="str">
        <f t="shared" si="25"/>
        <v/>
      </c>
    </row>
    <row r="121" spans="2:9" x14ac:dyDescent="0.15">
      <c r="B121" s="74" t="str">
        <f>HLOOKUP($B$4,Region_Table,25,0)</f>
        <v>Southwark - N07</v>
      </c>
      <c r="C121" s="107">
        <f>SUMIF('capacity data'!B:B,'cluster capacity, unallocateds'!B121,'capacity data'!K:K)</f>
        <v>0</v>
      </c>
      <c r="D121" s="107">
        <f>COUNTIFS('capacity data'!B:B,'cluster capacity, unallocateds'!B121,'capacity data'!E:E,"DMY")</f>
        <v>0</v>
      </c>
      <c r="E121" s="107">
        <f>SUMIFS('capacity data'!K:K,'capacity data'!E:E,"DMY",'capacity data'!B:B,'cluster capacity, unallocateds'!B121)</f>
        <v>0</v>
      </c>
      <c r="F121" s="78" t="str">
        <f t="shared" si="23"/>
        <v/>
      </c>
      <c r="G121" s="87">
        <f>SUMIFS('capacity data'!K:K,'capacity data'!E:E,"SPO",'capacity data'!B:B,'cluster capacity, unallocateds'!B121)</f>
        <v>0</v>
      </c>
      <c r="H121" s="181">
        <f t="shared" si="24"/>
        <v>0</v>
      </c>
      <c r="I121" s="184" t="str">
        <f t="shared" si="25"/>
        <v/>
      </c>
    </row>
    <row r="122" spans="2:9" x14ac:dyDescent="0.15">
      <c r="B122" s="74" t="str">
        <f>HLOOKUP($B$4,Region_Table,26,0)</f>
        <v>Tower Hamlets</v>
      </c>
      <c r="C122" s="107">
        <f>SUMIF('capacity data'!B:B,'cluster capacity, unallocateds'!B122,'capacity data'!K:K)</f>
        <v>0</v>
      </c>
      <c r="D122" s="107">
        <f>COUNTIFS('capacity data'!B:B,'cluster capacity, unallocateds'!B122,'capacity data'!E:E,"DMY")</f>
        <v>0</v>
      </c>
      <c r="E122" s="107">
        <f>SUMIFS('capacity data'!K:K,'capacity data'!E:E,"DMY",'capacity data'!B:B,'cluster capacity, unallocateds'!B122)</f>
        <v>0</v>
      </c>
      <c r="F122" s="78" t="str">
        <f t="shared" si="23"/>
        <v/>
      </c>
      <c r="G122" s="87">
        <f>SUMIFS('capacity data'!K:K,'capacity data'!E:E,"SPO",'capacity data'!B:B,'cluster capacity, unallocateds'!B122)</f>
        <v>0</v>
      </c>
      <c r="H122" s="181">
        <f t="shared" si="24"/>
        <v>0</v>
      </c>
      <c r="I122" s="184" t="str">
        <f t="shared" si="25"/>
        <v/>
      </c>
    </row>
    <row r="123" spans="2:9" x14ac:dyDescent="0.15">
      <c r="B123" s="74" t="str">
        <f>HLOOKUP($B$4,Region_Table,27,0)</f>
        <v>Unpaid Work and Attendance Centres - N07</v>
      </c>
      <c r="C123" s="107">
        <f>SUMIF('capacity data'!B:B,'cluster capacity, unallocateds'!B123,'capacity data'!K:K)</f>
        <v>0</v>
      </c>
      <c r="D123" s="107">
        <f>COUNTIFS('capacity data'!B:B,'cluster capacity, unallocateds'!B123,'capacity data'!E:E,"DMY")</f>
        <v>0</v>
      </c>
      <c r="E123" s="107">
        <f>SUMIFS('capacity data'!K:K,'capacity data'!E:E,"DMY",'capacity data'!B:B,'cluster capacity, unallocateds'!B123)</f>
        <v>0</v>
      </c>
      <c r="F123" s="78" t="str">
        <f t="shared" si="23"/>
        <v/>
      </c>
      <c r="G123" s="87">
        <f>SUMIFS('capacity data'!K:K,'capacity data'!E:E,"SPO",'capacity data'!B:B,'cluster capacity, unallocateds'!B123)</f>
        <v>0</v>
      </c>
      <c r="H123" s="181">
        <f t="shared" si="24"/>
        <v>0</v>
      </c>
      <c r="I123" s="184" t="str">
        <f t="shared" si="25"/>
        <v/>
      </c>
    </row>
    <row r="124" spans="2:9" x14ac:dyDescent="0.15">
      <c r="B124" s="74" t="str">
        <f>HLOOKUP($B$4,Region_Table,28,0)</f>
        <v>Wandsworth, Merton and Sutton</v>
      </c>
      <c r="C124" s="107">
        <f>SUMIF('capacity data'!B:B,'cluster capacity, unallocateds'!B124,'capacity data'!K:K)</f>
        <v>0</v>
      </c>
      <c r="D124" s="107">
        <f>COUNTIFS('capacity data'!B:B,'cluster capacity, unallocateds'!B124,'capacity data'!E:E,"DMY")</f>
        <v>0</v>
      </c>
      <c r="E124" s="107">
        <f>SUMIFS('capacity data'!K:K,'capacity data'!E:E,"DMY",'capacity data'!B:B,'cluster capacity, unallocateds'!B124)</f>
        <v>0</v>
      </c>
      <c r="F124" s="78" t="str">
        <f t="shared" si="23"/>
        <v/>
      </c>
      <c r="G124" s="87">
        <f>SUMIFS('capacity data'!K:K,'capacity data'!E:E,"SPO",'capacity data'!B:B,'cluster capacity, unallocateds'!B124)</f>
        <v>0</v>
      </c>
      <c r="H124" s="181">
        <f t="shared" si="24"/>
        <v>0</v>
      </c>
      <c r="I124" s="184" t="str">
        <f t="shared" si="25"/>
        <v/>
      </c>
    </row>
  </sheetData>
  <mergeCells count="3">
    <mergeCell ref="B1:Z1"/>
    <mergeCell ref="B2:Z2"/>
    <mergeCell ref="C65:K65"/>
  </mergeCells>
  <conditionalFormatting sqref="D8:D34">
    <cfRule type="cellIs" dxfId="3" priority="4" operator="greaterThan">
      <formula>1.1</formula>
    </cfRule>
  </conditionalFormatting>
  <conditionalFormatting sqref="C8:C34">
    <cfRule type="cellIs" dxfId="2" priority="3" operator="greaterThan">
      <formula>1.1</formula>
    </cfRule>
  </conditionalFormatting>
  <conditionalFormatting sqref="E8:E34">
    <cfRule type="cellIs" dxfId="1" priority="2" operator="greaterThan">
      <formula>1.1</formula>
    </cfRule>
  </conditionalFormatting>
  <conditionalFormatting sqref="C8:E34">
    <cfRule type="cellIs" dxfId="0" priority="1" operator="lessThan">
      <formula>0.9</formula>
    </cfRule>
  </conditionalFormatting>
  <dataValidations count="1">
    <dataValidation type="list" allowBlank="1" showInputMessage="1" showErrorMessage="1" sqref="B4" xr:uid="{BE83FA65-4E74-476B-A6A9-84A179B1C858}">
      <formula1>Regions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/>
  <dimension ref="A1:R44"/>
  <sheetViews>
    <sheetView showGridLines="0" showRowColHeaders="0" topLeftCell="E11" zoomScale="70" zoomScaleNormal="70" workbookViewId="0">
      <selection activeCell="B7" sqref="B7"/>
    </sheetView>
  </sheetViews>
  <sheetFormatPr baseColWidth="10" defaultColWidth="8.83203125" defaultRowHeight="14" x14ac:dyDescent="0.15"/>
  <cols>
    <col min="1" max="1" width="5.5" customWidth="1"/>
    <col min="2" max="2" width="38.5" customWidth="1"/>
    <col min="3" max="3" width="34" customWidth="1"/>
    <col min="4" max="4" width="14.5" customWidth="1"/>
    <col min="5" max="5" width="15.5" customWidth="1"/>
    <col min="6" max="6" width="28.1640625" customWidth="1"/>
    <col min="7" max="7" width="37.5" customWidth="1"/>
    <col min="8" max="8" width="14.5" customWidth="1"/>
    <col min="10" max="10" width="23.5" customWidth="1"/>
    <col min="11" max="11" width="32.5" bestFit="1" customWidth="1"/>
    <col min="12" max="12" width="28" customWidth="1"/>
  </cols>
  <sheetData>
    <row r="1" spans="1:18" ht="46.5" customHeight="1" x14ac:dyDescent="0.15">
      <c r="A1" s="368" t="s">
        <v>1299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  <c r="R1" s="368"/>
    </row>
    <row r="2" spans="1:18" ht="40.5" customHeight="1" x14ac:dyDescent="0.15">
      <c r="A2" s="369"/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</row>
    <row r="4" spans="1:18" ht="16" x14ac:dyDescent="0.2">
      <c r="B4" s="365" t="s">
        <v>1300</v>
      </c>
      <c r="C4" s="366"/>
      <c r="D4" s="366"/>
      <c r="E4" s="6"/>
      <c r="F4" s="287" t="s">
        <v>1301</v>
      </c>
      <c r="G4" s="287"/>
      <c r="H4" s="367"/>
    </row>
    <row r="5" spans="1:18" x14ac:dyDescent="0.15">
      <c r="B5" s="88" t="s">
        <v>1238</v>
      </c>
      <c r="C5" s="88" t="s">
        <v>1017</v>
      </c>
      <c r="D5" s="244" t="s">
        <v>1055</v>
      </c>
      <c r="E5" s="185"/>
      <c r="F5" s="88" t="s">
        <v>1238</v>
      </c>
      <c r="G5" s="88" t="s">
        <v>1017</v>
      </c>
      <c r="H5" s="186" t="s">
        <v>1056</v>
      </c>
    </row>
    <row r="6" spans="1:18" x14ac:dyDescent="0.15">
      <c r="B6" s="74" t="e">
        <f>INDEX('capacity data'!O:O,MATCH(C6,'capacity data'!P:P,0))</f>
        <v>#NUM!</v>
      </c>
      <c r="C6" s="74" t="e">
        <f>INDEX('capacity data'!P:P,MATCH(D6,'capacity data'!Q:Q,0))</f>
        <v>#NUM!</v>
      </c>
      <c r="D6" s="187" t="e">
        <f>LARGE('capacity data'!Q:Q,1)</f>
        <v>#NUM!</v>
      </c>
      <c r="E6" s="168"/>
      <c r="F6" s="74" t="e">
        <f>INDEX('capacity data'!O:O,MATCH(G6,'capacity data'!P:P,0))</f>
        <v>#NUM!</v>
      </c>
      <c r="G6" s="74" t="e">
        <f>INDEX('capacity data'!P:P,MATCH(H6,'capacity data'!R:R,0))</f>
        <v>#NUM!</v>
      </c>
      <c r="H6" s="187" t="e">
        <f>SMALL('capacity data'!R:R,1)</f>
        <v>#NUM!</v>
      </c>
    </row>
    <row r="7" spans="1:18" x14ac:dyDescent="0.15">
      <c r="B7" s="74" t="e">
        <f>INDEX('capacity data'!O:O,MATCH(C7,'capacity data'!P:P,0))</f>
        <v>#NUM!</v>
      </c>
      <c r="C7" s="74" t="e">
        <f>INDEX('capacity data'!P:P,MATCH(D7,'capacity data'!Q:Q,0))</f>
        <v>#NUM!</v>
      </c>
      <c r="D7" s="187" t="e">
        <f>LARGE('capacity data'!Q:Q,2)</f>
        <v>#NUM!</v>
      </c>
      <c r="E7" s="168"/>
      <c r="F7" s="74" t="e">
        <f>INDEX('capacity data'!O:O,MATCH(G7,'capacity data'!P:P,0))</f>
        <v>#NUM!</v>
      </c>
      <c r="G7" s="74" t="e">
        <f>INDEX('capacity data'!P:P,MATCH(H7,'capacity data'!R:R,0))</f>
        <v>#NUM!</v>
      </c>
      <c r="H7" s="187" t="e">
        <f>SMALL('capacity data'!R:R,2)</f>
        <v>#NUM!</v>
      </c>
    </row>
    <row r="8" spans="1:18" x14ac:dyDescent="0.15">
      <c r="B8" s="74" t="e">
        <f>INDEX('capacity data'!O:O,MATCH(C8,'capacity data'!P:P,0))</f>
        <v>#NUM!</v>
      </c>
      <c r="C8" s="74" t="e">
        <f>INDEX('capacity data'!P:P,MATCH(D8,'capacity data'!Q:Q,0))</f>
        <v>#NUM!</v>
      </c>
      <c r="D8" s="187" t="e">
        <f>LARGE('capacity data'!Q:Q,3)</f>
        <v>#NUM!</v>
      </c>
      <c r="E8" s="168"/>
      <c r="F8" s="74" t="e">
        <f>INDEX('capacity data'!O:O,MATCH(G8,'capacity data'!P:P,0))</f>
        <v>#NUM!</v>
      </c>
      <c r="G8" s="74" t="e">
        <f>INDEX('capacity data'!P:P,MATCH(H8,'capacity data'!R:R,0))</f>
        <v>#NUM!</v>
      </c>
      <c r="H8" s="187" t="e">
        <f>SMALL('capacity data'!R:R,3)</f>
        <v>#NUM!</v>
      </c>
    </row>
    <row r="9" spans="1:18" x14ac:dyDescent="0.15">
      <c r="B9" s="74" t="e">
        <f>INDEX('capacity data'!O:O,MATCH(C9,'capacity data'!P:P,0))</f>
        <v>#NUM!</v>
      </c>
      <c r="C9" s="74" t="e">
        <f>INDEX('capacity data'!P:P,MATCH(D9,'capacity data'!Q:Q,0))</f>
        <v>#NUM!</v>
      </c>
      <c r="D9" s="187" t="e">
        <f>LARGE('capacity data'!Q:Q,4)</f>
        <v>#NUM!</v>
      </c>
      <c r="E9" s="168"/>
      <c r="F9" s="74" t="e">
        <f>INDEX('capacity data'!O:O,MATCH(G9,'capacity data'!P:P,0))</f>
        <v>#NUM!</v>
      </c>
      <c r="G9" s="74" t="e">
        <f>INDEX('capacity data'!P:P,MATCH(H9,'capacity data'!R:R,0))</f>
        <v>#NUM!</v>
      </c>
      <c r="H9" s="187" t="e">
        <f>SMALL('capacity data'!R:R,4)</f>
        <v>#NUM!</v>
      </c>
    </row>
    <row r="10" spans="1:18" x14ac:dyDescent="0.15">
      <c r="B10" s="74" t="e">
        <f>INDEX('capacity data'!O:O,MATCH(C10,'capacity data'!P:P,0))</f>
        <v>#NUM!</v>
      </c>
      <c r="C10" s="74" t="e">
        <f>INDEX('capacity data'!P:P,MATCH(D10,'capacity data'!Q:Q,0))</f>
        <v>#NUM!</v>
      </c>
      <c r="D10" s="187" t="e">
        <f>LARGE('capacity data'!Q:Q,5)</f>
        <v>#NUM!</v>
      </c>
      <c r="E10" s="168"/>
      <c r="F10" s="74" t="e">
        <f>INDEX('capacity data'!O:O,MATCH(G10,'capacity data'!P:P,0))</f>
        <v>#NUM!</v>
      </c>
      <c r="G10" s="74" t="e">
        <f>INDEX('capacity data'!P:P,MATCH(H10,'capacity data'!R:R,0))</f>
        <v>#NUM!</v>
      </c>
      <c r="H10" s="187" t="e">
        <f>SMALL('capacity data'!R:R,5)</f>
        <v>#NUM!</v>
      </c>
    </row>
    <row r="11" spans="1:18" x14ac:dyDescent="0.15">
      <c r="B11" s="74" t="e">
        <f>INDEX('capacity data'!O:O,MATCH(C11,'capacity data'!P:P,0))</f>
        <v>#NUM!</v>
      </c>
      <c r="C11" s="74" t="e">
        <f>INDEX('capacity data'!P:P,MATCH(D11,'capacity data'!Q:Q,0))</f>
        <v>#NUM!</v>
      </c>
      <c r="D11" s="187" t="e">
        <f>LARGE('capacity data'!Q:Q,6)</f>
        <v>#NUM!</v>
      </c>
      <c r="E11" s="168"/>
      <c r="F11" s="74" t="e">
        <f>INDEX('capacity data'!O:O,MATCH(G11,'capacity data'!P:P,0))</f>
        <v>#NUM!</v>
      </c>
      <c r="G11" s="74" t="e">
        <f>INDEX('capacity data'!P:P,MATCH(H11,'capacity data'!R:R,0))</f>
        <v>#NUM!</v>
      </c>
      <c r="H11" s="187" t="e">
        <f>SMALL('capacity data'!R:R,6)</f>
        <v>#NUM!</v>
      </c>
    </row>
    <row r="12" spans="1:18" x14ac:dyDescent="0.15">
      <c r="B12" s="74" t="e">
        <f>INDEX('capacity data'!O:O,MATCH(C12,'capacity data'!P:P,0))</f>
        <v>#NUM!</v>
      </c>
      <c r="C12" s="74" t="e">
        <f>INDEX('capacity data'!P:P,MATCH(D12,'capacity data'!Q:Q,0))</f>
        <v>#NUM!</v>
      </c>
      <c r="D12" s="187" t="e">
        <f>LARGE('capacity data'!Q:Q,7)</f>
        <v>#NUM!</v>
      </c>
      <c r="E12" s="168"/>
      <c r="F12" s="74" t="e">
        <f>INDEX('capacity data'!O:O,MATCH(G12,'capacity data'!P:P,0))</f>
        <v>#NUM!</v>
      </c>
      <c r="G12" s="74" t="e">
        <f>INDEX('capacity data'!P:P,MATCH(H12,'capacity data'!R:R,0))</f>
        <v>#NUM!</v>
      </c>
      <c r="H12" s="187" t="e">
        <f>SMALL('capacity data'!R:R,7)</f>
        <v>#NUM!</v>
      </c>
    </row>
    <row r="13" spans="1:18" x14ac:dyDescent="0.15">
      <c r="B13" s="74" t="e">
        <f>INDEX('capacity data'!O:O,MATCH(C13,'capacity data'!P:P,0))</f>
        <v>#NUM!</v>
      </c>
      <c r="C13" s="74" t="e">
        <f>INDEX('capacity data'!P:P,MATCH(D13,'capacity data'!Q:Q,0))</f>
        <v>#NUM!</v>
      </c>
      <c r="D13" s="187" t="e">
        <f>LARGE('capacity data'!Q:Q,8)</f>
        <v>#NUM!</v>
      </c>
      <c r="E13" s="168"/>
      <c r="F13" s="74" t="e">
        <f>INDEX('capacity data'!O:O,MATCH(G13,'capacity data'!P:P,0))</f>
        <v>#NUM!</v>
      </c>
      <c r="G13" s="74" t="e">
        <f>INDEX('capacity data'!P:P,MATCH(H13,'capacity data'!R:R,0))</f>
        <v>#NUM!</v>
      </c>
      <c r="H13" s="187" t="e">
        <f>SMALL('capacity data'!R:R,8)</f>
        <v>#NUM!</v>
      </c>
    </row>
    <row r="14" spans="1:18" x14ac:dyDescent="0.15">
      <c r="B14" s="74" t="e">
        <f>INDEX('capacity data'!O:O,MATCH(C14,'capacity data'!P:P,0))</f>
        <v>#NUM!</v>
      </c>
      <c r="C14" s="74" t="e">
        <f>INDEX('capacity data'!P:P,MATCH(D14,'capacity data'!Q:Q,0))</f>
        <v>#NUM!</v>
      </c>
      <c r="D14" s="187" t="e">
        <f>LARGE('capacity data'!Q:Q,9)</f>
        <v>#NUM!</v>
      </c>
      <c r="E14" s="168"/>
      <c r="F14" s="74" t="e">
        <f>INDEX('capacity data'!O:O,MATCH(G14,'capacity data'!P:P,0))</f>
        <v>#NUM!</v>
      </c>
      <c r="G14" s="74" t="e">
        <f>INDEX('capacity data'!P:P,MATCH(H14,'capacity data'!R:R,0))</f>
        <v>#NUM!</v>
      </c>
      <c r="H14" s="187" t="e">
        <f>SMALL('capacity data'!R:R,9)</f>
        <v>#NUM!</v>
      </c>
    </row>
    <row r="15" spans="1:18" x14ac:dyDescent="0.15">
      <c r="B15" s="74" t="e">
        <f>INDEX('capacity data'!O:O,MATCH(C15,'capacity data'!P:P,0))</f>
        <v>#NUM!</v>
      </c>
      <c r="C15" s="74" t="e">
        <f>INDEX('capacity data'!P:P,MATCH(D15,'capacity data'!Q:Q,0))</f>
        <v>#NUM!</v>
      </c>
      <c r="D15" s="187" t="e">
        <f>LARGE('capacity data'!Q:Q,10)</f>
        <v>#NUM!</v>
      </c>
      <c r="E15" s="168"/>
      <c r="F15" s="74" t="e">
        <f>INDEX('capacity data'!O:O,MATCH(G15,'capacity data'!P:P,0))</f>
        <v>#NUM!</v>
      </c>
      <c r="G15" s="74" t="e">
        <f>INDEX('capacity data'!P:P,MATCH(H15,'capacity data'!R:R,0))</f>
        <v>#NUM!</v>
      </c>
      <c r="H15" s="187" t="e">
        <f>SMALL('capacity data'!R:R,10)</f>
        <v>#NUM!</v>
      </c>
    </row>
    <row r="17" spans="2:12" x14ac:dyDescent="0.15">
      <c r="B17" s="370" t="s">
        <v>1302</v>
      </c>
      <c r="C17" s="371"/>
      <c r="D17" s="372"/>
      <c r="F17" s="363" t="s">
        <v>1303</v>
      </c>
      <c r="G17" s="363"/>
      <c r="H17" s="363"/>
      <c r="J17" s="363" t="s">
        <v>1304</v>
      </c>
      <c r="K17" s="363"/>
      <c r="L17" s="363"/>
    </row>
    <row r="18" spans="2:12" ht="30.75" customHeight="1" x14ac:dyDescent="0.15">
      <c r="B18" s="373"/>
      <c r="C18" s="374"/>
      <c r="D18" s="375"/>
      <c r="F18" s="364"/>
      <c r="G18" s="364"/>
      <c r="H18" s="364"/>
      <c r="J18" s="364"/>
      <c r="K18" s="364"/>
      <c r="L18" s="364"/>
    </row>
    <row r="19" spans="2:12" ht="39" customHeight="1" x14ac:dyDescent="0.15">
      <c r="B19" s="88" t="s">
        <v>1238</v>
      </c>
      <c r="C19" s="88" t="s">
        <v>1017</v>
      </c>
      <c r="D19" s="244" t="s">
        <v>1305</v>
      </c>
      <c r="F19" s="88" t="s">
        <v>1238</v>
      </c>
      <c r="G19" s="88" t="s">
        <v>1017</v>
      </c>
      <c r="H19" s="88" t="s">
        <v>1306</v>
      </c>
      <c r="J19" s="88" t="s">
        <v>1238</v>
      </c>
      <c r="K19" s="88" t="s">
        <v>1017</v>
      </c>
      <c r="L19" s="88" t="s">
        <v>1306</v>
      </c>
    </row>
    <row r="20" spans="2:12" x14ac:dyDescent="0.15">
      <c r="B20" s="74" t="e">
        <f>INDEX('capacity data'!O:O,MATCH(C20,'capacity data'!P:P,0))</f>
        <v>#NUM!</v>
      </c>
      <c r="C20" s="74" t="e">
        <f>INDEX('capacity data'!P:P,MATCH(D20,'capacity data'!S:S,0))</f>
        <v>#NUM!</v>
      </c>
      <c r="D20" s="187" t="e">
        <f>LARGE('capacity data'!S:S,1)</f>
        <v>#NUM!</v>
      </c>
      <c r="F20" s="74" t="e">
        <f>INDEX('capacity data'!O:O,MATCH(H20,'capacity data'!T:T,0))</f>
        <v>#NUM!</v>
      </c>
      <c r="G20" s="74" t="e">
        <f>INDEX('capacity data'!P:P,MATCH(H20,'capacity data'!T:T,0))</f>
        <v>#NUM!</v>
      </c>
      <c r="H20" s="78" t="e">
        <f>LARGE('capacity data'!$T:$T,1)</f>
        <v>#NUM!</v>
      </c>
      <c r="J20" s="74" t="e">
        <f>INDEX('capacity data'!O:O,MATCH(L20,'capacity data'!T:T,0))</f>
        <v>#NUM!</v>
      </c>
      <c r="K20" s="74" t="e">
        <f>INDEX('capacity data'!P:P,MATCH(L20,'capacity data'!T:T,0))</f>
        <v>#NUM!</v>
      </c>
      <c r="L20" s="78" t="e">
        <f>SMALL('capacity data'!$T:$T,1)</f>
        <v>#NUM!</v>
      </c>
    </row>
    <row r="21" spans="2:12" x14ac:dyDescent="0.15">
      <c r="B21" s="74" t="e">
        <f>INDEX('capacity data'!O:O,MATCH(C21,'capacity data'!P:P,0))</f>
        <v>#NUM!</v>
      </c>
      <c r="C21" s="74" t="e">
        <f>INDEX('capacity data'!P:P,MATCH(D21,'capacity data'!S:S,0))</f>
        <v>#NUM!</v>
      </c>
      <c r="D21" s="187" t="e">
        <f>LARGE('capacity data'!S:S,2)</f>
        <v>#NUM!</v>
      </c>
      <c r="F21" s="74" t="e">
        <f>INDEX('capacity data'!O:O,MATCH(H21,'capacity data'!T:T,0))</f>
        <v>#NUM!</v>
      </c>
      <c r="G21" s="74" t="e">
        <f>INDEX('capacity data'!P:P,MATCH(H21,'capacity data'!T:T,0))</f>
        <v>#NUM!</v>
      </c>
      <c r="H21" s="78" t="e">
        <f>LARGE('capacity data'!$T:$T,2)</f>
        <v>#NUM!</v>
      </c>
      <c r="J21" s="74" t="e">
        <f>INDEX('capacity data'!O:O,MATCH(L21,'capacity data'!T:T,0))</f>
        <v>#NUM!</v>
      </c>
      <c r="K21" s="74" t="e">
        <f>INDEX('capacity data'!P:P,MATCH(L21,'capacity data'!T:T,0))</f>
        <v>#NUM!</v>
      </c>
      <c r="L21" s="78" t="e">
        <f>SMALL('capacity data'!$T:$T,2)</f>
        <v>#NUM!</v>
      </c>
    </row>
    <row r="22" spans="2:12" x14ac:dyDescent="0.15">
      <c r="B22" s="74" t="e">
        <f>INDEX('capacity data'!O:O,MATCH(C22,'capacity data'!P:P,0))</f>
        <v>#NUM!</v>
      </c>
      <c r="C22" s="74" t="e">
        <f>INDEX('capacity data'!P:P,MATCH(D22,'capacity data'!S:S,0))</f>
        <v>#NUM!</v>
      </c>
      <c r="D22" s="187" t="e">
        <f>LARGE('capacity data'!S:S,3)</f>
        <v>#NUM!</v>
      </c>
      <c r="F22" s="74" t="e">
        <f>INDEX('capacity data'!O:O,MATCH(H22,'capacity data'!T:T,0))</f>
        <v>#NUM!</v>
      </c>
      <c r="G22" s="74" t="e">
        <f>INDEX('capacity data'!P:P,MATCH(H22,'capacity data'!T:T,0))</f>
        <v>#NUM!</v>
      </c>
      <c r="H22" s="78" t="e">
        <f>LARGE('capacity data'!$T:$T,3)</f>
        <v>#NUM!</v>
      </c>
      <c r="J22" s="74" t="e">
        <f>INDEX('capacity data'!O:O,MATCH(L22,'capacity data'!T:T,0))</f>
        <v>#NUM!</v>
      </c>
      <c r="K22" s="74" t="e">
        <f>INDEX('capacity data'!P:P,MATCH(L22,'capacity data'!T:T,0))</f>
        <v>#NUM!</v>
      </c>
      <c r="L22" s="78" t="e">
        <f>SMALL('capacity data'!$T:$T,3)</f>
        <v>#NUM!</v>
      </c>
    </row>
    <row r="23" spans="2:12" x14ac:dyDescent="0.15">
      <c r="B23" s="74" t="e">
        <f>INDEX('capacity data'!O:O,MATCH(C23,'capacity data'!P:P,0))</f>
        <v>#NUM!</v>
      </c>
      <c r="C23" s="74" t="e">
        <f>INDEX('capacity data'!P:P,MATCH(D23,'capacity data'!S:S,0))</f>
        <v>#NUM!</v>
      </c>
      <c r="D23" s="187" t="e">
        <f>LARGE('capacity data'!S:S,4)</f>
        <v>#NUM!</v>
      </c>
      <c r="F23" s="74" t="e">
        <f>INDEX('capacity data'!O:O,MATCH(H23,'capacity data'!T:T,0))</f>
        <v>#NUM!</v>
      </c>
      <c r="G23" s="74" t="e">
        <f>INDEX('capacity data'!P:P,MATCH(H23,'capacity data'!T:T,0))</f>
        <v>#NUM!</v>
      </c>
      <c r="H23" s="78" t="e">
        <f>LARGE('capacity data'!$T:$T,4)</f>
        <v>#NUM!</v>
      </c>
      <c r="J23" s="74" t="e">
        <f>INDEX('capacity data'!O:O,MATCH(L23,'capacity data'!T:T,0))</f>
        <v>#NUM!</v>
      </c>
      <c r="K23" s="74" t="e">
        <f>INDEX('capacity data'!P:P,MATCH(L23,'capacity data'!T:T,0))</f>
        <v>#NUM!</v>
      </c>
      <c r="L23" s="78" t="e">
        <f>SMALL('capacity data'!$T:$T,4)</f>
        <v>#NUM!</v>
      </c>
    </row>
    <row r="24" spans="2:12" x14ac:dyDescent="0.15">
      <c r="B24" s="74" t="e">
        <f>INDEX('capacity data'!O:O,MATCH(C24,'capacity data'!P:P,0))</f>
        <v>#NUM!</v>
      </c>
      <c r="C24" s="74" t="e">
        <f>INDEX('capacity data'!P:P,MATCH(D24,'capacity data'!S:S,0))</f>
        <v>#NUM!</v>
      </c>
      <c r="D24" s="187" t="e">
        <f>LARGE('capacity data'!S:S,5)</f>
        <v>#NUM!</v>
      </c>
      <c r="F24" s="74" t="e">
        <f>INDEX('capacity data'!O:O,MATCH(H24,'capacity data'!T:T,0))</f>
        <v>#NUM!</v>
      </c>
      <c r="G24" s="74" t="e">
        <f>INDEX('capacity data'!P:P,MATCH(H24,'capacity data'!T:T,0))</f>
        <v>#NUM!</v>
      </c>
      <c r="H24" s="78" t="e">
        <f>LARGE('capacity data'!$T:$T,5)</f>
        <v>#NUM!</v>
      </c>
      <c r="J24" s="74" t="e">
        <f>INDEX('capacity data'!O:O,MATCH(L24,'capacity data'!T:T,0))</f>
        <v>#NUM!</v>
      </c>
      <c r="K24" s="74" t="e">
        <f>INDEX('capacity data'!P:P,MATCH(L24,'capacity data'!T:T,0))</f>
        <v>#NUM!</v>
      </c>
      <c r="L24" s="78" t="e">
        <f>SMALL('capacity data'!$T:$T,5)</f>
        <v>#NUM!</v>
      </c>
    </row>
    <row r="25" spans="2:12" x14ac:dyDescent="0.15">
      <c r="B25" s="74" t="e">
        <f>INDEX('capacity data'!O:O,MATCH(C25,'capacity data'!P:P,0))</f>
        <v>#NUM!</v>
      </c>
      <c r="C25" s="74" t="e">
        <f>INDEX('capacity data'!P:P,MATCH(D25,'capacity data'!S:S,0))</f>
        <v>#NUM!</v>
      </c>
      <c r="D25" s="187" t="e">
        <f>LARGE('capacity data'!S:S,6)</f>
        <v>#NUM!</v>
      </c>
      <c r="F25" s="74" t="e">
        <f>INDEX('capacity data'!O:O,MATCH(H25,'capacity data'!T:T,0))</f>
        <v>#NUM!</v>
      </c>
      <c r="G25" s="74" t="e">
        <f>INDEX('capacity data'!P:P,MATCH(H25,'capacity data'!T:T,0))</f>
        <v>#NUM!</v>
      </c>
      <c r="H25" s="78" t="e">
        <f>LARGE('capacity data'!$T:$T,6)</f>
        <v>#NUM!</v>
      </c>
      <c r="J25" s="74" t="e">
        <f>INDEX('capacity data'!O:O,MATCH(L25,'capacity data'!T:T,0))</f>
        <v>#NUM!</v>
      </c>
      <c r="K25" s="74" t="e">
        <f>INDEX('capacity data'!P:P,MATCH(L25,'capacity data'!T:T,0))</f>
        <v>#NUM!</v>
      </c>
      <c r="L25" s="78" t="e">
        <f>SMALL('capacity data'!$T:$T,6)</f>
        <v>#NUM!</v>
      </c>
    </row>
    <row r="26" spans="2:12" x14ac:dyDescent="0.15">
      <c r="B26" s="74" t="e">
        <f>INDEX('capacity data'!O:O,MATCH(C26,'capacity data'!P:P,0))</f>
        <v>#NUM!</v>
      </c>
      <c r="C26" s="74" t="e">
        <f>INDEX('capacity data'!P:P,MATCH(D26,'capacity data'!S:S,0))</f>
        <v>#NUM!</v>
      </c>
      <c r="D26" s="187" t="e">
        <f>LARGE('capacity data'!S:S,7)</f>
        <v>#NUM!</v>
      </c>
      <c r="F26" s="74" t="e">
        <f>INDEX('capacity data'!O:O,MATCH(H26,'capacity data'!T:T,0))</f>
        <v>#NUM!</v>
      </c>
      <c r="G26" s="74" t="e">
        <f>INDEX('capacity data'!P:P,MATCH(H26,'capacity data'!T:T,0))</f>
        <v>#NUM!</v>
      </c>
      <c r="H26" s="78" t="e">
        <f>LARGE('capacity data'!$T:$T,7)</f>
        <v>#NUM!</v>
      </c>
      <c r="J26" s="74" t="e">
        <f>INDEX('capacity data'!O:O,MATCH(L26,'capacity data'!T:T,0))</f>
        <v>#NUM!</v>
      </c>
      <c r="K26" s="74" t="e">
        <f>INDEX('capacity data'!P:P,MATCH(L26,'capacity data'!T:T,0))</f>
        <v>#NUM!</v>
      </c>
      <c r="L26" s="78" t="e">
        <f>SMALL('capacity data'!$T:$T,7)</f>
        <v>#NUM!</v>
      </c>
    </row>
    <row r="27" spans="2:12" x14ac:dyDescent="0.15">
      <c r="B27" s="74" t="e">
        <f>INDEX('capacity data'!O:O,MATCH(C27,'capacity data'!P:P,0))</f>
        <v>#NUM!</v>
      </c>
      <c r="C27" s="74" t="e">
        <f>INDEX('capacity data'!P:P,MATCH(D27,'capacity data'!S:S,0))</f>
        <v>#NUM!</v>
      </c>
      <c r="D27" s="187" t="e">
        <f>LARGE('capacity data'!S:S,8)</f>
        <v>#NUM!</v>
      </c>
      <c r="F27" s="74" t="e">
        <f>INDEX('capacity data'!O:O,MATCH(H27,'capacity data'!T:T,0))</f>
        <v>#NUM!</v>
      </c>
      <c r="G27" s="74" t="e">
        <f>INDEX('capacity data'!P:P,MATCH(H27,'capacity data'!T:T,0))</f>
        <v>#NUM!</v>
      </c>
      <c r="H27" s="78" t="e">
        <f>LARGE('capacity data'!$T:$T,8)</f>
        <v>#NUM!</v>
      </c>
      <c r="J27" s="74" t="e">
        <f>INDEX('capacity data'!O:O,MATCH(L27,'capacity data'!T:T,0))</f>
        <v>#NUM!</v>
      </c>
      <c r="K27" s="74" t="e">
        <f>INDEX('capacity data'!P:P,MATCH(L27,'capacity data'!T:T,0))</f>
        <v>#NUM!</v>
      </c>
      <c r="L27" s="78" t="e">
        <f>SMALL('capacity data'!$T:$T,8)</f>
        <v>#NUM!</v>
      </c>
    </row>
    <row r="28" spans="2:12" x14ac:dyDescent="0.15">
      <c r="B28" s="74" t="e">
        <f>INDEX('capacity data'!O:O,MATCH(C28,'capacity data'!P:P,0))</f>
        <v>#NUM!</v>
      </c>
      <c r="C28" s="74" t="e">
        <f>INDEX('capacity data'!P:P,MATCH(D28,'capacity data'!S:S,0))</f>
        <v>#NUM!</v>
      </c>
      <c r="D28" s="187" t="e">
        <f>LARGE('capacity data'!S:S,9)</f>
        <v>#NUM!</v>
      </c>
      <c r="F28" s="74" t="e">
        <f>INDEX('capacity data'!O:O,MATCH(H28,'capacity data'!T:T,0))</f>
        <v>#NUM!</v>
      </c>
      <c r="G28" s="74" t="e">
        <f>INDEX('capacity data'!P:P,MATCH(H28,'capacity data'!T:T,0))</f>
        <v>#NUM!</v>
      </c>
      <c r="H28" s="78" t="e">
        <f>LARGE('capacity data'!$T:$T,9)</f>
        <v>#NUM!</v>
      </c>
      <c r="J28" s="74" t="e">
        <f>INDEX('capacity data'!O:O,MATCH(L28,'capacity data'!T:T,0))</f>
        <v>#NUM!</v>
      </c>
      <c r="K28" s="74" t="e">
        <f>INDEX('capacity data'!P:P,MATCH(L28,'capacity data'!T:T,0))</f>
        <v>#NUM!</v>
      </c>
      <c r="L28" s="78" t="e">
        <f>SMALL('capacity data'!$T:$T,9)</f>
        <v>#NUM!</v>
      </c>
    </row>
    <row r="29" spans="2:12" x14ac:dyDescent="0.15">
      <c r="B29" s="74" t="e">
        <f>INDEX('capacity data'!O:O,MATCH(C29,'capacity data'!P:P,0))</f>
        <v>#NUM!</v>
      </c>
      <c r="C29" s="74" t="e">
        <f>INDEX('capacity data'!P:P,MATCH(D29,'capacity data'!S:S,0))</f>
        <v>#NUM!</v>
      </c>
      <c r="D29" s="187" t="e">
        <f>LARGE('capacity data'!S:S,10)</f>
        <v>#NUM!</v>
      </c>
      <c r="F29" s="74" t="e">
        <f>INDEX('capacity data'!O:O,MATCH(H29,'capacity data'!T:T,0))</f>
        <v>#NUM!</v>
      </c>
      <c r="G29" s="74" t="e">
        <f>INDEX('capacity data'!P:P,MATCH(H29,'capacity data'!T:T,0))</f>
        <v>#NUM!</v>
      </c>
      <c r="H29" s="78" t="e">
        <f>LARGE('capacity data'!$T:$T,10)</f>
        <v>#NUM!</v>
      </c>
      <c r="J29" s="74" t="e">
        <f>INDEX('capacity data'!O:O,MATCH(L29,'capacity data'!T:T,0))</f>
        <v>#NUM!</v>
      </c>
      <c r="K29" s="74" t="e">
        <f>INDEX('capacity data'!P:P,MATCH(L29,'capacity data'!T:T,0))</f>
        <v>#NUM!</v>
      </c>
      <c r="L29" s="78" t="e">
        <f>SMALL('capacity data'!$T:$T,10)</f>
        <v>#NUM!</v>
      </c>
    </row>
    <row r="32" spans="2:12" x14ac:dyDescent="0.15">
      <c r="B32" s="363" t="s">
        <v>1307</v>
      </c>
      <c r="C32" s="363"/>
      <c r="D32" s="363"/>
      <c r="F32" s="363" t="s">
        <v>1308</v>
      </c>
      <c r="G32" s="363"/>
      <c r="H32" s="363"/>
    </row>
    <row r="33" spans="2:8" ht="30" customHeight="1" x14ac:dyDescent="0.15">
      <c r="B33" s="364"/>
      <c r="C33" s="364"/>
      <c r="D33" s="364"/>
      <c r="F33" s="364"/>
      <c r="G33" s="364"/>
      <c r="H33" s="364"/>
    </row>
    <row r="34" spans="2:8" x14ac:dyDescent="0.15">
      <c r="B34" s="88" t="s">
        <v>1238</v>
      </c>
      <c r="C34" s="88" t="s">
        <v>1017</v>
      </c>
      <c r="D34" s="88" t="s">
        <v>1306</v>
      </c>
      <c r="F34" s="88" t="s">
        <v>1238</v>
      </c>
      <c r="G34" s="88" t="s">
        <v>1017</v>
      </c>
      <c r="H34" s="88" t="s">
        <v>1306</v>
      </c>
    </row>
    <row r="35" spans="2:8" x14ac:dyDescent="0.15">
      <c r="B35" s="74" t="e">
        <f>INDEX('capacity data'!O:O,MATCH(D35,'capacity data'!U:U,0))</f>
        <v>#NUM!</v>
      </c>
      <c r="C35" s="74" t="e">
        <f>INDEX('capacity data'!$P:$P,MATCH(D35,'capacity data'!U:U,0))</f>
        <v>#NUM!</v>
      </c>
      <c r="D35" s="78" t="e">
        <f>LARGE('capacity data'!$U:$U,1)</f>
        <v>#NUM!</v>
      </c>
      <c r="F35" s="74" t="e">
        <f>INDEX('capacity data'!$O:$O,MATCH(H35,'capacity data'!$U:$U,0))</f>
        <v>#NUM!</v>
      </c>
      <c r="G35" s="74" t="e">
        <f>INDEX('capacity data'!$P:$P,MATCH(H35,'capacity data'!$U:$U,0))</f>
        <v>#NUM!</v>
      </c>
      <c r="H35" s="78" t="e">
        <f>SMALL('capacity data'!$U:$U,1)</f>
        <v>#NUM!</v>
      </c>
    </row>
    <row r="36" spans="2:8" x14ac:dyDescent="0.15">
      <c r="B36" s="74" t="e">
        <f>INDEX('capacity data'!O:O,MATCH(D36,'capacity data'!U:U,0))</f>
        <v>#NUM!</v>
      </c>
      <c r="C36" s="74" t="e">
        <f>INDEX('capacity data'!$P:$P,MATCH(D36,'capacity data'!U:U,0))</f>
        <v>#NUM!</v>
      </c>
      <c r="D36" s="78" t="e">
        <f>LARGE('capacity data'!$U:$U,2)</f>
        <v>#NUM!</v>
      </c>
      <c r="F36" s="74" t="e">
        <f>INDEX('capacity data'!$O:$O,MATCH(H36,'capacity data'!$U:$U,0))</f>
        <v>#NUM!</v>
      </c>
      <c r="G36" s="74" t="e">
        <f>INDEX('capacity data'!$P:$P,MATCH(H36,'capacity data'!$U:$U,0))</f>
        <v>#NUM!</v>
      </c>
      <c r="H36" s="78" t="e">
        <f>SMALL('capacity data'!$U:$U,2)</f>
        <v>#NUM!</v>
      </c>
    </row>
    <row r="37" spans="2:8" x14ac:dyDescent="0.15">
      <c r="B37" s="74" t="e">
        <f>INDEX('capacity data'!O:O,MATCH(D37,'capacity data'!U:U,0))</f>
        <v>#NUM!</v>
      </c>
      <c r="C37" s="74" t="e">
        <f>INDEX('capacity data'!$P:$P,MATCH(D37,'capacity data'!U:U,0))</f>
        <v>#NUM!</v>
      </c>
      <c r="D37" s="78" t="e">
        <f>LARGE('capacity data'!$U:$U,3)</f>
        <v>#NUM!</v>
      </c>
      <c r="F37" s="74" t="e">
        <f>INDEX('capacity data'!$O:$O,MATCH(H37,'capacity data'!$U:$U,0))</f>
        <v>#NUM!</v>
      </c>
      <c r="G37" s="74" t="e">
        <f>INDEX('capacity data'!$P:$P,MATCH(H37,'capacity data'!$U:$U,0))</f>
        <v>#NUM!</v>
      </c>
      <c r="H37" s="78" t="e">
        <f>SMALL('capacity data'!$U:$U,3)</f>
        <v>#NUM!</v>
      </c>
    </row>
    <row r="38" spans="2:8" x14ac:dyDescent="0.15">
      <c r="B38" s="74" t="e">
        <f>INDEX('capacity data'!O:O,MATCH(D38,'capacity data'!U:U,0))</f>
        <v>#NUM!</v>
      </c>
      <c r="C38" s="74" t="e">
        <f>INDEX('capacity data'!$P:$P,MATCH(D38,'capacity data'!U:U,0))</f>
        <v>#NUM!</v>
      </c>
      <c r="D38" s="78" t="e">
        <f>LARGE('capacity data'!$U:$U,4)</f>
        <v>#NUM!</v>
      </c>
      <c r="F38" s="74" t="e">
        <f>INDEX('capacity data'!$O:$O,MATCH(H38,'capacity data'!$U:$U,0))</f>
        <v>#NUM!</v>
      </c>
      <c r="G38" s="74" t="e">
        <f>INDEX('capacity data'!$P:$P,MATCH(H38,'capacity data'!$U:$U,0))</f>
        <v>#NUM!</v>
      </c>
      <c r="H38" s="78" t="e">
        <f>SMALL('capacity data'!$U:$U,4)</f>
        <v>#NUM!</v>
      </c>
    </row>
    <row r="39" spans="2:8" x14ac:dyDescent="0.15">
      <c r="B39" s="74" t="e">
        <f>INDEX('capacity data'!O:O,MATCH(D39,'capacity data'!U:U,0))</f>
        <v>#NUM!</v>
      </c>
      <c r="C39" s="74" t="e">
        <f>INDEX('capacity data'!$P:$P,MATCH(D39,'capacity data'!U:U,0))</f>
        <v>#NUM!</v>
      </c>
      <c r="D39" s="78" t="e">
        <f>LARGE('capacity data'!$U:$U,5)</f>
        <v>#NUM!</v>
      </c>
      <c r="F39" s="74" t="e">
        <f>INDEX('capacity data'!$O:$O,MATCH(H39,'capacity data'!$U:$U,0))</f>
        <v>#NUM!</v>
      </c>
      <c r="G39" s="74" t="e">
        <f>INDEX('capacity data'!$P:$P,MATCH(H39,'capacity data'!$U:$U,0))</f>
        <v>#NUM!</v>
      </c>
      <c r="H39" s="78" t="e">
        <f>SMALL('capacity data'!$U:$U,5)</f>
        <v>#NUM!</v>
      </c>
    </row>
    <row r="40" spans="2:8" x14ac:dyDescent="0.15">
      <c r="B40" s="74" t="e">
        <f>INDEX('capacity data'!O:O,MATCH(D40,'capacity data'!U:U,0))</f>
        <v>#NUM!</v>
      </c>
      <c r="C40" s="74" t="e">
        <f>INDEX('capacity data'!$P:$P,MATCH(D40,'capacity data'!U:U,0))</f>
        <v>#NUM!</v>
      </c>
      <c r="D40" s="78" t="e">
        <f>LARGE('capacity data'!$U:$U,6)</f>
        <v>#NUM!</v>
      </c>
      <c r="F40" s="74" t="e">
        <f>INDEX('capacity data'!$O:$O,MATCH(H40,'capacity data'!$U:$U,0))</f>
        <v>#NUM!</v>
      </c>
      <c r="G40" s="74" t="e">
        <f>INDEX('capacity data'!$P:$P,MATCH(H40,'capacity data'!$U:$U,0))</f>
        <v>#NUM!</v>
      </c>
      <c r="H40" s="78" t="e">
        <f>SMALL('capacity data'!$U:$U,6)</f>
        <v>#NUM!</v>
      </c>
    </row>
    <row r="41" spans="2:8" x14ac:dyDescent="0.15">
      <c r="B41" s="74" t="e">
        <f>INDEX('capacity data'!O:O,MATCH(D41,'capacity data'!U:U,0))</f>
        <v>#NUM!</v>
      </c>
      <c r="C41" s="74" t="e">
        <f>INDEX('capacity data'!$P:$P,MATCH(D41,'capacity data'!U:U,0))</f>
        <v>#NUM!</v>
      </c>
      <c r="D41" s="78" t="e">
        <f>LARGE('capacity data'!$U:$U,7)</f>
        <v>#NUM!</v>
      </c>
      <c r="F41" s="74" t="e">
        <f>INDEX('capacity data'!$O:$O,MATCH(H41,'capacity data'!$U:$U,0))</f>
        <v>#NUM!</v>
      </c>
      <c r="G41" s="74" t="e">
        <f>INDEX('capacity data'!$P:$P,MATCH(H41,'capacity data'!$U:$U,0))</f>
        <v>#NUM!</v>
      </c>
      <c r="H41" s="78" t="e">
        <f>SMALL('capacity data'!$U:$U,7)</f>
        <v>#NUM!</v>
      </c>
    </row>
    <row r="42" spans="2:8" x14ac:dyDescent="0.15">
      <c r="B42" s="74" t="e">
        <f>INDEX('capacity data'!O:O,MATCH(D42,'capacity data'!U:U,0))</f>
        <v>#NUM!</v>
      </c>
      <c r="C42" s="74" t="e">
        <f>INDEX('capacity data'!$P:$P,MATCH(D42,'capacity data'!U:U,0))</f>
        <v>#NUM!</v>
      </c>
      <c r="D42" s="78" t="e">
        <f>LARGE('capacity data'!$U:$U,8)</f>
        <v>#NUM!</v>
      </c>
      <c r="F42" s="74" t="e">
        <f>INDEX('capacity data'!$O:$O,MATCH(H42,'capacity data'!$U:$U,0))</f>
        <v>#NUM!</v>
      </c>
      <c r="G42" s="74" t="e">
        <f>INDEX('capacity data'!$P:$P,MATCH(H42,'capacity data'!$U:$U,0))</f>
        <v>#NUM!</v>
      </c>
      <c r="H42" s="78" t="e">
        <f>SMALL('capacity data'!$U:$U,8)</f>
        <v>#NUM!</v>
      </c>
    </row>
    <row r="43" spans="2:8" x14ac:dyDescent="0.15">
      <c r="B43" s="74" t="e">
        <f>INDEX('capacity data'!O:O,MATCH(D43,'capacity data'!U:U,0))</f>
        <v>#NUM!</v>
      </c>
      <c r="C43" s="74" t="e">
        <f>INDEX('capacity data'!$P:$P,MATCH(D43,'capacity data'!U:U,0))</f>
        <v>#NUM!</v>
      </c>
      <c r="D43" s="78" t="e">
        <f>LARGE('capacity data'!$U:$U,9)</f>
        <v>#NUM!</v>
      </c>
      <c r="F43" s="74" t="e">
        <f>INDEX('capacity data'!$O:$O,MATCH(H43,'capacity data'!$U:$U,0))</f>
        <v>#NUM!</v>
      </c>
      <c r="G43" s="74" t="e">
        <f>INDEX('capacity data'!$P:$P,MATCH(H43,'capacity data'!$U:$U,0))</f>
        <v>#NUM!</v>
      </c>
      <c r="H43" s="78" t="e">
        <f>SMALL('capacity data'!$U:$U,9)</f>
        <v>#NUM!</v>
      </c>
    </row>
    <row r="44" spans="2:8" x14ac:dyDescent="0.15">
      <c r="B44" s="74" t="e">
        <f>INDEX('capacity data'!O:O,MATCH(D44,'capacity data'!U:U,0))</f>
        <v>#NUM!</v>
      </c>
      <c r="C44" s="74" t="e">
        <f>INDEX('capacity data'!$P:$P,MATCH(D44,'capacity data'!U:U,0))</f>
        <v>#NUM!</v>
      </c>
      <c r="D44" s="78" t="e">
        <f>LARGE('capacity data'!$U:$U,10)</f>
        <v>#NUM!</v>
      </c>
      <c r="F44" s="74" t="e">
        <f>INDEX('capacity data'!$O:$O,MATCH(H44,'capacity data'!$U:$U,0))</f>
        <v>#NUM!</v>
      </c>
      <c r="G44" s="74" t="e">
        <f>INDEX('capacity data'!$P:$P,MATCH(H44,'capacity data'!$U:$U,0))</f>
        <v>#NUM!</v>
      </c>
      <c r="H44" s="78" t="e">
        <f>SMALL('capacity data'!$U:$U,10)</f>
        <v>#NUM!</v>
      </c>
    </row>
  </sheetData>
  <mergeCells count="9">
    <mergeCell ref="B32:D33"/>
    <mergeCell ref="F32:H33"/>
    <mergeCell ref="B4:D4"/>
    <mergeCell ref="F4:H4"/>
    <mergeCell ref="A1:R1"/>
    <mergeCell ref="A2:R2"/>
    <mergeCell ref="B17:D18"/>
    <mergeCell ref="F17:H18"/>
    <mergeCell ref="J17:L18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41"/>
  <sheetViews>
    <sheetView showGridLines="0" zoomScale="85" zoomScaleNormal="85" workbookViewId="0">
      <selection activeCell="A40" sqref="A40:XFD40"/>
    </sheetView>
  </sheetViews>
  <sheetFormatPr baseColWidth="10" defaultColWidth="8.83203125" defaultRowHeight="14" x14ac:dyDescent="0.15"/>
  <cols>
    <col min="1" max="1" width="1.5" customWidth="1"/>
    <col min="2" max="2" width="29.5" bestFit="1" customWidth="1"/>
    <col min="3" max="3" width="11" customWidth="1"/>
    <col min="4" max="4" width="13" customWidth="1"/>
    <col min="5" max="5" width="15.1640625" customWidth="1"/>
    <col min="6" max="6" width="13.5" customWidth="1"/>
    <col min="7" max="7" width="13.83203125" customWidth="1"/>
    <col min="8" max="8" width="35.1640625" customWidth="1"/>
    <col min="9" max="9" width="11.1640625" customWidth="1"/>
    <col min="10" max="10" width="16.5" customWidth="1"/>
    <col min="11" max="11" width="15.5" customWidth="1"/>
    <col min="12" max="12" width="12.5" customWidth="1"/>
    <col min="13" max="13" width="14" customWidth="1"/>
    <col min="14" max="14" width="11.83203125" customWidth="1"/>
    <col min="15" max="15" width="35.1640625" bestFit="1" customWidth="1"/>
  </cols>
  <sheetData>
    <row r="1" spans="1:17" ht="71.25" customHeight="1" x14ac:dyDescent="0.15">
      <c r="A1" s="376" t="s">
        <v>1309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</row>
    <row r="2" spans="1:17" ht="41.25" customHeight="1" x14ac:dyDescent="0.15">
      <c r="A2" s="369"/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</row>
    <row r="3" spans="1:17" ht="30" customHeight="1" x14ac:dyDescent="0.1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7" ht="17" thickBot="1" x14ac:dyDescent="0.25">
      <c r="B4" s="377" t="s">
        <v>1310</v>
      </c>
      <c r="C4" s="378"/>
      <c r="D4" s="378"/>
      <c r="E4" s="378"/>
      <c r="F4" s="378"/>
      <c r="G4" s="37"/>
      <c r="H4" s="381" t="s">
        <v>1311</v>
      </c>
      <c r="I4" s="382"/>
      <c r="J4" s="382"/>
      <c r="K4" s="382"/>
      <c r="L4" s="382"/>
      <c r="O4" s="37"/>
    </row>
    <row r="5" spans="1:17" ht="70" x14ac:dyDescent="0.15">
      <c r="B5" s="188"/>
      <c r="C5" s="213" t="s">
        <v>1312</v>
      </c>
      <c r="D5" s="213" t="s">
        <v>1147</v>
      </c>
      <c r="E5" s="214" t="s">
        <v>1313</v>
      </c>
      <c r="F5" s="177" t="s">
        <v>1314</v>
      </c>
      <c r="G5" s="173"/>
      <c r="H5" s="188"/>
      <c r="I5" s="177" t="s">
        <v>1315</v>
      </c>
      <c r="J5" s="177" t="s">
        <v>1316</v>
      </c>
      <c r="K5" s="177" t="s">
        <v>1317</v>
      </c>
      <c r="L5" s="177" t="s">
        <v>1318</v>
      </c>
      <c r="O5" s="38"/>
    </row>
    <row r="6" spans="1:17" ht="16" x14ac:dyDescent="0.2">
      <c r="B6" s="161" t="s">
        <v>1355</v>
      </c>
      <c r="C6" s="87">
        <f>COUNTIFS('capacity data'!A:A,B6,'capacity data'!E:E,"PO")</f>
        <v>0</v>
      </c>
      <c r="D6" s="87">
        <f>COUNTIFS('capacity data'!A:A,B6,'capacity data'!E:E,"PO",'capacity data'!F:F,"&gt;110%")</f>
        <v>0</v>
      </c>
      <c r="E6" s="79" t="e">
        <f>D6/C6</f>
        <v>#DIV/0!</v>
      </c>
      <c r="F6" s="79" t="e">
        <f t="array" ref="F6">LARGE(IF('capacity data'!A:A=B6,IF('capacity data'!E:E="PO",'capacity data'!F:F)),1)</f>
        <v>#NUM!</v>
      </c>
      <c r="G6" s="189"/>
      <c r="H6" s="161" t="s">
        <v>1355</v>
      </c>
      <c r="I6" s="87">
        <f>COUNTIFS('capacity data'!A:A,H6,'capacity data'!E:E,"PSO")</f>
        <v>0</v>
      </c>
      <c r="J6" s="87">
        <f>COUNTIFS('capacity data'!A:A,H6,'capacity data'!E:E,"PSO",'capacity data'!F:F,"&gt;110%")</f>
        <v>0</v>
      </c>
      <c r="K6" s="79" t="e">
        <f>J6/I6</f>
        <v>#DIV/0!</v>
      </c>
      <c r="L6" s="79" t="e">
        <f t="array" ref="L6">LARGE(IF('capacity data'!A:A=H6,IF('capacity data'!E:E="PSO",'capacity data'!F:F)),1)</f>
        <v>#NUM!</v>
      </c>
      <c r="O6" s="2"/>
    </row>
    <row r="7" spans="1:17" ht="16" x14ac:dyDescent="0.2">
      <c r="B7" s="161" t="s">
        <v>20</v>
      </c>
      <c r="C7" s="87">
        <f>COUNTIFS('capacity data'!A:A,B7,'capacity data'!E:E,"PO")</f>
        <v>0</v>
      </c>
      <c r="D7" s="87">
        <f>COUNTIFS('capacity data'!A:A,B7,'capacity data'!E:E,"PO",'capacity data'!F:F,"&gt;110%")</f>
        <v>0</v>
      </c>
      <c r="E7" s="79" t="e">
        <f t="shared" ref="E7:E17" si="0">D7/C7</f>
        <v>#DIV/0!</v>
      </c>
      <c r="F7" s="79" t="e">
        <f t="array" ref="F7">LARGE(IF('capacity data'!A:A=B7,IF('capacity data'!E:E="PO",'capacity data'!F:F)),1)</f>
        <v>#NUM!</v>
      </c>
      <c r="G7" s="189"/>
      <c r="H7" s="161" t="s">
        <v>20</v>
      </c>
      <c r="I7" s="87">
        <f>COUNTIFS('capacity data'!A:A,H7,'capacity data'!E:E,"PSO")</f>
        <v>0</v>
      </c>
      <c r="J7" s="87">
        <f>COUNTIFS('capacity data'!A:A,H7,'capacity data'!E:E,"PSO",'capacity data'!F:F,"&gt;110%")</f>
        <v>0</v>
      </c>
      <c r="K7" s="79" t="e">
        <f t="shared" ref="K7:K17" si="1">J7/I7</f>
        <v>#DIV/0!</v>
      </c>
      <c r="L7" s="79" t="e">
        <f t="array" ref="L7">LARGE(IF('capacity data'!A:A=H7,IF('capacity data'!E:E="PSO",'capacity data'!F:F)),1)</f>
        <v>#NUM!</v>
      </c>
      <c r="O7" s="2"/>
    </row>
    <row r="8" spans="1:17" ht="16" x14ac:dyDescent="0.2">
      <c r="B8" s="161" t="s">
        <v>21</v>
      </c>
      <c r="C8" s="87">
        <f>COUNTIFS('capacity data'!A:A,B8,'capacity data'!E:E,"PO")</f>
        <v>0</v>
      </c>
      <c r="D8" s="87">
        <f>COUNTIFS('capacity data'!A:A,B8,'capacity data'!E:E,"PO",'capacity data'!F:F,"&gt;110%")</f>
        <v>0</v>
      </c>
      <c r="E8" s="79" t="e">
        <f t="shared" si="0"/>
        <v>#DIV/0!</v>
      </c>
      <c r="F8" s="79" t="e">
        <f t="array" ref="F8">LARGE(IF('capacity data'!A:A=B8,IF('capacity data'!E:E="PO",'capacity data'!F:F)),1)</f>
        <v>#NUM!</v>
      </c>
      <c r="G8" s="189"/>
      <c r="H8" s="161" t="s">
        <v>21</v>
      </c>
      <c r="I8" s="87">
        <f>COUNTIFS('capacity data'!A:A,H8,'capacity data'!E:E,"PSO")</f>
        <v>0</v>
      </c>
      <c r="J8" s="87">
        <f>COUNTIFS('capacity data'!A:A,H8,'capacity data'!E:E,"PSO",'capacity data'!F:F,"&gt;110%")</f>
        <v>0</v>
      </c>
      <c r="K8" s="79" t="e">
        <f t="shared" si="1"/>
        <v>#DIV/0!</v>
      </c>
      <c r="L8" s="79" t="e">
        <f t="array" ref="L8">LARGE(IF('capacity data'!A:A=H8,IF('capacity data'!E:E="PSO",'capacity data'!F:F)),1)</f>
        <v>#NUM!</v>
      </c>
      <c r="O8" s="2"/>
    </row>
    <row r="9" spans="1:17" ht="16" x14ac:dyDescent="0.2">
      <c r="B9" s="161" t="s">
        <v>1357</v>
      </c>
      <c r="C9" s="87">
        <f>COUNTIFS('capacity data'!A:A,B9,'capacity data'!E:E,"PO")</f>
        <v>0</v>
      </c>
      <c r="D9" s="87">
        <f>COUNTIFS('capacity data'!A:A,B9,'capacity data'!E:E,"PO",'capacity data'!F:F,"&gt;110%")</f>
        <v>0</v>
      </c>
      <c r="E9" s="79" t="e">
        <f t="shared" si="0"/>
        <v>#DIV/0!</v>
      </c>
      <c r="F9" s="79" t="e">
        <f t="array" ref="F9">LARGE(IF('capacity data'!A:A=B9,IF('capacity data'!E:E="PO",'capacity data'!F:F)),1)</f>
        <v>#NUM!</v>
      </c>
      <c r="G9" s="189"/>
      <c r="H9" s="161" t="s">
        <v>1357</v>
      </c>
      <c r="I9" s="87">
        <f>COUNTIFS('capacity data'!A:A,H9,'capacity data'!E:E,"PSO")</f>
        <v>0</v>
      </c>
      <c r="J9" s="87">
        <f>COUNTIFS('capacity data'!A:A,H9,'capacity data'!E:E,"PSO",'capacity data'!F:F,"&gt;110%")</f>
        <v>0</v>
      </c>
      <c r="K9" s="79" t="e">
        <f t="shared" si="1"/>
        <v>#DIV/0!</v>
      </c>
      <c r="L9" s="79" t="e">
        <f t="array" ref="L9">LARGE(IF('capacity data'!A:A=H9,IF('capacity data'!E:E="PSO",'capacity data'!F:F)),1)</f>
        <v>#NUM!</v>
      </c>
      <c r="O9" s="2"/>
    </row>
    <row r="10" spans="1:17" ht="16" x14ac:dyDescent="0.2">
      <c r="B10" s="161" t="s">
        <v>22</v>
      </c>
      <c r="C10" s="87">
        <f>COUNTIFS('capacity data'!A:A,B10,'capacity data'!E:E,"PO")</f>
        <v>0</v>
      </c>
      <c r="D10" s="87">
        <f>COUNTIFS('capacity data'!A:A,B10,'capacity data'!E:E,"PO",'capacity data'!F:F,"&gt;110%")</f>
        <v>0</v>
      </c>
      <c r="E10" s="79" t="e">
        <f t="shared" si="0"/>
        <v>#DIV/0!</v>
      </c>
      <c r="F10" s="79" t="e">
        <f t="array" ref="F10">LARGE(IF('capacity data'!A:A=B10,IF('capacity data'!E:E="PO",'capacity data'!F:F)),1)</f>
        <v>#NUM!</v>
      </c>
      <c r="G10" s="189"/>
      <c r="H10" s="161" t="s">
        <v>22</v>
      </c>
      <c r="I10" s="87">
        <f>COUNTIFS('capacity data'!A:A,H10,'capacity data'!E:E,"PSO")</f>
        <v>0</v>
      </c>
      <c r="J10" s="87">
        <f>COUNTIFS('capacity data'!A:A,H10,'capacity data'!E:E,"PSO",'capacity data'!F:F,"&gt;110%")</f>
        <v>0</v>
      </c>
      <c r="K10" s="79" t="e">
        <f t="shared" si="1"/>
        <v>#DIV/0!</v>
      </c>
      <c r="L10" s="79" t="e">
        <f t="array" ref="L10">LARGE(IF('capacity data'!A:A=H10,IF('capacity data'!E:E="PSO",'capacity data'!F:F)),1)</f>
        <v>#NUM!</v>
      </c>
      <c r="O10" s="2"/>
    </row>
    <row r="11" spans="1:17" ht="16" x14ac:dyDescent="0.2">
      <c r="B11" s="161" t="s">
        <v>23</v>
      </c>
      <c r="C11" s="87">
        <f>COUNTIFS('capacity data'!A:A,B11,'capacity data'!E:E,"PO")</f>
        <v>0</v>
      </c>
      <c r="D11" s="87">
        <f>COUNTIFS('capacity data'!A:A,B11,'capacity data'!E:E,"PO",'capacity data'!F:F,"&gt;110%")</f>
        <v>0</v>
      </c>
      <c r="E11" s="79" t="e">
        <f t="shared" si="0"/>
        <v>#DIV/0!</v>
      </c>
      <c r="F11" s="79" t="e">
        <f t="array" ref="F11">LARGE(IF('capacity data'!A:A=B11,IF('capacity data'!E:E="PO",'capacity data'!F:F)),1)</f>
        <v>#NUM!</v>
      </c>
      <c r="G11" s="76"/>
      <c r="H11" s="161" t="s">
        <v>23</v>
      </c>
      <c r="I11" s="87">
        <f>COUNTIFS('capacity data'!A:A,H11,'capacity data'!E:E,"PSO")</f>
        <v>0</v>
      </c>
      <c r="J11" s="87">
        <f>COUNTIFS('capacity data'!A:A,H11,'capacity data'!E:E,"PSO",'capacity data'!F:F,"&gt;110%")</f>
        <v>0</v>
      </c>
      <c r="K11" s="79" t="e">
        <f t="shared" si="1"/>
        <v>#DIV/0!</v>
      </c>
      <c r="L11" s="79" t="e">
        <f t="array" ref="L11">LARGE(IF('capacity data'!A:A=H11,IF('capacity data'!E:E="PSO",'capacity data'!F:F)),1)</f>
        <v>#NUM!</v>
      </c>
      <c r="O11" s="2"/>
    </row>
    <row r="12" spans="1:17" ht="16" x14ac:dyDescent="0.2">
      <c r="B12" s="161" t="s">
        <v>24</v>
      </c>
      <c r="C12" s="87">
        <f>COUNTIFS('capacity data'!A:A,B12,'capacity data'!E:E,"PO")</f>
        <v>0</v>
      </c>
      <c r="D12" s="87">
        <f>COUNTIFS('capacity data'!A:A,B12,'capacity data'!E:E,"PO",'capacity data'!F:F,"&gt;110%")</f>
        <v>0</v>
      </c>
      <c r="E12" s="79" t="e">
        <f t="shared" si="0"/>
        <v>#DIV/0!</v>
      </c>
      <c r="F12" s="79" t="e">
        <f t="array" ref="F12">LARGE(IF('capacity data'!A:A=B12,IF('capacity data'!E:E="PO",'capacity data'!F:F)),1)</f>
        <v>#NUM!</v>
      </c>
      <c r="G12" s="76"/>
      <c r="H12" s="161" t="s">
        <v>24</v>
      </c>
      <c r="I12" s="87">
        <f>COUNTIFS('capacity data'!A:A,H12,'capacity data'!E:E,"PSO")</f>
        <v>0</v>
      </c>
      <c r="J12" s="87">
        <f>COUNTIFS('capacity data'!A:A,H12,'capacity data'!E:E,"PSO",'capacity data'!F:F,"&gt;110%")</f>
        <v>0</v>
      </c>
      <c r="K12" s="79" t="e">
        <f t="shared" si="1"/>
        <v>#DIV/0!</v>
      </c>
      <c r="L12" s="79" t="e">
        <f t="array" ref="L12">LARGE(IF('capacity data'!A:A=H12,IF('capacity data'!E:E="PSO",'capacity data'!F:F)),1)</f>
        <v>#NUM!</v>
      </c>
      <c r="O12" s="2"/>
    </row>
    <row r="13" spans="1:17" ht="16" x14ac:dyDescent="0.2">
      <c r="B13" s="161" t="s">
        <v>25</v>
      </c>
      <c r="C13" s="87">
        <f>COUNTIFS('capacity data'!A:A,B13,'capacity data'!E:E,"PO")</f>
        <v>0</v>
      </c>
      <c r="D13" s="87">
        <f>COUNTIFS('capacity data'!A:A,B13,'capacity data'!E:E,"PO",'capacity data'!F:F,"&gt;110%")</f>
        <v>0</v>
      </c>
      <c r="E13" s="79" t="e">
        <f t="shared" ref="E13" si="2">D13/C13</f>
        <v>#DIV/0!</v>
      </c>
      <c r="F13" s="79" t="e">
        <f t="array" ref="F13">LARGE(IF('capacity data'!A:A=B13,IF('capacity data'!E:E="PO",'capacity data'!F:F)),1)</f>
        <v>#NUM!</v>
      </c>
      <c r="G13" s="76"/>
      <c r="H13" s="161" t="s">
        <v>25</v>
      </c>
      <c r="I13" s="87">
        <f>COUNTIFS('capacity data'!A:A,H13,'capacity data'!E:E,"PSO")</f>
        <v>0</v>
      </c>
      <c r="J13" s="87">
        <f>COUNTIFS('capacity data'!A:A,H13,'capacity data'!E:E,"PSO",'capacity data'!F:F,"&gt;110%")</f>
        <v>0</v>
      </c>
      <c r="K13" s="79" t="e">
        <f t="shared" ref="K13" si="3">J13/I13</f>
        <v>#DIV/0!</v>
      </c>
      <c r="L13" s="79" t="e">
        <f t="array" ref="L13">LARGE(IF('capacity data'!A:A=H13,IF('capacity data'!E:E="PSO",'capacity data'!F:F)),1)</f>
        <v>#NUM!</v>
      </c>
      <c r="O13" s="2"/>
    </row>
    <row r="14" spans="1:17" ht="16" x14ac:dyDescent="0.2">
      <c r="B14" s="161" t="s">
        <v>26</v>
      </c>
      <c r="C14" s="87">
        <f>COUNTIFS('capacity data'!A:A,B14,'capacity data'!E:E,"PO")</f>
        <v>0</v>
      </c>
      <c r="D14" s="87">
        <f>COUNTIFS('capacity data'!A:A,B14,'capacity data'!E:E,"PO",'capacity data'!F:F,"&gt;110%")</f>
        <v>0</v>
      </c>
      <c r="E14" s="79" t="e">
        <f t="shared" si="0"/>
        <v>#DIV/0!</v>
      </c>
      <c r="F14" s="79" t="e">
        <f t="array" ref="F14">LARGE(IF('capacity data'!A:A=B14,IF('capacity data'!E:E="PO",'capacity data'!F:F)),1)</f>
        <v>#NUM!</v>
      </c>
      <c r="G14" s="76"/>
      <c r="H14" s="161" t="s">
        <v>26</v>
      </c>
      <c r="I14" s="87">
        <f>COUNTIFS('capacity data'!A:A,H14,'capacity data'!E:E,"PSO")</f>
        <v>0</v>
      </c>
      <c r="J14" s="87">
        <f>COUNTIFS('capacity data'!A:A,H14,'capacity data'!E:E,"PSO",'capacity data'!F:F,"&gt;110%")</f>
        <v>0</v>
      </c>
      <c r="K14" s="79" t="e">
        <f t="shared" si="1"/>
        <v>#DIV/0!</v>
      </c>
      <c r="L14" s="79" t="e">
        <f t="array" ref="L14">LARGE(IF('capacity data'!A:A=H14,IF('capacity data'!E:E="PSO",'capacity data'!F:F)),1)</f>
        <v>#NUM!</v>
      </c>
      <c r="O14" s="2"/>
    </row>
    <row r="15" spans="1:17" ht="16" x14ac:dyDescent="0.2">
      <c r="B15" s="161" t="s">
        <v>27</v>
      </c>
      <c r="C15" s="87">
        <f>COUNTIFS('capacity data'!A:A,B15,'capacity data'!E:E,"PO")</f>
        <v>0</v>
      </c>
      <c r="D15" s="87">
        <f>COUNTIFS('capacity data'!A:A,B15,'capacity data'!E:E,"PO",'capacity data'!F:F,"&gt;110%")</f>
        <v>0</v>
      </c>
      <c r="E15" s="79" t="e">
        <f t="shared" si="0"/>
        <v>#DIV/0!</v>
      </c>
      <c r="F15" s="79" t="e">
        <f t="array" ref="F15">LARGE(IF('capacity data'!A:A=B15,IF('capacity data'!E:E="PO",'capacity data'!F:F)),1)</f>
        <v>#NUM!</v>
      </c>
      <c r="G15" s="76"/>
      <c r="H15" s="161" t="s">
        <v>27</v>
      </c>
      <c r="I15" s="87">
        <f>COUNTIFS('capacity data'!A:A,H15,'capacity data'!E:E,"PSO")</f>
        <v>0</v>
      </c>
      <c r="J15" s="87">
        <f>COUNTIFS('capacity data'!A:A,H15,'capacity data'!E:E,"PSO",'capacity data'!F:F,"&gt;110%")</f>
        <v>0</v>
      </c>
      <c r="K15" s="79" t="e">
        <f t="shared" si="1"/>
        <v>#DIV/0!</v>
      </c>
      <c r="L15" s="79" t="e">
        <f t="array" ref="L15">LARGE(IF('capacity data'!A:A=H15,IF('capacity data'!E:E="PSO",'capacity data'!F:F)),1)</f>
        <v>#NUM!</v>
      </c>
      <c r="O15" s="2"/>
    </row>
    <row r="16" spans="1:17" ht="16" x14ac:dyDescent="0.2">
      <c r="B16" s="161" t="s">
        <v>28</v>
      </c>
      <c r="C16" s="87">
        <f>COUNTIFS('capacity data'!A:A,B16,'capacity data'!E:E,"PO")</f>
        <v>0</v>
      </c>
      <c r="D16" s="87">
        <f>COUNTIFS('capacity data'!A:A,B16,'capacity data'!E:E,"PO",'capacity data'!F:F,"&gt;110%")</f>
        <v>0</v>
      </c>
      <c r="E16" s="79" t="e">
        <f t="shared" si="0"/>
        <v>#DIV/0!</v>
      </c>
      <c r="F16" s="79" t="e">
        <f t="array" ref="F16">LARGE(IF('capacity data'!A:A=B16,IF('capacity data'!E:E="PO",'capacity data'!F:F)),1)</f>
        <v>#NUM!</v>
      </c>
      <c r="G16" s="76"/>
      <c r="H16" s="161" t="s">
        <v>28</v>
      </c>
      <c r="I16" s="87">
        <f>COUNTIFS('capacity data'!A:A,H16,'capacity data'!E:E,"PSO")</f>
        <v>0</v>
      </c>
      <c r="J16" s="87">
        <f>COUNTIFS('capacity data'!A:A,H16,'capacity data'!E:E,"PSO",'capacity data'!F:F,"&gt;110%")</f>
        <v>0</v>
      </c>
      <c r="K16" s="79" t="e">
        <f t="shared" si="1"/>
        <v>#DIV/0!</v>
      </c>
      <c r="L16" s="79" t="e">
        <f t="array" ref="L16">LARGE(IF('capacity data'!A:A=H16,IF('capacity data'!E:E="PSO",'capacity data'!F:F)),1)</f>
        <v>#NUM!</v>
      </c>
      <c r="O16" s="2"/>
    </row>
    <row r="17" spans="2:15" ht="16" x14ac:dyDescent="0.2">
      <c r="B17" s="161" t="s">
        <v>1409</v>
      </c>
      <c r="C17" s="87">
        <f>COUNTIFS('capacity data'!A:A,B17,'capacity data'!E:E,"PO")</f>
        <v>0</v>
      </c>
      <c r="D17" s="87">
        <f>COUNTIFS('capacity data'!A:A,B17,'capacity data'!E:E,"PO",'capacity data'!F:F,"&gt;110%")</f>
        <v>0</v>
      </c>
      <c r="E17" s="79" t="e">
        <f t="shared" si="0"/>
        <v>#DIV/0!</v>
      </c>
      <c r="F17" s="79" t="e">
        <f t="array" ref="F17">LARGE(IF('capacity data'!A:A=B17,IF('capacity data'!E:E="PO",'capacity data'!F:F)),1)</f>
        <v>#NUM!</v>
      </c>
      <c r="G17" s="76"/>
      <c r="H17" s="161" t="s">
        <v>1409</v>
      </c>
      <c r="I17" s="87">
        <f>COUNTIFS('capacity data'!A:A,H17,'capacity data'!E:E,"PSO")</f>
        <v>0</v>
      </c>
      <c r="J17" s="87">
        <f>COUNTIFS('capacity data'!A:A,H17,'capacity data'!E:E,"PSO",'capacity data'!F:F,"&gt;110%")</f>
        <v>0</v>
      </c>
      <c r="K17" s="79" t="e">
        <f t="shared" si="1"/>
        <v>#DIV/0!</v>
      </c>
      <c r="L17" s="79" t="e">
        <f t="array" ref="L17">LARGE(IF('capacity data'!A:A=H17,IF('capacity data'!E:E="PSO",'capacity data'!F:F)),1)</f>
        <v>#NUM!</v>
      </c>
      <c r="O17" s="2"/>
    </row>
    <row r="18" spans="2:15" ht="16" x14ac:dyDescent="0.2">
      <c r="B18" s="161" t="s">
        <v>29</v>
      </c>
      <c r="C18" s="87">
        <f>COUNTIFS('capacity data'!A:A,B18,'capacity data'!E:E,"PO")</f>
        <v>0</v>
      </c>
      <c r="D18" s="87">
        <f>COUNTIFS('capacity data'!A:A,B18,'capacity data'!E:E,"PO",'capacity data'!F:F,"&gt;110%")</f>
        <v>0</v>
      </c>
      <c r="E18" s="79" t="e">
        <f t="shared" ref="E18:E20" si="4">D18/C18</f>
        <v>#DIV/0!</v>
      </c>
      <c r="F18" s="79" t="e">
        <f t="array" ref="F18">LARGE(IF('capacity data'!A:A=B18,IF('capacity data'!E:E="PO",'capacity data'!F:F)),1)</f>
        <v>#NUM!</v>
      </c>
      <c r="G18" s="76"/>
      <c r="H18" s="161" t="s">
        <v>29</v>
      </c>
      <c r="I18" s="87">
        <f>COUNTIFS('capacity data'!A:A,H18,'capacity data'!E:E,"PSO")</f>
        <v>0</v>
      </c>
      <c r="J18" s="87">
        <f>COUNTIFS('capacity data'!A:A,H18,'capacity data'!E:E,"PSO",'capacity data'!F:F,"&gt;110%")</f>
        <v>0</v>
      </c>
      <c r="K18" s="79" t="e">
        <f t="shared" ref="K18:K20" si="5">J18/I18</f>
        <v>#DIV/0!</v>
      </c>
      <c r="L18" s="79" t="e">
        <f t="array" ref="L18">LARGE(IF('capacity data'!A:A=H18,IF('capacity data'!E:E="PSO",'capacity data'!F:F)),1)</f>
        <v>#NUM!</v>
      </c>
      <c r="O18" s="2"/>
    </row>
    <row r="19" spans="2:15" ht="16" x14ac:dyDescent="0.2">
      <c r="B19" s="161" t="s">
        <v>30</v>
      </c>
      <c r="C19" s="87">
        <f>COUNTIFS('capacity data'!A:A,B19,'capacity data'!E:E,"PO")</f>
        <v>0</v>
      </c>
      <c r="D19" s="87">
        <f>COUNTIFS('capacity data'!A:A,B19,'capacity data'!E:E,"PO",'capacity data'!F:F,"&gt;110%")</f>
        <v>0</v>
      </c>
      <c r="E19" s="79" t="e">
        <f t="shared" si="4"/>
        <v>#DIV/0!</v>
      </c>
      <c r="F19" s="79" t="e">
        <f t="array" ref="F19">LARGE(IF('capacity data'!A:A=B19,IF('capacity data'!E:E="PO",'capacity data'!F:F)),1)</f>
        <v>#NUM!</v>
      </c>
      <c r="G19" s="76"/>
      <c r="H19" s="161" t="s">
        <v>30</v>
      </c>
      <c r="I19" s="87">
        <f>COUNTIFS('capacity data'!A:A,H19,'capacity data'!E:E,"PSO")</f>
        <v>0</v>
      </c>
      <c r="J19" s="87">
        <f>COUNTIFS('capacity data'!A:A,H19,'capacity data'!E:E,"PSO",'capacity data'!F:F,"&gt;110%")</f>
        <v>0</v>
      </c>
      <c r="K19" s="79" t="e">
        <f t="shared" si="5"/>
        <v>#DIV/0!</v>
      </c>
      <c r="L19" s="79" t="e">
        <f t="array" ref="L19">LARGE(IF('capacity data'!A:A=H19,IF('capacity data'!E:E="PSO",'capacity data'!F:F)),1)</f>
        <v>#NUM!</v>
      </c>
      <c r="O19" s="2"/>
    </row>
    <row r="20" spans="2:15" ht="16" x14ac:dyDescent="0.2">
      <c r="B20" s="161" t="s">
        <v>34</v>
      </c>
      <c r="C20" s="87">
        <f>COUNTIFS('capacity data'!A:A,B20,'capacity data'!E:E,"PO")</f>
        <v>0</v>
      </c>
      <c r="D20" s="87">
        <f>COUNTIFS('capacity data'!A:A,B20,'capacity data'!E:E,"PO",'capacity data'!F:F,"&gt;110%")</f>
        <v>0</v>
      </c>
      <c r="E20" s="79" t="e">
        <f t="shared" si="4"/>
        <v>#DIV/0!</v>
      </c>
      <c r="F20" s="79" t="e">
        <f t="array" ref="F20">LARGE(IF('capacity data'!A:A=B20,IF('capacity data'!E:E="PO",'capacity data'!F:F)),1)</f>
        <v>#NUM!</v>
      </c>
      <c r="G20" s="76"/>
      <c r="H20" s="161" t="s">
        <v>34</v>
      </c>
      <c r="I20" s="87">
        <f>COUNTIFS('capacity data'!A:A,H20,'capacity data'!E:E,"PSO")</f>
        <v>0</v>
      </c>
      <c r="J20" s="87">
        <f>COUNTIFS('capacity data'!A:A,H20,'capacity data'!E:E,"PSO",'capacity data'!F:F,"&gt;110%")</f>
        <v>0</v>
      </c>
      <c r="K20" s="79" t="e">
        <f t="shared" si="5"/>
        <v>#DIV/0!</v>
      </c>
      <c r="L20" s="79" t="e">
        <f t="array" ref="L20">LARGE(IF('capacity data'!A:A=H20,IF('capacity data'!E:E="PSO",'capacity data'!F:F)),1)</f>
        <v>#NUM!</v>
      </c>
      <c r="O20" s="2"/>
    </row>
    <row r="21" spans="2:15" ht="16" x14ac:dyDescent="0.2">
      <c r="B21" s="193" t="s">
        <v>1240</v>
      </c>
      <c r="C21" s="123">
        <f>COUNTIF('capacity data'!E:E,"PO")</f>
        <v>0</v>
      </c>
      <c r="D21" s="123">
        <f>COUNTIFS('capacity data'!E:E,"PO",'capacity data'!F:F,"&gt;110%")</f>
        <v>0</v>
      </c>
      <c r="E21" s="230" t="e">
        <f t="shared" ref="E21" si="6">D21/C21</f>
        <v>#DIV/0!</v>
      </c>
      <c r="F21" s="123" t="s">
        <v>1158</v>
      </c>
      <c r="G21" s="76"/>
      <c r="H21" s="193" t="s">
        <v>1240</v>
      </c>
      <c r="I21" s="123">
        <f>COUNTIF('capacity data'!E:E,"PSO")</f>
        <v>0</v>
      </c>
      <c r="J21" s="123">
        <f>COUNTIFS('capacity data'!E:E,"PSO",'capacity data'!F:F,"&gt;110%")</f>
        <v>0</v>
      </c>
      <c r="K21" s="230" t="e">
        <f t="shared" ref="K21" si="7">J21/I21</f>
        <v>#DIV/0!</v>
      </c>
      <c r="L21" s="169" t="s">
        <v>1158</v>
      </c>
      <c r="O21" s="2"/>
    </row>
    <row r="24" spans="2:15" ht="16" x14ac:dyDescent="0.2">
      <c r="B24" s="379" t="s">
        <v>1319</v>
      </c>
      <c r="C24" s="380"/>
      <c r="D24" s="380"/>
      <c r="E24" s="380"/>
      <c r="F24" s="380"/>
      <c r="G24" s="37"/>
      <c r="H24" s="381" t="s">
        <v>1320</v>
      </c>
      <c r="I24" s="382"/>
      <c r="J24" s="382"/>
      <c r="K24" s="382"/>
    </row>
    <row r="25" spans="2:15" ht="56" x14ac:dyDescent="0.15">
      <c r="B25" s="188"/>
      <c r="C25" s="177" t="s">
        <v>1321</v>
      </c>
      <c r="D25" s="177" t="s">
        <v>1322</v>
      </c>
      <c r="E25" s="177" t="s">
        <v>1323</v>
      </c>
      <c r="F25" s="177" t="s">
        <v>1324</v>
      </c>
      <c r="G25" s="190"/>
      <c r="H25" s="188"/>
      <c r="I25" s="177" t="s">
        <v>1315</v>
      </c>
      <c r="J25" s="177" t="s">
        <v>1325</v>
      </c>
      <c r="K25" s="177" t="s">
        <v>1326</v>
      </c>
      <c r="L25" s="38"/>
    </row>
    <row r="26" spans="2:15" x14ac:dyDescent="0.15">
      <c r="B26" s="161" t="s">
        <v>1355</v>
      </c>
      <c r="C26" s="87">
        <f>COUNTIFS('capacity data'!A:A,B26,'capacity data'!E:E,"TPO")</f>
        <v>0</v>
      </c>
      <c r="D26" s="87">
        <f>COUNTIFS('capacity data'!A:A,B26,'capacity data'!E:E,"TPO",'capacity data'!F:F,"&gt;110%")</f>
        <v>0</v>
      </c>
      <c r="E26" s="79" t="e">
        <f>D26/C26</f>
        <v>#DIV/0!</v>
      </c>
      <c r="F26" s="79" t="e">
        <f t="array" ref="F26">LARGE(IF('capacity data'!A:A=B26,IF('capacity data'!E:E="TPO",'capacity data'!F:F)),1)</f>
        <v>#NUM!</v>
      </c>
      <c r="G26" s="191"/>
      <c r="H26" s="161" t="s">
        <v>1355</v>
      </c>
      <c r="I26" s="87">
        <f>COUNTIFS('capacity data'!A:A,H26,'capacity data'!E:E,"PSO")</f>
        <v>0</v>
      </c>
      <c r="J26" s="87">
        <f>COUNTIFS('capacity data'!A:A,H26,'capacity data'!E:E,"PSO",'capacity data'!F:F,"&lt;90%")</f>
        <v>0</v>
      </c>
      <c r="K26" s="192" t="e">
        <f>J26/I26</f>
        <v>#DIV/0!</v>
      </c>
    </row>
    <row r="27" spans="2:15" x14ac:dyDescent="0.15">
      <c r="B27" s="161" t="s">
        <v>20</v>
      </c>
      <c r="C27" s="87">
        <f>COUNTIFS('capacity data'!A:A,B27,'capacity data'!E:E,"TPO")</f>
        <v>0</v>
      </c>
      <c r="D27" s="87">
        <f>COUNTIFS('capacity data'!A:A,B27,'capacity data'!E:E,"TPO",'capacity data'!F:F,"&gt;110%")</f>
        <v>0</v>
      </c>
      <c r="E27" s="79" t="e">
        <f t="shared" ref="E27:E37" si="8">D27/C27</f>
        <v>#DIV/0!</v>
      </c>
      <c r="F27" s="79" t="e">
        <f t="array" ref="F27">LARGE(IF('capacity data'!A:A=B27,IF('capacity data'!E:E="TPO",'capacity data'!F:F)),1)</f>
        <v>#NUM!</v>
      </c>
      <c r="G27" s="191"/>
      <c r="H27" s="161" t="s">
        <v>20</v>
      </c>
      <c r="I27" s="87">
        <f>COUNTIFS('capacity data'!A:A,H27,'capacity data'!E:E,"PSO")</f>
        <v>0</v>
      </c>
      <c r="J27" s="87">
        <f>COUNTIFS('capacity data'!A:A,H27,'capacity data'!E:E,"PSO",'capacity data'!F:F,"&lt;90%")</f>
        <v>0</v>
      </c>
      <c r="K27" s="192" t="e">
        <f t="shared" ref="K27:K37" si="9">J27/I27</f>
        <v>#DIV/0!</v>
      </c>
    </row>
    <row r="28" spans="2:15" x14ac:dyDescent="0.15">
      <c r="B28" s="161" t="s">
        <v>21</v>
      </c>
      <c r="C28" s="87">
        <f>COUNTIFS('capacity data'!A:A,B28,'capacity data'!E:E,"TPO")</f>
        <v>0</v>
      </c>
      <c r="D28" s="87">
        <f>COUNTIFS('capacity data'!A:A,B28,'capacity data'!E:E,"TPO",'capacity data'!F:F,"&gt;110%")</f>
        <v>0</v>
      </c>
      <c r="E28" s="79" t="e">
        <f t="shared" si="8"/>
        <v>#DIV/0!</v>
      </c>
      <c r="F28" s="79" t="e">
        <f t="array" ref="F28">LARGE(IF('capacity data'!A:A=B28,IF('capacity data'!E:E="TPO",'capacity data'!F:F)),1)</f>
        <v>#NUM!</v>
      </c>
      <c r="G28" s="191"/>
      <c r="H28" s="161" t="s">
        <v>21</v>
      </c>
      <c r="I28" s="87">
        <f>COUNTIFS('capacity data'!A:A,H28,'capacity data'!E:E,"PSO")</f>
        <v>0</v>
      </c>
      <c r="J28" s="87">
        <f>COUNTIFS('capacity data'!A:A,H28,'capacity data'!E:E,"PSO",'capacity data'!F:F,"&lt;90%")</f>
        <v>0</v>
      </c>
      <c r="K28" s="192" t="e">
        <f t="shared" si="9"/>
        <v>#DIV/0!</v>
      </c>
    </row>
    <row r="29" spans="2:15" x14ac:dyDescent="0.15">
      <c r="B29" s="161" t="s">
        <v>1357</v>
      </c>
      <c r="C29" s="87">
        <f>COUNTIFS('capacity data'!A:A,B29,'capacity data'!E:E,"TPO")</f>
        <v>0</v>
      </c>
      <c r="D29" s="87">
        <f>COUNTIFS('capacity data'!A:A,B29,'capacity data'!E:E,"TPO",'capacity data'!F:F,"&gt;110%")</f>
        <v>0</v>
      </c>
      <c r="E29" s="79" t="e">
        <f t="shared" si="8"/>
        <v>#DIV/0!</v>
      </c>
      <c r="F29" s="79" t="e">
        <f t="array" ref="F29">LARGE(IF('capacity data'!A:A=B29,IF('capacity data'!E:E="TPO",'capacity data'!F:F)),1)</f>
        <v>#NUM!</v>
      </c>
      <c r="G29" s="191"/>
      <c r="H29" s="161" t="s">
        <v>1357</v>
      </c>
      <c r="I29" s="87">
        <f>COUNTIFS('capacity data'!A:A,H29,'capacity data'!E:E,"PSO")</f>
        <v>0</v>
      </c>
      <c r="J29" s="87">
        <f>COUNTIFS('capacity data'!A:A,H29,'capacity data'!E:E,"PSO",'capacity data'!F:F,"&lt;90%")</f>
        <v>0</v>
      </c>
      <c r="K29" s="192" t="e">
        <f t="shared" si="9"/>
        <v>#DIV/0!</v>
      </c>
    </row>
    <row r="30" spans="2:15" x14ac:dyDescent="0.15">
      <c r="B30" s="161" t="s">
        <v>22</v>
      </c>
      <c r="C30" s="87">
        <f>COUNTIFS('capacity data'!A:A,B30,'capacity data'!E:E,"TPO")</f>
        <v>0</v>
      </c>
      <c r="D30" s="87">
        <f>COUNTIFS('capacity data'!A:A,B30,'capacity data'!E:E,"TPO",'capacity data'!F:F,"&gt;110%")</f>
        <v>0</v>
      </c>
      <c r="E30" s="79" t="e">
        <f t="shared" si="8"/>
        <v>#DIV/0!</v>
      </c>
      <c r="F30" s="79" t="e">
        <f t="array" ref="F30">LARGE(IF('capacity data'!A:A=B30,IF('capacity data'!E:E="TPO",'capacity data'!F:F)),1)</f>
        <v>#NUM!</v>
      </c>
      <c r="G30" s="191"/>
      <c r="H30" s="161" t="s">
        <v>22</v>
      </c>
      <c r="I30" s="87">
        <f>COUNTIFS('capacity data'!A:A,H30,'capacity data'!E:E,"PSO")</f>
        <v>0</v>
      </c>
      <c r="J30" s="87">
        <f>COUNTIFS('capacity data'!A:A,H30,'capacity data'!E:E,"PSO",'capacity data'!F:F,"&lt;90%")</f>
        <v>0</v>
      </c>
      <c r="K30" s="192" t="e">
        <f t="shared" si="9"/>
        <v>#DIV/0!</v>
      </c>
    </row>
    <row r="31" spans="2:15" x14ac:dyDescent="0.15">
      <c r="B31" s="161" t="s">
        <v>23</v>
      </c>
      <c r="C31" s="87">
        <f>COUNTIFS('capacity data'!A:A,B31,'capacity data'!E:E,"TPO")</f>
        <v>0</v>
      </c>
      <c r="D31" s="87">
        <f>COUNTIFS('capacity data'!A:A,B31,'capacity data'!E:E,"TPO",'capacity data'!F:F,"&gt;110%")</f>
        <v>0</v>
      </c>
      <c r="E31" s="79" t="e">
        <f t="shared" si="8"/>
        <v>#DIV/0!</v>
      </c>
      <c r="F31" s="79" t="e">
        <f t="array" ref="F31">LARGE(IF('capacity data'!A:A=B31,IF('capacity data'!E:E="TPO",'capacity data'!F:F)),1)</f>
        <v>#NUM!</v>
      </c>
      <c r="G31" s="191"/>
      <c r="H31" s="161" t="s">
        <v>23</v>
      </c>
      <c r="I31" s="87">
        <f>COUNTIFS('capacity data'!A:A,H31,'capacity data'!E:E,"PSO")</f>
        <v>0</v>
      </c>
      <c r="J31" s="87">
        <f>COUNTIFS('capacity data'!A:A,H31,'capacity data'!E:E,"PSO",'capacity data'!F:F,"&lt;90%")</f>
        <v>0</v>
      </c>
      <c r="K31" s="192" t="e">
        <f t="shared" si="9"/>
        <v>#DIV/0!</v>
      </c>
    </row>
    <row r="32" spans="2:15" x14ac:dyDescent="0.15">
      <c r="B32" s="161" t="s">
        <v>24</v>
      </c>
      <c r="C32" s="87">
        <f>COUNTIFS('capacity data'!A:A,B32,'capacity data'!E:E,"TPO")</f>
        <v>0</v>
      </c>
      <c r="D32" s="87">
        <f>COUNTIFS('capacity data'!A:A,B32,'capacity data'!E:E,"TPO",'capacity data'!F:F,"&gt;110%")</f>
        <v>0</v>
      </c>
      <c r="E32" s="79" t="e">
        <f t="shared" si="8"/>
        <v>#DIV/0!</v>
      </c>
      <c r="F32" s="79" t="e">
        <f t="array" ref="F32">LARGE(IF('capacity data'!A:A=B32,IF('capacity data'!E:E="TPO",'capacity data'!F:F)),1)</f>
        <v>#NUM!</v>
      </c>
      <c r="G32" s="191"/>
      <c r="H32" s="161" t="s">
        <v>24</v>
      </c>
      <c r="I32" s="87">
        <f>COUNTIFS('capacity data'!A:A,H32,'capacity data'!E:E,"PSO")</f>
        <v>0</v>
      </c>
      <c r="J32" s="87">
        <f>COUNTIFS('capacity data'!A:A,H32,'capacity data'!E:E,"PSO",'capacity data'!F:F,"&lt;90%")</f>
        <v>0</v>
      </c>
      <c r="K32" s="192" t="e">
        <f t="shared" si="9"/>
        <v>#DIV/0!</v>
      </c>
    </row>
    <row r="33" spans="2:11" x14ac:dyDescent="0.15">
      <c r="B33" s="161" t="s">
        <v>25</v>
      </c>
      <c r="C33" s="87">
        <f>COUNTIFS('capacity data'!A:A,B33,'capacity data'!E:E,"TPO")</f>
        <v>0</v>
      </c>
      <c r="D33" s="87">
        <f>COUNTIFS('capacity data'!A:A,B33,'capacity data'!E:E,"TPO",'capacity data'!F:F,"&gt;110%")</f>
        <v>0</v>
      </c>
      <c r="E33" s="79" t="e">
        <f t="shared" ref="E33" si="10">D33/C33</f>
        <v>#DIV/0!</v>
      </c>
      <c r="F33" s="79" t="e">
        <f t="array" ref="F33">LARGE(IF('capacity data'!A:A=B33,IF('capacity data'!E:E="TPO",'capacity data'!F:F)),1)</f>
        <v>#NUM!</v>
      </c>
      <c r="G33" s="191"/>
      <c r="H33" s="161" t="s">
        <v>25</v>
      </c>
      <c r="I33" s="87">
        <f>COUNTIFS('capacity data'!A:A,H33,'capacity data'!E:E,"PSO")</f>
        <v>0</v>
      </c>
      <c r="J33" s="87">
        <f>COUNTIFS('capacity data'!A:A,H33,'capacity data'!E:E,"PSO",'capacity data'!F:F,"&lt;90%")</f>
        <v>0</v>
      </c>
      <c r="K33" s="192" t="e">
        <f t="shared" ref="K33" si="11">J33/I33</f>
        <v>#DIV/0!</v>
      </c>
    </row>
    <row r="34" spans="2:11" x14ac:dyDescent="0.15">
      <c r="B34" s="161" t="s">
        <v>26</v>
      </c>
      <c r="C34" s="87">
        <f>COUNTIFS('capacity data'!A:A,B34,'capacity data'!E:E,"TPO")</f>
        <v>0</v>
      </c>
      <c r="D34" s="87">
        <f>COUNTIFS('capacity data'!A:A,B34,'capacity data'!E:E,"TPO",'capacity data'!F:F,"&gt;110%")</f>
        <v>0</v>
      </c>
      <c r="E34" s="79" t="e">
        <f t="shared" si="8"/>
        <v>#DIV/0!</v>
      </c>
      <c r="F34" s="79" t="e">
        <f t="array" ref="F34">LARGE(IF('capacity data'!A:A=B34,IF('capacity data'!E:E="TPO",'capacity data'!F:F)),1)</f>
        <v>#NUM!</v>
      </c>
      <c r="G34" s="191"/>
      <c r="H34" s="161" t="s">
        <v>26</v>
      </c>
      <c r="I34" s="87">
        <f>COUNTIFS('capacity data'!A:A,H34,'capacity data'!E:E,"PSO")</f>
        <v>0</v>
      </c>
      <c r="J34" s="87">
        <f>COUNTIFS('capacity data'!A:A,H34,'capacity data'!E:E,"PSO",'capacity data'!F:F,"&lt;90%")</f>
        <v>0</v>
      </c>
      <c r="K34" s="192" t="e">
        <f t="shared" si="9"/>
        <v>#DIV/0!</v>
      </c>
    </row>
    <row r="35" spans="2:11" x14ac:dyDescent="0.15">
      <c r="B35" s="161" t="s">
        <v>27</v>
      </c>
      <c r="C35" s="87">
        <f>COUNTIFS('capacity data'!A:A,B35,'capacity data'!E:E,"TPO")</f>
        <v>0</v>
      </c>
      <c r="D35" s="87">
        <f>COUNTIFS('capacity data'!A:A,B35,'capacity data'!E:E,"TPO",'capacity data'!F:F,"&gt;110%")</f>
        <v>0</v>
      </c>
      <c r="E35" s="79" t="e">
        <f t="shared" si="8"/>
        <v>#DIV/0!</v>
      </c>
      <c r="F35" s="79" t="e">
        <f t="array" ref="F35">LARGE(IF('capacity data'!A:A=B35,IF('capacity data'!E:E="TPO",'capacity data'!F:F)),1)</f>
        <v>#NUM!</v>
      </c>
      <c r="G35" s="191"/>
      <c r="H35" s="161" t="s">
        <v>27</v>
      </c>
      <c r="I35" s="87">
        <f>COUNTIFS('capacity data'!A:A,H35,'capacity data'!E:E,"PSO")</f>
        <v>0</v>
      </c>
      <c r="J35" s="87">
        <f>COUNTIFS('capacity data'!A:A,H35,'capacity data'!E:E,"PSO",'capacity data'!F:F,"&lt;90%")</f>
        <v>0</v>
      </c>
      <c r="K35" s="192" t="e">
        <f t="shared" si="9"/>
        <v>#DIV/0!</v>
      </c>
    </row>
    <row r="36" spans="2:11" x14ac:dyDescent="0.15">
      <c r="B36" s="161" t="s">
        <v>28</v>
      </c>
      <c r="C36" s="87">
        <f>COUNTIFS('capacity data'!A:A,B36,'capacity data'!E:E,"TPO")</f>
        <v>0</v>
      </c>
      <c r="D36" s="87">
        <f>COUNTIFS('capacity data'!A:A,B36,'capacity data'!E:E,"TPO",'capacity data'!F:F,"&gt;110%")</f>
        <v>0</v>
      </c>
      <c r="E36" s="79" t="e">
        <f t="shared" si="8"/>
        <v>#DIV/0!</v>
      </c>
      <c r="F36" s="79" t="e">
        <f t="array" ref="F36">LARGE(IF('capacity data'!A:A=B36,IF('capacity data'!E:E="TPO",'capacity data'!F:F)),1)</f>
        <v>#NUM!</v>
      </c>
      <c r="G36" s="191"/>
      <c r="H36" s="161" t="s">
        <v>28</v>
      </c>
      <c r="I36" s="87">
        <f>COUNTIFS('capacity data'!A:A,H36,'capacity data'!E:E,"PSO")</f>
        <v>0</v>
      </c>
      <c r="J36" s="87">
        <f>COUNTIFS('capacity data'!A:A,H36,'capacity data'!E:E,"PSO",'capacity data'!F:F,"&lt;90%")</f>
        <v>0</v>
      </c>
      <c r="K36" s="192" t="e">
        <f t="shared" si="9"/>
        <v>#DIV/0!</v>
      </c>
    </row>
    <row r="37" spans="2:11" x14ac:dyDescent="0.15">
      <c r="B37" s="161" t="s">
        <v>1409</v>
      </c>
      <c r="C37" s="87">
        <f>COUNTIFS('capacity data'!A:A,B37,'capacity data'!E:E,"TPO")</f>
        <v>0</v>
      </c>
      <c r="D37" s="87">
        <f>COUNTIFS('capacity data'!A:A,B37,'capacity data'!E:E,"TPO",'capacity data'!F:F,"&gt;110%")</f>
        <v>0</v>
      </c>
      <c r="E37" s="79" t="e">
        <f t="shared" si="8"/>
        <v>#DIV/0!</v>
      </c>
      <c r="F37" s="79" t="e">
        <f t="array" ref="F37">LARGE(IF('capacity data'!A:A=B37,IF('capacity data'!E:E="TPO",'capacity data'!F:F)),1)</f>
        <v>#NUM!</v>
      </c>
      <c r="G37" s="191"/>
      <c r="H37" s="161" t="s">
        <v>1409</v>
      </c>
      <c r="I37" s="87">
        <f>COUNTIFS('capacity data'!A:A,H37,'capacity data'!E:E,"PSO")</f>
        <v>0</v>
      </c>
      <c r="J37" s="87">
        <f>COUNTIFS('capacity data'!A:A,H37,'capacity data'!E:E,"PSO",'capacity data'!F:F,"&lt;90%")</f>
        <v>0</v>
      </c>
      <c r="K37" s="192" t="e">
        <f t="shared" si="9"/>
        <v>#DIV/0!</v>
      </c>
    </row>
    <row r="38" spans="2:11" x14ac:dyDescent="0.15">
      <c r="B38" s="161" t="s">
        <v>29</v>
      </c>
      <c r="C38" s="87">
        <f>COUNTIFS('capacity data'!A:A,B38,'capacity data'!E:E,"TPO")</f>
        <v>0</v>
      </c>
      <c r="D38" s="87">
        <f>COUNTIFS('capacity data'!A:A,B38,'capacity data'!E:E,"TPO",'capacity data'!F:F,"&gt;110%")</f>
        <v>0</v>
      </c>
      <c r="E38" s="79" t="e">
        <f t="shared" ref="E38:E40" si="12">D38/C38</f>
        <v>#DIV/0!</v>
      </c>
      <c r="F38" s="79" t="e">
        <f t="array" ref="F38">LARGE(IF('capacity data'!A:A=B38,IF('capacity data'!E:E="TPO",'capacity data'!F:F)),1)</f>
        <v>#NUM!</v>
      </c>
      <c r="G38" s="191"/>
      <c r="H38" s="161" t="s">
        <v>29</v>
      </c>
      <c r="I38" s="87">
        <f>COUNTIFS('capacity data'!A:A,H38,'capacity data'!E:E,"PSO")</f>
        <v>0</v>
      </c>
      <c r="J38" s="87">
        <f>COUNTIFS('capacity data'!A:A,H38,'capacity data'!E:E,"PSO",'capacity data'!F:F,"&lt;90%")</f>
        <v>0</v>
      </c>
      <c r="K38" s="192" t="e">
        <f t="shared" ref="K38:K40" si="13">J38/I38</f>
        <v>#DIV/0!</v>
      </c>
    </row>
    <row r="39" spans="2:11" x14ac:dyDescent="0.15">
      <c r="B39" s="161" t="s">
        <v>30</v>
      </c>
      <c r="C39" s="87">
        <f>COUNTIFS('capacity data'!A:A,B39,'capacity data'!E:E,"TPO")</f>
        <v>0</v>
      </c>
      <c r="D39" s="87">
        <f>COUNTIFS('capacity data'!A:A,B39,'capacity data'!E:E,"TPO",'capacity data'!F:F,"&gt;110%")</f>
        <v>0</v>
      </c>
      <c r="E39" s="79" t="e">
        <f t="shared" si="12"/>
        <v>#DIV/0!</v>
      </c>
      <c r="F39" s="79" t="e">
        <f t="array" ref="F39">LARGE(IF('capacity data'!A:A=B39,IF('capacity data'!E:E="TPO",'capacity data'!F:F)),1)</f>
        <v>#NUM!</v>
      </c>
      <c r="G39" s="191"/>
      <c r="H39" s="161" t="s">
        <v>30</v>
      </c>
      <c r="I39" s="87">
        <f>COUNTIFS('capacity data'!A:A,H39,'capacity data'!E:E,"PSO")</f>
        <v>0</v>
      </c>
      <c r="J39" s="87">
        <f>COUNTIFS('capacity data'!A:A,H39,'capacity data'!E:E,"PSO",'capacity data'!F:F,"&lt;90%")</f>
        <v>0</v>
      </c>
      <c r="K39" s="192" t="e">
        <f t="shared" si="13"/>
        <v>#DIV/0!</v>
      </c>
    </row>
    <row r="40" spans="2:11" x14ac:dyDescent="0.15">
      <c r="B40" s="161" t="s">
        <v>34</v>
      </c>
      <c r="C40" s="87">
        <f>COUNTIFS('capacity data'!A:A,B40,'capacity data'!E:E,"TPO")</f>
        <v>0</v>
      </c>
      <c r="D40" s="87">
        <f>COUNTIFS('capacity data'!A:A,B40,'capacity data'!E:E,"TPO",'capacity data'!F:F,"&gt;110%")</f>
        <v>0</v>
      </c>
      <c r="E40" s="79" t="e">
        <f t="shared" si="12"/>
        <v>#DIV/0!</v>
      </c>
      <c r="F40" s="79" t="e">
        <f t="array" ref="F40">LARGE(IF('capacity data'!A:A=B40,IF('capacity data'!E:E="TPO",'capacity data'!F:F)),1)</f>
        <v>#NUM!</v>
      </c>
      <c r="G40" s="191"/>
      <c r="H40" s="161" t="s">
        <v>34</v>
      </c>
      <c r="I40" s="87">
        <f>COUNTIFS('capacity data'!A:A,H40,'capacity data'!E:E,"PSO")</f>
        <v>0</v>
      </c>
      <c r="J40" s="87">
        <f>COUNTIFS('capacity data'!A:A,H40,'capacity data'!E:E,"PSO",'capacity data'!F:F,"&lt;90%")</f>
        <v>0</v>
      </c>
      <c r="K40" s="192" t="e">
        <f t="shared" si="13"/>
        <v>#DIV/0!</v>
      </c>
    </row>
    <row r="41" spans="2:11" x14ac:dyDescent="0.15">
      <c r="B41" s="193" t="s">
        <v>1240</v>
      </c>
      <c r="C41" s="123">
        <f>COUNTIF('capacity data'!E:E,"TPO")</f>
        <v>0</v>
      </c>
      <c r="D41" s="123">
        <f>COUNTIFS('capacity data'!E:E,"TPO",'capacity data'!F:F,"&gt;110%")</f>
        <v>0</v>
      </c>
      <c r="E41" s="230" t="e">
        <f t="shared" ref="E41" si="14">D41/C41</f>
        <v>#DIV/0!</v>
      </c>
      <c r="F41" s="123" t="s">
        <v>1158</v>
      </c>
      <c r="G41" s="191"/>
      <c r="H41" s="193" t="s">
        <v>1240</v>
      </c>
      <c r="I41" s="123">
        <f>COUNTIF('capacity data'!E:E,"PSO")</f>
        <v>0</v>
      </c>
      <c r="J41" s="123">
        <f>COUNTIFS('capacity data'!E:E,"PSO",'capacity data'!F:F,"&lt;90%")</f>
        <v>0</v>
      </c>
      <c r="K41" s="231" t="s">
        <v>1158</v>
      </c>
    </row>
  </sheetData>
  <mergeCells count="6">
    <mergeCell ref="A1:Q1"/>
    <mergeCell ref="A2:Q2"/>
    <mergeCell ref="B4:F4"/>
    <mergeCell ref="B24:F24"/>
    <mergeCell ref="H4:L4"/>
    <mergeCell ref="H24:K24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81"/>
  <dimension ref="A1:O29"/>
  <sheetViews>
    <sheetView showGridLines="0" topLeftCell="A3" zoomScale="70" zoomScaleNormal="70" workbookViewId="0">
      <selection activeCell="A20" sqref="A20:XFD20"/>
    </sheetView>
  </sheetViews>
  <sheetFormatPr baseColWidth="10" defaultColWidth="8.83203125" defaultRowHeight="14" x14ac:dyDescent="0.15"/>
  <cols>
    <col min="1" max="1" width="4" customWidth="1"/>
    <col min="2" max="2" width="31.5" customWidth="1"/>
    <col min="3" max="3" width="13.5" style="6" customWidth="1"/>
    <col min="4" max="4" width="20" style="6" customWidth="1"/>
    <col min="5" max="5" width="12.5" style="6" customWidth="1"/>
    <col min="6" max="6" width="11.83203125" style="6" customWidth="1"/>
    <col min="7" max="7" width="13.1640625" style="6" customWidth="1"/>
  </cols>
  <sheetData>
    <row r="1" spans="1:15" ht="28" x14ac:dyDescent="0.15">
      <c r="A1" s="383" t="s">
        <v>1327</v>
      </c>
      <c r="B1" s="383"/>
      <c r="C1" s="383"/>
      <c r="D1" s="383"/>
      <c r="E1" s="383"/>
      <c r="F1" s="383"/>
      <c r="G1" s="383"/>
      <c r="H1" s="383"/>
      <c r="I1" s="383"/>
      <c r="J1" s="383"/>
      <c r="K1" s="383"/>
      <c r="L1" s="383"/>
      <c r="M1" s="383"/>
      <c r="N1" s="383"/>
      <c r="O1" s="383"/>
    </row>
    <row r="2" spans="1:15" ht="33.75" customHeight="1" x14ac:dyDescent="0.15">
      <c r="A2" s="384"/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</row>
    <row r="3" spans="1:15" s="6" customFormat="1" ht="20.25" customHeight="1" thickBot="1" x14ac:dyDescent="0.2"/>
    <row r="4" spans="1:15" ht="15" thickBot="1" x14ac:dyDescent="0.2">
      <c r="B4" s="391" t="s">
        <v>1015</v>
      </c>
      <c r="C4" s="387" t="s">
        <v>1160</v>
      </c>
      <c r="D4" s="389" t="s">
        <v>1328</v>
      </c>
      <c r="E4" s="385" t="s">
        <v>1329</v>
      </c>
      <c r="F4" s="386"/>
      <c r="G4" s="392" t="s">
        <v>1050</v>
      </c>
    </row>
    <row r="5" spans="1:15" ht="33.75" customHeight="1" thickBot="1" x14ac:dyDescent="0.2">
      <c r="B5" s="388"/>
      <c r="C5" s="388"/>
      <c r="D5" s="390"/>
      <c r="E5" s="194" t="s">
        <v>1330</v>
      </c>
      <c r="F5" s="195" t="s">
        <v>1331</v>
      </c>
      <c r="G5" s="393"/>
    </row>
    <row r="6" spans="1:15" x14ac:dyDescent="0.15">
      <c r="B6" s="161" t="s">
        <v>1355</v>
      </c>
      <c r="C6" s="87">
        <f>SUMIFS('capacity data'!K:K,'capacity data'!A:A,B6,'capacity data'!E:E,"SPO")</f>
        <v>0</v>
      </c>
      <c r="D6" s="87">
        <f>SUMIFS('capacity data'!K:K,'capacity data'!E:E,"DMY",'capacity data'!A:A,B6)</f>
        <v>0</v>
      </c>
      <c r="E6" s="196">
        <f>SUM(C6:D6)</f>
        <v>0</v>
      </c>
      <c r="F6" s="197" t="e">
        <f>E6/G6</f>
        <v>#DIV/0!</v>
      </c>
      <c r="G6" s="164">
        <f>SUMIF('capacity data'!A:A,B6,'capacity data'!K:K)</f>
        <v>0</v>
      </c>
    </row>
    <row r="7" spans="1:15" x14ac:dyDescent="0.15">
      <c r="B7" s="161" t="s">
        <v>20</v>
      </c>
      <c r="C7" s="87">
        <f>SUMIFS('capacity data'!K:K,'capacity data'!A:A,B7,'capacity data'!E:E,"SPO")</f>
        <v>0</v>
      </c>
      <c r="D7" s="87">
        <f>SUMIFS('capacity data'!K:K,'capacity data'!E:E,"DMY",'capacity data'!A:A,B7)</f>
        <v>0</v>
      </c>
      <c r="E7" s="196">
        <f t="shared" ref="E7:E17" si="0">SUM(C7:D7)</f>
        <v>0</v>
      </c>
      <c r="F7" s="197" t="e">
        <f t="shared" ref="F7:F17" si="1">E7/G7</f>
        <v>#DIV/0!</v>
      </c>
      <c r="G7" s="164">
        <f>SUMIF('capacity data'!A:A,B7,'capacity data'!K:K)</f>
        <v>0</v>
      </c>
    </row>
    <row r="8" spans="1:15" x14ac:dyDescent="0.15">
      <c r="B8" s="161" t="s">
        <v>21</v>
      </c>
      <c r="C8" s="87">
        <f>SUMIFS('capacity data'!K:K,'capacity data'!A:A,B8,'capacity data'!E:E,"SPO")</f>
        <v>0</v>
      </c>
      <c r="D8" s="87">
        <f>SUMIFS('capacity data'!K:K,'capacity data'!E:E,"DMY",'capacity data'!A:A,B8)</f>
        <v>0</v>
      </c>
      <c r="E8" s="196">
        <f t="shared" si="0"/>
        <v>0</v>
      </c>
      <c r="F8" s="197" t="e">
        <f t="shared" si="1"/>
        <v>#DIV/0!</v>
      </c>
      <c r="G8" s="164">
        <f>SUMIF('capacity data'!A:A,B8,'capacity data'!K:K)</f>
        <v>0</v>
      </c>
    </row>
    <row r="9" spans="1:15" x14ac:dyDescent="0.15">
      <c r="B9" s="161" t="s">
        <v>1357</v>
      </c>
      <c r="C9" s="87">
        <f>SUMIFS('capacity data'!K:K,'capacity data'!A:A,B9,'capacity data'!E:E,"SPO")</f>
        <v>0</v>
      </c>
      <c r="D9" s="87">
        <f>SUMIFS('capacity data'!K:K,'capacity data'!E:E,"DMY",'capacity data'!A:A,B9)</f>
        <v>0</v>
      </c>
      <c r="E9" s="196">
        <f t="shared" si="0"/>
        <v>0</v>
      </c>
      <c r="F9" s="197" t="e">
        <f t="shared" si="1"/>
        <v>#DIV/0!</v>
      </c>
      <c r="G9" s="164">
        <f>SUMIF('capacity data'!A:A,B9,'capacity data'!K:K)</f>
        <v>0</v>
      </c>
    </row>
    <row r="10" spans="1:15" x14ac:dyDescent="0.15">
      <c r="B10" s="161" t="s">
        <v>22</v>
      </c>
      <c r="C10" s="87">
        <f>SUMIFS('capacity data'!K:K,'capacity data'!A:A,B10,'capacity data'!E:E,"SPO")</f>
        <v>0</v>
      </c>
      <c r="D10" s="87">
        <f>SUMIFS('capacity data'!K:K,'capacity data'!E:E,"DMY",'capacity data'!A:A,B10)</f>
        <v>0</v>
      </c>
      <c r="E10" s="196">
        <f t="shared" si="0"/>
        <v>0</v>
      </c>
      <c r="F10" s="197" t="e">
        <f t="shared" si="1"/>
        <v>#DIV/0!</v>
      </c>
      <c r="G10" s="164">
        <f>SUMIF('capacity data'!A:A,B10,'capacity data'!K:K)</f>
        <v>0</v>
      </c>
    </row>
    <row r="11" spans="1:15" x14ac:dyDescent="0.15">
      <c r="B11" s="161" t="s">
        <v>23</v>
      </c>
      <c r="C11" s="87">
        <f>SUMIFS('capacity data'!K:K,'capacity data'!A:A,B11,'capacity data'!E:E,"SPO")</f>
        <v>0</v>
      </c>
      <c r="D11" s="87">
        <f>SUMIFS('capacity data'!K:K,'capacity data'!E:E,"DMY",'capacity data'!A:A,B11)</f>
        <v>0</v>
      </c>
      <c r="E11" s="196">
        <f t="shared" si="0"/>
        <v>0</v>
      </c>
      <c r="F11" s="197" t="e">
        <f t="shared" si="1"/>
        <v>#DIV/0!</v>
      </c>
      <c r="G11" s="164">
        <f>SUMIF('capacity data'!A:A,B11,'capacity data'!K:K)</f>
        <v>0</v>
      </c>
    </row>
    <row r="12" spans="1:15" x14ac:dyDescent="0.15">
      <c r="B12" s="161" t="s">
        <v>24</v>
      </c>
      <c r="C12" s="87">
        <f>SUMIFS('capacity data'!K:K,'capacity data'!A:A,B12,'capacity data'!E:E,"SPO")</f>
        <v>0</v>
      </c>
      <c r="D12" s="87">
        <f>SUMIFS('capacity data'!K:K,'capacity data'!E:E,"DMY",'capacity data'!A:A,B12)</f>
        <v>0</v>
      </c>
      <c r="E12" s="196">
        <f t="shared" si="0"/>
        <v>0</v>
      </c>
      <c r="F12" s="197" t="e">
        <f t="shared" si="1"/>
        <v>#DIV/0!</v>
      </c>
      <c r="G12" s="164">
        <f>SUMIF('capacity data'!A:A,B12,'capacity data'!K:K)</f>
        <v>0</v>
      </c>
    </row>
    <row r="13" spans="1:15" x14ac:dyDescent="0.15">
      <c r="B13" s="161" t="s">
        <v>25</v>
      </c>
      <c r="C13" s="87">
        <f>SUMIFS('capacity data'!K:K,'capacity data'!A:A,B13,'capacity data'!E:E,"SPO")</f>
        <v>0</v>
      </c>
      <c r="D13" s="87">
        <f>SUMIFS('capacity data'!K:K,'capacity data'!E:E,"DMY",'capacity data'!A:A,B13)</f>
        <v>0</v>
      </c>
      <c r="E13" s="196">
        <f t="shared" ref="E13" si="2">SUM(C13:D13)</f>
        <v>0</v>
      </c>
      <c r="F13" s="197" t="e">
        <f t="shared" ref="F13" si="3">E13/G13</f>
        <v>#DIV/0!</v>
      </c>
      <c r="G13" s="164">
        <f>SUMIF('capacity data'!A:A,B13,'capacity data'!K:K)</f>
        <v>0</v>
      </c>
    </row>
    <row r="14" spans="1:15" x14ac:dyDescent="0.15">
      <c r="B14" s="161" t="s">
        <v>26</v>
      </c>
      <c r="C14" s="87">
        <f>SUMIFS('capacity data'!K:K,'capacity data'!A:A,B14,'capacity data'!E:E,"SPO")</f>
        <v>0</v>
      </c>
      <c r="D14" s="87">
        <f>SUMIFS('capacity data'!K:K,'capacity data'!E:E,"DMY",'capacity data'!A:A,B14)</f>
        <v>0</v>
      </c>
      <c r="E14" s="196">
        <f t="shared" si="0"/>
        <v>0</v>
      </c>
      <c r="F14" s="197" t="e">
        <f t="shared" si="1"/>
        <v>#DIV/0!</v>
      </c>
      <c r="G14" s="164">
        <f>SUMIF('capacity data'!A:A,B14,'capacity data'!K:K)</f>
        <v>0</v>
      </c>
    </row>
    <row r="15" spans="1:15" x14ac:dyDescent="0.15">
      <c r="B15" s="161" t="s">
        <v>27</v>
      </c>
      <c r="C15" s="87">
        <f>SUMIFS('capacity data'!K:K,'capacity data'!A:A,B15,'capacity data'!E:E,"SPO")</f>
        <v>0</v>
      </c>
      <c r="D15" s="87">
        <f>SUMIFS('capacity data'!K:K,'capacity data'!E:E,"DMY",'capacity data'!A:A,B15)</f>
        <v>0</v>
      </c>
      <c r="E15" s="196">
        <f t="shared" si="0"/>
        <v>0</v>
      </c>
      <c r="F15" s="197" t="e">
        <f t="shared" si="1"/>
        <v>#DIV/0!</v>
      </c>
      <c r="G15" s="164">
        <f>SUMIF('capacity data'!A:A,B15,'capacity data'!K:K)</f>
        <v>0</v>
      </c>
    </row>
    <row r="16" spans="1:15" x14ac:dyDescent="0.15">
      <c r="B16" s="161" t="s">
        <v>28</v>
      </c>
      <c r="C16" s="87">
        <f>SUMIFS('capacity data'!K:K,'capacity data'!A:A,B16,'capacity data'!E:E,"SPO")</f>
        <v>0</v>
      </c>
      <c r="D16" s="87">
        <f>SUMIFS('capacity data'!K:K,'capacity data'!E:E,"DMY",'capacity data'!A:A,B16)</f>
        <v>0</v>
      </c>
      <c r="E16" s="196">
        <f t="shared" si="0"/>
        <v>0</v>
      </c>
      <c r="F16" s="197" t="e">
        <f t="shared" si="1"/>
        <v>#DIV/0!</v>
      </c>
      <c r="G16" s="164">
        <f>SUMIF('capacity data'!A:A,B16,'capacity data'!K:K)</f>
        <v>0</v>
      </c>
    </row>
    <row r="17" spans="1:7" x14ac:dyDescent="0.15">
      <c r="B17" s="161" t="s">
        <v>1409</v>
      </c>
      <c r="C17" s="87">
        <f>SUMIFS('capacity data'!K:K,'capacity data'!A:A,B17,'capacity data'!E:E,"SPO")</f>
        <v>0</v>
      </c>
      <c r="D17" s="87">
        <f>SUMIFS('capacity data'!K:K,'capacity data'!E:E,"DMY",'capacity data'!A:A,B17)</f>
        <v>0</v>
      </c>
      <c r="E17" s="196">
        <f t="shared" si="0"/>
        <v>0</v>
      </c>
      <c r="F17" s="197" t="e">
        <f t="shared" si="1"/>
        <v>#DIV/0!</v>
      </c>
      <c r="G17" s="164">
        <f>SUMIF('capacity data'!A:A,B17,'capacity data'!K:K)</f>
        <v>0</v>
      </c>
    </row>
    <row r="18" spans="1:7" x14ac:dyDescent="0.15">
      <c r="B18" s="161" t="s">
        <v>29</v>
      </c>
      <c r="C18" s="87">
        <f>SUMIFS('capacity data'!K:K,'capacity data'!A:A,B18,'capacity data'!E:E,"SPO")</f>
        <v>0</v>
      </c>
      <c r="D18" s="87">
        <f>SUMIFS('capacity data'!K:K,'capacity data'!E:E,"DMY",'capacity data'!A:A,B18)</f>
        <v>0</v>
      </c>
      <c r="E18" s="196">
        <f t="shared" ref="E18:E20" si="4">SUM(C18:D18)</f>
        <v>0</v>
      </c>
      <c r="F18" s="197" t="e">
        <f t="shared" ref="F18:F20" si="5">E18/G18</f>
        <v>#DIV/0!</v>
      </c>
      <c r="G18" s="164">
        <f>SUMIF('capacity data'!A:A,B18,'capacity data'!K:K)</f>
        <v>0</v>
      </c>
    </row>
    <row r="19" spans="1:7" x14ac:dyDescent="0.15">
      <c r="B19" s="161" t="s">
        <v>30</v>
      </c>
      <c r="C19" s="87">
        <f>SUMIFS('capacity data'!K:K,'capacity data'!A:A,B19,'capacity data'!E:E,"SPO")</f>
        <v>0</v>
      </c>
      <c r="D19" s="87">
        <f>SUMIFS('capacity data'!K:K,'capacity data'!E:E,"DMY",'capacity data'!A:A,B19)</f>
        <v>0</v>
      </c>
      <c r="E19" s="196">
        <f t="shared" si="4"/>
        <v>0</v>
      </c>
      <c r="F19" s="197" t="e">
        <f t="shared" si="5"/>
        <v>#DIV/0!</v>
      </c>
      <c r="G19" s="164">
        <f>SUMIF('capacity data'!A:A,B19,'capacity data'!K:K)</f>
        <v>0</v>
      </c>
    </row>
    <row r="20" spans="1:7" x14ac:dyDescent="0.15">
      <c r="B20" s="161" t="s">
        <v>34</v>
      </c>
      <c r="C20" s="87">
        <f>SUMIFS('capacity data'!K:K,'capacity data'!A:A,B20,'capacity data'!E:E,"SPO")</f>
        <v>0</v>
      </c>
      <c r="D20" s="87">
        <f>SUMIFS('capacity data'!K:K,'capacity data'!E:E,"DMY",'capacity data'!A:A,B20)</f>
        <v>0</v>
      </c>
      <c r="E20" s="196">
        <f t="shared" si="4"/>
        <v>0</v>
      </c>
      <c r="F20" s="197" t="e">
        <f t="shared" si="5"/>
        <v>#DIV/0!</v>
      </c>
      <c r="G20" s="164">
        <f>SUMIF('capacity data'!A:A,B20,'capacity data'!K:K)</f>
        <v>0</v>
      </c>
    </row>
    <row r="21" spans="1:7" ht="15" thickBot="1" x14ac:dyDescent="0.2">
      <c r="B21" s="198" t="s">
        <v>1050</v>
      </c>
      <c r="C21" s="123">
        <f>SUMIF('capacity data'!E:E,"SPO",'capacity data'!K:K)</f>
        <v>0</v>
      </c>
      <c r="D21" s="123">
        <f>SUMIF('capacity data'!E:E,"DMY",'capacity data'!K:K)</f>
        <v>0</v>
      </c>
      <c r="E21" s="199">
        <f t="shared" ref="E21" si="6">SUM(C21:D21)</f>
        <v>0</v>
      </c>
      <c r="F21" s="200" t="e">
        <f t="shared" ref="F21" si="7">E21/G21</f>
        <v>#DIV/0!</v>
      </c>
      <c r="G21" s="123">
        <f>SUM('capacity data'!K:K)</f>
        <v>0</v>
      </c>
    </row>
    <row r="22" spans="1:7" x14ac:dyDescent="0.15">
      <c r="C22"/>
      <c r="E22"/>
      <c r="F22"/>
      <c r="G22"/>
    </row>
    <row r="23" spans="1:7" x14ac:dyDescent="0.15">
      <c r="A23" s="34"/>
    </row>
    <row r="24" spans="1:7" x14ac:dyDescent="0.15">
      <c r="A24" s="34"/>
      <c r="C24" s="19"/>
      <c r="D24" s="19"/>
    </row>
    <row r="25" spans="1:7" x14ac:dyDescent="0.15">
      <c r="A25" s="34"/>
    </row>
    <row r="26" spans="1:7" x14ac:dyDescent="0.15">
      <c r="A26" s="34"/>
    </row>
    <row r="27" spans="1:7" x14ac:dyDescent="0.15">
      <c r="A27" s="34"/>
    </row>
    <row r="28" spans="1:7" x14ac:dyDescent="0.15">
      <c r="A28" s="34"/>
    </row>
    <row r="29" spans="1:7" x14ac:dyDescent="0.15">
      <c r="A29" s="34"/>
    </row>
  </sheetData>
  <sheetProtection selectLockedCells="1" selectUnlockedCells="1"/>
  <mergeCells count="7">
    <mergeCell ref="A1:O1"/>
    <mergeCell ref="A2:O2"/>
    <mergeCell ref="E4:F4"/>
    <mergeCell ref="C4:C5"/>
    <mergeCell ref="D4:D5"/>
    <mergeCell ref="B4:B5"/>
    <mergeCell ref="G4:G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1"/>
  <dimension ref="A1:R117"/>
  <sheetViews>
    <sheetView showGridLines="0" zoomScale="70" zoomScaleNormal="50" workbookViewId="0">
      <selection activeCell="R117" sqref="R117"/>
    </sheetView>
  </sheetViews>
  <sheetFormatPr baseColWidth="10" defaultColWidth="8.83203125" defaultRowHeight="14" x14ac:dyDescent="0.15"/>
  <cols>
    <col min="1" max="1" width="3.5" customWidth="1"/>
    <col min="2" max="2" width="42.83203125" customWidth="1"/>
    <col min="3" max="3" width="23.83203125" bestFit="1" customWidth="1"/>
    <col min="4" max="4" width="18.83203125" bestFit="1" customWidth="1"/>
    <col min="5" max="5" width="22.5" bestFit="1" customWidth="1"/>
    <col min="6" max="6" width="29" bestFit="1" customWidth="1"/>
    <col min="7" max="7" width="19.5" customWidth="1"/>
    <col min="8" max="10" width="21.5" customWidth="1"/>
    <col min="11" max="11" width="31.5" bestFit="1" customWidth="1"/>
    <col min="12" max="12" width="21.5" customWidth="1"/>
    <col min="13" max="13" width="24.5" bestFit="1" customWidth="1"/>
    <col min="14" max="14" width="28.5" bestFit="1" customWidth="1"/>
    <col min="15" max="17" width="28.5" customWidth="1"/>
    <col min="18" max="18" width="10.83203125" bestFit="1" customWidth="1"/>
    <col min="20" max="20" width="9.5" bestFit="1" customWidth="1"/>
  </cols>
  <sheetData>
    <row r="1" spans="1:18" ht="51.75" customHeight="1" x14ac:dyDescent="0.15">
      <c r="A1" s="399" t="s">
        <v>1332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</row>
    <row r="2" spans="1:18" ht="24.75" customHeight="1" x14ac:dyDescent="0.15">
      <c r="A2" s="369"/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</row>
    <row r="3" spans="1:18" ht="9" customHeight="1" x14ac:dyDescent="0.15"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8" x14ac:dyDescent="0.15">
      <c r="B4" s="402" t="s">
        <v>1333</v>
      </c>
      <c r="C4" s="403"/>
      <c r="E4" s="397" t="s">
        <v>1334</v>
      </c>
      <c r="F4" s="398"/>
      <c r="G4" s="398"/>
      <c r="H4" s="408" t="s">
        <v>1335</v>
      </c>
      <c r="I4" s="232"/>
      <c r="J4" s="232"/>
      <c r="K4" s="232"/>
      <c r="L4" s="232"/>
      <c r="M4" s="232"/>
    </row>
    <row r="5" spans="1:18" x14ac:dyDescent="0.15">
      <c r="B5" s="404"/>
      <c r="C5" s="405"/>
      <c r="E5" s="373"/>
      <c r="F5" s="374"/>
      <c r="G5" s="374"/>
      <c r="H5" s="408"/>
      <c r="I5" s="232"/>
      <c r="J5" s="232"/>
      <c r="K5" s="232"/>
      <c r="L5" s="232"/>
      <c r="M5" s="232"/>
    </row>
    <row r="6" spans="1:18" x14ac:dyDescent="0.15">
      <c r="B6" s="74" t="str">
        <f>INDEX('reductions workings'!C:C,MATCH(C6,'reductions workings'!E:E,0))</f>
        <v>Long Term Sickness Absence</v>
      </c>
      <c r="C6" s="107">
        <f>LARGE('reductions workings'!E:E,1)</f>
        <v>8.9999999999999998E-4</v>
      </c>
      <c r="E6" s="394" t="str">
        <f>INDEX('reductions workings'!$G:$G,MATCH(G6,'reductions workings'!$H:$H,0))</f>
        <v>Adoption Leave</v>
      </c>
      <c r="F6" s="395"/>
      <c r="G6" s="212">
        <f>LARGE('reductions workings'!H:H,2)</f>
        <v>0</v>
      </c>
      <c r="H6" s="78" t="e">
        <f>G6/'reductions workings'!H50:$I$50</f>
        <v>#DIV/0!</v>
      </c>
      <c r="I6" s="124"/>
      <c r="J6" s="124"/>
      <c r="K6" s="124"/>
      <c r="L6" s="124"/>
      <c r="M6" s="124"/>
    </row>
    <row r="7" spans="1:18" x14ac:dyDescent="0.15">
      <c r="B7" s="74" t="str">
        <f>INDEX('reductions workings'!C:C,MATCH(C7,'reductions workings'!E:E,0))</f>
        <v>Long Term Sickness Absence</v>
      </c>
      <c r="C7" s="107">
        <f>LARGE('reductions workings'!E:E,2)</f>
        <v>8.9999999999999998E-4</v>
      </c>
      <c r="E7" s="394" t="str">
        <f>INDEX('reductions workings'!$G:$G,MATCH(G7,'reductions workings'!$H:$H,0))</f>
        <v>Adoption Leave</v>
      </c>
      <c r="F7" s="395"/>
      <c r="G7" s="212">
        <f>LARGE('reductions workings'!H:H,3)</f>
        <v>0</v>
      </c>
      <c r="H7" s="78" t="e">
        <f>G7/'reductions workings'!H$50:$I50</f>
        <v>#DIV/0!</v>
      </c>
      <c r="I7" s="124"/>
      <c r="J7" s="124"/>
      <c r="K7" s="124"/>
      <c r="L7" s="124"/>
      <c r="M7" s="124"/>
    </row>
    <row r="8" spans="1:18" x14ac:dyDescent="0.15">
      <c r="B8" s="74" t="str">
        <f>INDEX('reductions workings'!C:C,MATCH(C8,'reductions workings'!E:E,0))</f>
        <v>Long Term Sickness Absence</v>
      </c>
      <c r="C8" s="107">
        <f>LARGE('reductions workings'!E:E,3)</f>
        <v>8.9999999999999998E-4</v>
      </c>
      <c r="E8" s="394" t="str">
        <f>INDEX('reductions workings'!$G:$G,MATCH(G8,'reductions workings'!$H:$H,0))</f>
        <v>Adoption Leave</v>
      </c>
      <c r="F8" s="395"/>
      <c r="G8" s="212">
        <f>LARGE('reductions workings'!H:H,4)</f>
        <v>0</v>
      </c>
      <c r="H8" s="78" t="e">
        <f>G8/'reductions workings'!H$50:$I50</f>
        <v>#DIV/0!</v>
      </c>
      <c r="I8" s="124"/>
      <c r="J8" s="124"/>
      <c r="K8" s="124"/>
      <c r="L8" s="124"/>
      <c r="M8" s="124"/>
    </row>
    <row r="9" spans="1:18" x14ac:dyDescent="0.15">
      <c r="B9" s="74" t="str">
        <f>INDEX('reductions workings'!C:C,MATCH(C9,'reductions workings'!E:E,0))</f>
        <v>Level 4 and Level 5 Access</v>
      </c>
      <c r="C9" s="107">
        <f>LARGE('reductions workings'!E:E,4)</f>
        <v>8.0000000000000004E-4</v>
      </c>
      <c r="E9" s="394" t="str">
        <f>INDEX('reductions workings'!$G:$G,MATCH(G9,'reductions workings'!$H:$H,0))</f>
        <v>Adoption Leave</v>
      </c>
      <c r="F9" s="395"/>
      <c r="G9" s="212">
        <f>LARGE('reductions workings'!H:H,5)</f>
        <v>0</v>
      </c>
      <c r="H9" s="78" t="e">
        <f>G9/'reductions workings'!H$50:$I50</f>
        <v>#DIV/0!</v>
      </c>
      <c r="I9" s="124"/>
      <c r="J9" s="124"/>
      <c r="K9" s="124"/>
      <c r="L9" s="124"/>
      <c r="M9" s="124"/>
    </row>
    <row r="10" spans="1:18" x14ac:dyDescent="0.15">
      <c r="B10" s="74" t="str">
        <f>INDEX('reductions workings'!C:C,MATCH(C10,'reductions workings'!E:E,0))</f>
        <v>Groups (Induction)</v>
      </c>
      <c r="C10" s="107">
        <f>LARGE('reductions workings'!E:E,5)</f>
        <v>5.9999999999999995E-4</v>
      </c>
      <c r="E10" s="394" t="str">
        <f>INDEX('reductions workings'!$G:$G,MATCH(G10,'reductions workings'!$H:$H,0))</f>
        <v>Adoption Leave</v>
      </c>
      <c r="F10" s="395"/>
      <c r="G10" s="212">
        <f>LARGE('reductions workings'!H:H,6)</f>
        <v>0</v>
      </c>
      <c r="H10" s="78" t="e">
        <f>G10/'reductions workings'!H$50:$I50</f>
        <v>#DIV/0!</v>
      </c>
      <c r="I10" s="124"/>
      <c r="J10" s="124"/>
      <c r="K10" s="124"/>
      <c r="L10" s="124"/>
      <c r="M10" s="124"/>
    </row>
    <row r="11" spans="1:18" x14ac:dyDescent="0.15">
      <c r="B11" s="74" t="str">
        <f>INDEX('reductions workings'!C:C,MATCH(C11,'reductions workings'!E:E,0))</f>
        <v>Groups (Induction)</v>
      </c>
      <c r="C11" s="107">
        <f>LARGE('reductions workings'!E:E,6)</f>
        <v>5.9999999999999995E-4</v>
      </c>
      <c r="E11" s="394" t="str">
        <f>INDEX('reductions workings'!$G:$G,MATCH(G11,'reductions workings'!$H:$H,0))</f>
        <v>Adoption Leave</v>
      </c>
      <c r="F11" s="395"/>
      <c r="G11" s="212">
        <f>LARGE('reductions workings'!H:H,7)</f>
        <v>0</v>
      </c>
      <c r="H11" s="78" t="e">
        <f>G11/'reductions workings'!H$50:$I50</f>
        <v>#DIV/0!</v>
      </c>
      <c r="I11" s="124"/>
      <c r="J11" s="124"/>
      <c r="K11" s="124"/>
      <c r="L11" s="124"/>
      <c r="M11" s="124"/>
    </row>
    <row r="12" spans="1:18" x14ac:dyDescent="0.15">
      <c r="B12" s="74" t="str">
        <f>INDEX('reductions workings'!C:C,MATCH(C12,'reductions workings'!E:E,0))</f>
        <v>Groups (Group supervision)</v>
      </c>
      <c r="C12" s="107">
        <f>LARGE('reductions workings'!E:E,7)</f>
        <v>5.0000000000000001E-4</v>
      </c>
      <c r="E12" s="394" t="str">
        <f>INDEX('reductions workings'!$G:$G,MATCH(G12,'reductions workings'!$H:$H,0))</f>
        <v>Adoption Leave</v>
      </c>
      <c r="F12" s="395"/>
      <c r="G12" s="212">
        <f>LARGE('reductions workings'!H:H,8)</f>
        <v>0</v>
      </c>
      <c r="H12" s="78" t="e">
        <f>G12/'reductions workings'!H$50:$I50</f>
        <v>#DIV/0!</v>
      </c>
      <c r="I12" s="124"/>
      <c r="J12" s="124"/>
      <c r="K12" s="124"/>
      <c r="L12" s="124"/>
      <c r="M12" s="124"/>
    </row>
    <row r="13" spans="1:18" x14ac:dyDescent="0.15">
      <c r="B13" s="74" t="str">
        <f>INDEX('reductions workings'!C:C,MATCH(C13,'reductions workings'!E:E,0))</f>
        <v>Wellbeing/Work-life balance</v>
      </c>
      <c r="C13" s="107">
        <f>LARGE('reductions workings'!E:E,8)</f>
        <v>4.0999999999999999E-4</v>
      </c>
      <c r="E13" s="394" t="str">
        <f>INDEX('reductions workings'!$G:$G,MATCH(G13,'reductions workings'!$H:$H,0))</f>
        <v>Adoption Leave</v>
      </c>
      <c r="F13" s="395"/>
      <c r="G13" s="212">
        <f>LARGE('reductions workings'!H:H,9)</f>
        <v>0</v>
      </c>
      <c r="H13" s="78" t="e">
        <f>G13/'reductions workings'!H$50:$I50</f>
        <v>#DIV/0!</v>
      </c>
      <c r="I13" s="124"/>
      <c r="J13" s="124"/>
      <c r="K13" s="124"/>
      <c r="L13" s="124"/>
      <c r="M13" s="124"/>
    </row>
    <row r="14" spans="1:18" x14ac:dyDescent="0.15">
      <c r="B14" s="74" t="str">
        <f>INDEX('reductions workings'!C:C,MATCH(C14,'reductions workings'!E:E,0))</f>
        <v>Disability</v>
      </c>
      <c r="C14" s="107">
        <f>LARGE('reductions workings'!E:E,9)</f>
        <v>4.0000000000000002E-4</v>
      </c>
      <c r="E14" s="394" t="str">
        <f>INDEX('reductions workings'!$G:$G,MATCH(G14,'reductions workings'!$H:$H,0))</f>
        <v>Adoption Leave</v>
      </c>
      <c r="F14" s="395"/>
      <c r="G14" s="212">
        <f>LARGE('reductions workings'!H:H,10)</f>
        <v>0</v>
      </c>
      <c r="H14" s="78" t="e">
        <f>G14/'reductions workings'!H$50:$I50</f>
        <v>#DIV/0!</v>
      </c>
      <c r="I14" s="124"/>
      <c r="J14" s="124"/>
      <c r="K14" s="124"/>
      <c r="L14" s="124"/>
      <c r="M14" s="124"/>
    </row>
    <row r="15" spans="1:18" x14ac:dyDescent="0.15">
      <c r="B15" s="74" t="str">
        <f>INDEX('reductions workings'!C:C,MATCH(C15,'reductions workings'!E:E,0))</f>
        <v>VQ3</v>
      </c>
      <c r="C15" s="107">
        <f>LARGE('reductions workings'!E:E,10)</f>
        <v>3.8999999999999999E-4</v>
      </c>
      <c r="E15" s="394" t="str">
        <f>INDEX('reductions workings'!$G:$G,MATCH(G15,'reductions workings'!$H:$H,0))</f>
        <v>Adoption Leave</v>
      </c>
      <c r="F15" s="395"/>
      <c r="G15" s="212">
        <f>LARGE('reductions workings'!H:H,11)</f>
        <v>0</v>
      </c>
      <c r="H15" s="78" t="e">
        <f>G15/'reductions workings'!H$50:$I50</f>
        <v>#DIV/0!</v>
      </c>
      <c r="I15" s="124"/>
      <c r="J15" s="124"/>
      <c r="K15" s="124"/>
      <c r="L15" s="124"/>
      <c r="M15" s="124"/>
    </row>
    <row r="16" spans="1:18" x14ac:dyDescent="0.15">
      <c r="B16" s="74" t="str">
        <f>INDEX('reductions workings'!C:C,MATCH(C16,'reductions workings'!E:E,0))</f>
        <v>VQ3</v>
      </c>
      <c r="C16" s="107">
        <f>LARGE('reductions workings'!E:E,11)</f>
        <v>3.8999999999999999E-4</v>
      </c>
      <c r="E16" s="394" t="str">
        <f>INDEX('reductions workings'!$G:$G,MATCH(G16,'reductions workings'!$H:$H,0))</f>
        <v>Adoption Leave</v>
      </c>
      <c r="F16" s="395"/>
      <c r="G16" s="212">
        <f>LARGE('reductions workings'!H:H,12)</f>
        <v>0</v>
      </c>
      <c r="H16" s="78" t="e">
        <f>G16/'reductions workings'!H$50:$I50</f>
        <v>#DIV/0!</v>
      </c>
      <c r="I16" s="124"/>
      <c r="J16" s="124"/>
      <c r="K16" s="124"/>
      <c r="L16" s="124"/>
      <c r="M16" s="124"/>
    </row>
    <row r="17" spans="2:18" x14ac:dyDescent="0.15">
      <c r="B17" s="74" t="str">
        <f>INDEX('reductions workings'!C:C,MATCH(C17,'reductions workings'!E:E,0))</f>
        <v>Trade Union Facility Time</v>
      </c>
      <c r="C17" s="107">
        <f>LARGE('reductions workings'!E:E,12)</f>
        <v>3.8000000000000002E-4</v>
      </c>
      <c r="E17" s="394" t="str">
        <f>INDEX('reductions workings'!$G:$G,MATCH(G17,'reductions workings'!$H:$H,0))</f>
        <v>Adoption Leave</v>
      </c>
      <c r="F17" s="395"/>
      <c r="G17" s="212">
        <f>LARGE('reductions workings'!H:H,13)</f>
        <v>0</v>
      </c>
      <c r="H17" s="78" t="e">
        <f>G17/'reductions workings'!H$50:$I50</f>
        <v>#DIV/0!</v>
      </c>
      <c r="I17" s="124"/>
      <c r="J17" s="124"/>
      <c r="K17" s="124"/>
      <c r="L17" s="124"/>
      <c r="M17" s="124"/>
    </row>
    <row r="18" spans="2:18" x14ac:dyDescent="0.15">
      <c r="B18" s="74" t="str">
        <f>INDEX('reductions workings'!C:C,MATCH(C18,'reductions workings'!E:E,0))</f>
        <v>SPOC Lead</v>
      </c>
      <c r="C18" s="107">
        <f>LARGE('reductions workings'!E:E,13)</f>
        <v>3.6999999999999999E-4</v>
      </c>
      <c r="E18" s="394" t="str">
        <f>INDEX('reductions workings'!$G:$G,MATCH(G18,'reductions workings'!$H:$H,0))</f>
        <v>Adoption Leave</v>
      </c>
      <c r="F18" s="395"/>
      <c r="G18" s="212">
        <f>LARGE('reductions workings'!H:H,14)</f>
        <v>0</v>
      </c>
      <c r="H18" s="78" t="e">
        <f>G18/'reductions workings'!H$50:$I50</f>
        <v>#DIV/0!</v>
      </c>
      <c r="I18" s="124"/>
      <c r="J18" s="124"/>
      <c r="K18" s="124"/>
      <c r="L18" s="124"/>
      <c r="M18" s="124"/>
    </row>
    <row r="19" spans="2:18" x14ac:dyDescent="0.15">
      <c r="B19" s="74" t="str">
        <f>INDEX('reductions workings'!C:C,MATCH(C19,'reductions workings'!E:E,0))</f>
        <v>Split Role</v>
      </c>
      <c r="C19" s="107">
        <f>LARGE('reductions workings'!E:E,14)</f>
        <v>3.6000000000000002E-4</v>
      </c>
      <c r="E19" s="394" t="str">
        <f>INDEX('reductions workings'!$G:$G,MATCH(G19,'reductions workings'!$H:$H,0))</f>
        <v>Adoption Leave</v>
      </c>
      <c r="F19" s="395"/>
      <c r="G19" s="212">
        <f>LARGE('reductions workings'!H:H,15)</f>
        <v>0</v>
      </c>
      <c r="H19" s="78" t="e">
        <f>G19/'reductions workings'!H$50:$I50</f>
        <v>#DIV/0!</v>
      </c>
      <c r="I19" s="124"/>
      <c r="J19" s="124"/>
      <c r="K19" s="124"/>
      <c r="L19" s="124"/>
      <c r="M19" s="124"/>
    </row>
    <row r="20" spans="2:18" x14ac:dyDescent="0.15">
      <c r="B20" s="74" t="str">
        <f>INDEX('reductions workings'!C:C,MATCH(C20,'reductions workings'!E:E,0))</f>
        <v>Special Leave</v>
      </c>
      <c r="C20" s="107">
        <f>LARGE('reductions workings'!E:E,15)</f>
        <v>3.5E-4</v>
      </c>
      <c r="E20" s="394" t="str">
        <f>INDEX('reductions workings'!$G:$G,MATCH(G20,'reductions workings'!$H:$H,0))</f>
        <v>Adoption Leave</v>
      </c>
      <c r="F20" s="395"/>
      <c r="G20" s="212">
        <f>LARGE('reductions workings'!H:H,16)</f>
        <v>0</v>
      </c>
      <c r="H20" s="78" t="e">
        <f>G20/'reductions workings'!H$50:$I50</f>
        <v>#DIV/0!</v>
      </c>
      <c r="I20" s="124"/>
      <c r="J20" s="124"/>
      <c r="K20" s="124"/>
      <c r="L20" s="124"/>
      <c r="M20" s="124"/>
    </row>
    <row r="21" spans="2:18" ht="28" x14ac:dyDescent="0.15">
      <c r="B21" s="242" t="s">
        <v>1336</v>
      </c>
      <c r="C21" s="211">
        <f>SUM(C6:C20)</f>
        <v>8.2499999999999987E-3</v>
      </c>
      <c r="E21" s="396" t="s">
        <v>1337</v>
      </c>
      <c r="F21" s="395"/>
      <c r="G21" s="409">
        <f>SUM(G6:G20)</f>
        <v>0</v>
      </c>
      <c r="H21" s="410"/>
      <c r="I21" s="6"/>
      <c r="J21" s="6"/>
      <c r="K21" s="6"/>
      <c r="L21" s="6"/>
      <c r="M21" s="6"/>
    </row>
    <row r="22" spans="2:18" ht="28" x14ac:dyDescent="0.15">
      <c r="B22" s="243" t="s">
        <v>1338</v>
      </c>
      <c r="C22" s="123">
        <f>COUNTIF('reductions data'!K:K,"ACTIVE")</f>
        <v>0</v>
      </c>
      <c r="E22" s="406" t="s">
        <v>1339</v>
      </c>
      <c r="F22" s="407"/>
      <c r="G22" s="409">
        <f>LARGE('reductions workings'!H:H,1)</f>
        <v>0</v>
      </c>
      <c r="H22" s="410"/>
      <c r="I22" s="6"/>
      <c r="J22" s="6"/>
      <c r="K22" s="6"/>
      <c r="L22" s="6"/>
      <c r="M22" s="6"/>
    </row>
    <row r="23" spans="2:18" ht="16" x14ac:dyDescent="0.2">
      <c r="B23" s="1"/>
      <c r="C23" s="1"/>
    </row>
    <row r="24" spans="2:18" ht="16" x14ac:dyDescent="0.2">
      <c r="C24" s="366" t="s">
        <v>1340</v>
      </c>
      <c r="D24" s="401"/>
      <c r="E24" s="401"/>
      <c r="F24" s="401"/>
      <c r="G24" s="401"/>
      <c r="H24" s="401"/>
      <c r="I24" s="401"/>
      <c r="J24" s="401"/>
      <c r="K24" s="401"/>
      <c r="L24" s="401"/>
      <c r="M24" s="401"/>
      <c r="N24" s="401"/>
      <c r="O24" s="401"/>
      <c r="P24" s="401"/>
      <c r="Q24" s="401"/>
      <c r="R24" s="401"/>
    </row>
    <row r="25" spans="2:18" ht="40.5" customHeight="1" x14ac:dyDescent="0.15">
      <c r="B25" s="88" t="s">
        <v>1112</v>
      </c>
      <c r="C25" s="88" t="s">
        <v>1355</v>
      </c>
      <c r="D25" s="88" t="s">
        <v>20</v>
      </c>
      <c r="E25" s="88" t="s">
        <v>21</v>
      </c>
      <c r="F25" s="88" t="s">
        <v>1357</v>
      </c>
      <c r="G25" s="88" t="s">
        <v>22</v>
      </c>
      <c r="H25" s="88" t="s">
        <v>23</v>
      </c>
      <c r="I25" s="88" t="s">
        <v>24</v>
      </c>
      <c r="J25" s="88" t="s">
        <v>25</v>
      </c>
      <c r="K25" s="88" t="s">
        <v>26</v>
      </c>
      <c r="L25" s="88" t="s">
        <v>27</v>
      </c>
      <c r="M25" s="88" t="s">
        <v>28</v>
      </c>
      <c r="N25" s="88" t="s">
        <v>1409</v>
      </c>
      <c r="O25" s="88" t="s">
        <v>29</v>
      </c>
      <c r="P25" s="88" t="s">
        <v>30</v>
      </c>
      <c r="Q25" s="88" t="s">
        <v>34</v>
      </c>
      <c r="R25" s="88" t="s">
        <v>1240</v>
      </c>
    </row>
    <row r="26" spans="2:18" x14ac:dyDescent="0.15">
      <c r="B26" s="125" t="s">
        <v>1115</v>
      </c>
      <c r="C26" s="74">
        <f>COUNTIFS('reductions data'!G:G,'reasons for reduction division'!B26,'reductions data'!A:A,$C$25)</f>
        <v>0</v>
      </c>
      <c r="D26" s="74">
        <f>COUNTIFS('reductions data'!G:G,'reasons for reduction division'!B26,'reductions data'!A:A,$D$25)</f>
        <v>0</v>
      </c>
      <c r="E26" s="74">
        <f>COUNTIFS('reductions data'!G:G,'reasons for reduction division'!B26,'reductions data'!A:A,$E$25)</f>
        <v>0</v>
      </c>
      <c r="F26" s="74">
        <f>COUNTIFS('reductions data'!G:G,'reasons for reduction division'!B26,'reductions data'!A:A,$F$25)</f>
        <v>0</v>
      </c>
      <c r="G26" s="74">
        <f>COUNTIFS('reductions data'!G:G,'reasons for reduction division'!B26,'reductions data'!A:A,$G$25)</f>
        <v>0</v>
      </c>
      <c r="H26" s="74">
        <f>COUNTIFS('reductions data'!G:G,'reasons for reduction division'!B26,'reductions data'!A:A,$H$25)</f>
        <v>0</v>
      </c>
      <c r="I26" s="74">
        <f>COUNTIFS('reductions data'!G:G,'reasons for reduction division'!B26,'reductions data'!A:A,$I$25)</f>
        <v>0</v>
      </c>
      <c r="J26" s="74">
        <f>COUNTIFS('reductions data'!G:G,'reasons for reduction division'!B26,'reductions data'!A:A,$J$25)</f>
        <v>0</v>
      </c>
      <c r="K26" s="74">
        <f>COUNTIFS('reductions data'!G:G,'reasons for reduction division'!B26,'reductions data'!A:A,$K$25)</f>
        <v>0</v>
      </c>
      <c r="L26" s="74">
        <f>COUNTIFS('reductions data'!G:G,'reasons for reduction division'!B26,'reductions data'!A:A,$L$25)</f>
        <v>0</v>
      </c>
      <c r="M26" s="74">
        <f>COUNTIFS('reductions data'!G:G,'reasons for reduction division'!B26,'reductions data'!A:A,$M$25)</f>
        <v>0</v>
      </c>
      <c r="N26" s="74">
        <f>COUNTIFS('reductions data'!G:G,'reasons for reduction division'!B26,'reductions data'!A:A,$N$25)</f>
        <v>0</v>
      </c>
      <c r="O26" s="74">
        <f>COUNTIFS('reductions data'!$G:$G,'reasons for reduction division'!$B26,'reductions data'!$A:$A,O$25)</f>
        <v>0</v>
      </c>
      <c r="P26" s="74">
        <f>COUNTIFS('reductions data'!$G:$G,'reasons for reduction division'!$B26,'reductions data'!$A:$A,P$25)</f>
        <v>0</v>
      </c>
      <c r="Q26" s="74">
        <f>COUNTIFS('reductions data'!$G:$G,'reasons for reduction division'!$B26,'reductions data'!$A:$A,Q$25)</f>
        <v>0</v>
      </c>
      <c r="R26" s="118">
        <f>COUNTIF('reductions data'!G:G,'reasons for reduction division'!B26)</f>
        <v>0</v>
      </c>
    </row>
    <row r="27" spans="2:18" x14ac:dyDescent="0.15">
      <c r="B27" s="126" t="s">
        <v>1096</v>
      </c>
      <c r="C27" s="74">
        <f>COUNTIFS('reductions data'!G:G,'reasons for reduction division'!B27,'reductions data'!A:A,$C$25)</f>
        <v>0</v>
      </c>
      <c r="D27" s="74">
        <f>COUNTIFS('reductions data'!G:G,'reasons for reduction division'!B27,'reductions data'!A:A,$D$25)</f>
        <v>0</v>
      </c>
      <c r="E27" s="74">
        <f>COUNTIFS('reductions data'!G:G,'reasons for reduction division'!B27,'reductions data'!A:A,$E$25)</f>
        <v>0</v>
      </c>
      <c r="F27" s="74">
        <f>COUNTIFS('reductions data'!G:G,'reasons for reduction division'!B27,'reductions data'!A:A,$F$25)</f>
        <v>0</v>
      </c>
      <c r="G27" s="74">
        <f>COUNTIFS('reductions data'!G:G,'reasons for reduction division'!B27,'reductions data'!A:A,$G$25)</f>
        <v>0</v>
      </c>
      <c r="H27" s="74">
        <f>COUNTIFS('reductions data'!G:G,'reasons for reduction division'!B27,'reductions data'!A:A,$H$25)</f>
        <v>0</v>
      </c>
      <c r="I27" s="74">
        <f>COUNTIFS('reductions data'!G:G,'reasons for reduction division'!B27,'reductions data'!A:A,$I$25)</f>
        <v>0</v>
      </c>
      <c r="J27" s="74">
        <f>COUNTIFS('reductions data'!G:G,'reasons for reduction division'!B27,'reductions data'!A:A,$J$25)</f>
        <v>0</v>
      </c>
      <c r="K27" s="74">
        <f>COUNTIFS('reductions data'!G:G,'reasons for reduction division'!B27,'reductions data'!A:A,$K$25)</f>
        <v>0</v>
      </c>
      <c r="L27" s="74">
        <f>COUNTIFS('reductions data'!G:G,'reasons for reduction division'!B27,'reductions data'!A:A,$L$25)</f>
        <v>0</v>
      </c>
      <c r="M27" s="74">
        <f>COUNTIFS('reductions data'!G:G,'reasons for reduction division'!B27,'reductions data'!A:A,$M$25)</f>
        <v>0</v>
      </c>
      <c r="N27" s="74">
        <f>COUNTIFS('reductions data'!G:G,'reasons for reduction division'!B27,'reductions data'!A:A,$N$25)</f>
        <v>0</v>
      </c>
      <c r="O27" s="74">
        <f>COUNTIFS('reductions data'!$G:$G,'reasons for reduction division'!$B27,'reductions data'!$A:$A,O$25)</f>
        <v>0</v>
      </c>
      <c r="P27" s="74">
        <f>COUNTIFS('reductions data'!$G:$G,'reasons for reduction division'!$B27,'reductions data'!$A:$A,P$25)</f>
        <v>0</v>
      </c>
      <c r="Q27" s="74">
        <f>COUNTIFS('reductions data'!$G:$G,'reasons for reduction division'!$B27,'reductions data'!$A:$A,Q$25)</f>
        <v>0</v>
      </c>
      <c r="R27" s="118">
        <f>COUNTIF('reductions data'!G:G,'reasons for reduction division'!B27)</f>
        <v>0</v>
      </c>
    </row>
    <row r="28" spans="2:18" x14ac:dyDescent="0.15">
      <c r="B28" s="126" t="s">
        <v>1101</v>
      </c>
      <c r="C28" s="74">
        <f>COUNTIFS('reductions data'!G:G,'reasons for reduction division'!B28,'reductions data'!A:A,$C$25)</f>
        <v>0</v>
      </c>
      <c r="D28" s="74">
        <f>COUNTIFS('reductions data'!G:G,'reasons for reduction division'!B28,'reductions data'!A:A,$D$25)</f>
        <v>0</v>
      </c>
      <c r="E28" s="74">
        <f>COUNTIFS('reductions data'!G:G,'reasons for reduction division'!B28,'reductions data'!A:A,$E$25)</f>
        <v>0</v>
      </c>
      <c r="F28" s="74">
        <f>COUNTIFS('reductions data'!G:G,'reasons for reduction division'!B28,'reductions data'!A:A,$F$25)</f>
        <v>0</v>
      </c>
      <c r="G28" s="74">
        <f>COUNTIFS('reductions data'!G:G,'reasons for reduction division'!B28,'reductions data'!A:A,$G$25)</f>
        <v>0</v>
      </c>
      <c r="H28" s="74">
        <f>COUNTIFS('reductions data'!G:G,'reasons for reduction division'!B28,'reductions data'!A:A,$H$25)</f>
        <v>0</v>
      </c>
      <c r="I28" s="74">
        <f>COUNTIFS('reductions data'!G:G,'reasons for reduction division'!B28,'reductions data'!A:A,$I$25)</f>
        <v>0</v>
      </c>
      <c r="J28" s="74">
        <f>COUNTIFS('reductions data'!G:G,'reasons for reduction division'!B28,'reductions data'!A:A,$J$25)</f>
        <v>0</v>
      </c>
      <c r="K28" s="74">
        <f>COUNTIFS('reductions data'!G:G,'reasons for reduction division'!B28,'reductions data'!A:A,$K$25)</f>
        <v>0</v>
      </c>
      <c r="L28" s="74">
        <f>COUNTIFS('reductions data'!G:G,'reasons for reduction division'!B28,'reductions data'!A:A,$L$25)</f>
        <v>0</v>
      </c>
      <c r="M28" s="74">
        <f>COUNTIFS('reductions data'!G:G,'reasons for reduction division'!B28,'reductions data'!A:A,$M$25)</f>
        <v>0</v>
      </c>
      <c r="N28" s="74">
        <f>COUNTIFS('reductions data'!G:G,'reasons for reduction division'!B28,'reductions data'!A:A,$N$25)</f>
        <v>0</v>
      </c>
      <c r="O28" s="74">
        <f>COUNTIFS('reductions data'!$G:$G,'reasons for reduction division'!$B28,'reductions data'!$A:$A,O$25)</f>
        <v>0</v>
      </c>
      <c r="P28" s="74">
        <f>COUNTIFS('reductions data'!$G:$G,'reasons for reduction division'!$B28,'reductions data'!$A:$A,P$25)</f>
        <v>0</v>
      </c>
      <c r="Q28" s="74">
        <f>COUNTIFS('reductions data'!$G:$G,'reasons for reduction division'!$B28,'reductions data'!$A:$A,Q$25)</f>
        <v>0</v>
      </c>
      <c r="R28" s="118">
        <f>COUNTIF('reductions data'!G:G,'reasons for reduction division'!B28)</f>
        <v>0</v>
      </c>
    </row>
    <row r="29" spans="2:18" x14ac:dyDescent="0.15">
      <c r="B29" s="126" t="s">
        <v>1079</v>
      </c>
      <c r="C29" s="74">
        <f>COUNTIFS('reductions data'!G:G,'reasons for reduction division'!B29,'reductions data'!A:A,$C$25)</f>
        <v>0</v>
      </c>
      <c r="D29" s="74">
        <f>COUNTIFS('reductions data'!G:G,'reasons for reduction division'!B29,'reductions data'!A:A,$D$25)</f>
        <v>0</v>
      </c>
      <c r="E29" s="74">
        <f>COUNTIFS('reductions data'!G:G,'reasons for reduction division'!B29,'reductions data'!A:A,$E$25)</f>
        <v>0</v>
      </c>
      <c r="F29" s="74">
        <f>COUNTIFS('reductions data'!G:G,'reasons for reduction division'!B29,'reductions data'!A:A,$F$25)</f>
        <v>0</v>
      </c>
      <c r="G29" s="74">
        <f>COUNTIFS('reductions data'!G:G,'reasons for reduction division'!B29,'reductions data'!A:A,$G$25)</f>
        <v>0</v>
      </c>
      <c r="H29" s="74">
        <f>COUNTIFS('reductions data'!G:G,'reasons for reduction division'!B29,'reductions data'!A:A,$H$25)</f>
        <v>0</v>
      </c>
      <c r="I29" s="74">
        <f>COUNTIFS('reductions data'!G:G,'reasons for reduction division'!B29,'reductions data'!A:A,$I$25)</f>
        <v>0</v>
      </c>
      <c r="J29" s="74">
        <f>COUNTIFS('reductions data'!G:G,'reasons for reduction division'!B29,'reductions data'!A:A,$J$25)</f>
        <v>0</v>
      </c>
      <c r="K29" s="74">
        <f>COUNTIFS('reductions data'!G:G,'reasons for reduction division'!B29,'reductions data'!A:A,$K$25)</f>
        <v>0</v>
      </c>
      <c r="L29" s="74">
        <f>COUNTIFS('reductions data'!G:G,'reasons for reduction division'!B29,'reductions data'!A:A,$L$25)</f>
        <v>0</v>
      </c>
      <c r="M29" s="74">
        <f>COUNTIFS('reductions data'!G:G,'reasons for reduction division'!B29,'reductions data'!A:A,$M$25)</f>
        <v>0</v>
      </c>
      <c r="N29" s="74">
        <f>COUNTIFS('reductions data'!G:G,'reasons for reduction division'!B29,'reductions data'!A:A,$N$25)</f>
        <v>0</v>
      </c>
      <c r="O29" s="74">
        <f>COUNTIFS('reductions data'!$G:$G,'reasons for reduction division'!$B29,'reductions data'!$A:$A,O$25)</f>
        <v>0</v>
      </c>
      <c r="P29" s="74">
        <f>COUNTIFS('reductions data'!$G:$G,'reasons for reduction division'!$B29,'reductions data'!$A:$A,P$25)</f>
        <v>0</v>
      </c>
      <c r="Q29" s="74">
        <f>COUNTIFS('reductions data'!$G:$G,'reasons for reduction division'!$B29,'reductions data'!$A:$A,Q$25)</f>
        <v>0</v>
      </c>
      <c r="R29" s="118">
        <f>COUNTIF('reductions data'!G:G,'reasons for reduction division'!B29)</f>
        <v>0</v>
      </c>
    </row>
    <row r="30" spans="2:18" x14ac:dyDescent="0.15">
      <c r="B30" s="126" t="s">
        <v>1116</v>
      </c>
      <c r="C30" s="74">
        <f>COUNTIFS('reductions data'!G:G,'reasons for reduction division'!B30,'reductions data'!A:A,$C$25)</f>
        <v>0</v>
      </c>
      <c r="D30" s="74">
        <f>COUNTIFS('reductions data'!G:G,'reasons for reduction division'!B30,'reductions data'!A:A,$D$25)</f>
        <v>0</v>
      </c>
      <c r="E30" s="74">
        <f>COUNTIFS('reductions data'!G:G,'reasons for reduction division'!B30,'reductions data'!A:A,$E$25)</f>
        <v>0</v>
      </c>
      <c r="F30" s="74">
        <f>COUNTIFS('reductions data'!G:G,'reasons for reduction division'!B30,'reductions data'!A:A,$F$25)</f>
        <v>0</v>
      </c>
      <c r="G30" s="74">
        <f>COUNTIFS('reductions data'!G:G,'reasons for reduction division'!B30,'reductions data'!A:A,$G$25)</f>
        <v>0</v>
      </c>
      <c r="H30" s="74">
        <f>COUNTIFS('reductions data'!G:G,'reasons for reduction division'!B30,'reductions data'!A:A,$H$25)</f>
        <v>0</v>
      </c>
      <c r="I30" s="74">
        <f>COUNTIFS('reductions data'!G:G,'reasons for reduction division'!B30,'reductions data'!A:A,$I$25)</f>
        <v>0</v>
      </c>
      <c r="J30" s="74">
        <f>COUNTIFS('reductions data'!G:G,'reasons for reduction division'!B30,'reductions data'!A:A,$J$25)</f>
        <v>0</v>
      </c>
      <c r="K30" s="74">
        <f>COUNTIFS('reductions data'!G:G,'reasons for reduction division'!B30,'reductions data'!A:A,$K$25)</f>
        <v>0</v>
      </c>
      <c r="L30" s="74">
        <f>COUNTIFS('reductions data'!G:G,'reasons for reduction division'!B30,'reductions data'!A:A,$L$25)</f>
        <v>0</v>
      </c>
      <c r="M30" s="74">
        <f>COUNTIFS('reductions data'!G:G,'reasons for reduction division'!B30,'reductions data'!A:A,$M$25)</f>
        <v>0</v>
      </c>
      <c r="N30" s="74">
        <f>COUNTIFS('reductions data'!G:G,'reasons for reduction division'!B30,'reductions data'!A:A,$N$25)</f>
        <v>0</v>
      </c>
      <c r="O30" s="74">
        <f>COUNTIFS('reductions data'!$G:$G,'reasons for reduction division'!$B30,'reductions data'!$A:$A,O$25)</f>
        <v>0</v>
      </c>
      <c r="P30" s="74">
        <f>COUNTIFS('reductions data'!$G:$G,'reasons for reduction division'!$B30,'reductions data'!$A:$A,P$25)</f>
        <v>0</v>
      </c>
      <c r="Q30" s="74">
        <f>COUNTIFS('reductions data'!$G:$G,'reasons for reduction division'!$B30,'reductions data'!$A:$A,Q$25)</f>
        <v>0</v>
      </c>
      <c r="R30" s="118">
        <f>COUNTIF('reductions data'!G:G,'reasons for reduction division'!B30)</f>
        <v>0</v>
      </c>
    </row>
    <row r="31" spans="2:18" ht="15" customHeight="1" x14ac:dyDescent="0.15">
      <c r="B31" s="126" t="s">
        <v>1109</v>
      </c>
      <c r="C31" s="74">
        <f>COUNTIFS('reductions data'!G:G,'reasons for reduction division'!B31,'reductions data'!A:A,$C$25)</f>
        <v>0</v>
      </c>
      <c r="D31" s="74">
        <f>COUNTIFS('reductions data'!G:G,'reasons for reduction division'!B31,'reductions data'!A:A,$D$25)</f>
        <v>0</v>
      </c>
      <c r="E31" s="74">
        <f>COUNTIFS('reductions data'!G:G,'reasons for reduction division'!B31,'reductions data'!A:A,$E$25)</f>
        <v>0</v>
      </c>
      <c r="F31" s="74">
        <f>COUNTIFS('reductions data'!G:G,'reasons for reduction division'!B31,'reductions data'!A:A,$F$25)</f>
        <v>0</v>
      </c>
      <c r="G31" s="74">
        <f>COUNTIFS('reductions data'!G:G,'reasons for reduction division'!B31,'reductions data'!A:A,$G$25)</f>
        <v>0</v>
      </c>
      <c r="H31" s="74">
        <f>COUNTIFS('reductions data'!G:G,'reasons for reduction division'!B31,'reductions data'!A:A,$H$25)</f>
        <v>0</v>
      </c>
      <c r="I31" s="74">
        <f>COUNTIFS('reductions data'!G:G,'reasons for reduction division'!B31,'reductions data'!A:A,$I$25)</f>
        <v>0</v>
      </c>
      <c r="J31" s="74">
        <f>COUNTIFS('reductions data'!G:G,'reasons for reduction division'!B31,'reductions data'!A:A,$J$25)</f>
        <v>0</v>
      </c>
      <c r="K31" s="74">
        <f>COUNTIFS('reductions data'!G:G,'reasons for reduction division'!B31,'reductions data'!A:A,$K$25)</f>
        <v>0</v>
      </c>
      <c r="L31" s="74">
        <f>COUNTIFS('reductions data'!G:G,'reasons for reduction division'!B31,'reductions data'!A:A,$L$25)</f>
        <v>0</v>
      </c>
      <c r="M31" s="74">
        <f>COUNTIFS('reductions data'!G:G,'reasons for reduction division'!B31,'reductions data'!A:A,$M$25)</f>
        <v>0</v>
      </c>
      <c r="N31" s="74">
        <f>COUNTIFS('reductions data'!G:G,'reasons for reduction division'!B31,'reductions data'!A:A,$N$25)</f>
        <v>0</v>
      </c>
      <c r="O31" s="74">
        <f>COUNTIFS('reductions data'!$G:$G,'reasons for reduction division'!$B31,'reductions data'!$A:$A,O$25)</f>
        <v>0</v>
      </c>
      <c r="P31" s="74">
        <f>COUNTIFS('reductions data'!$G:$G,'reasons for reduction division'!$B31,'reductions data'!$A:$A,P$25)</f>
        <v>0</v>
      </c>
      <c r="Q31" s="74">
        <f>COUNTIFS('reductions data'!$G:$G,'reasons for reduction division'!$B31,'reductions data'!$A:$A,Q$25)</f>
        <v>0</v>
      </c>
      <c r="R31" s="118">
        <f>COUNTIF('reductions data'!G:G,'reasons for reduction division'!B31)</f>
        <v>0</v>
      </c>
    </row>
    <row r="32" spans="2:18" ht="15" customHeight="1" x14ac:dyDescent="0.15">
      <c r="B32" s="126" t="s">
        <v>1089</v>
      </c>
      <c r="C32" s="74">
        <f>COUNTIFS('reductions data'!G:G,'reasons for reduction division'!B32,'reductions data'!A:A,$C$25)</f>
        <v>0</v>
      </c>
      <c r="D32" s="74">
        <f>COUNTIFS('reductions data'!G:G,'reasons for reduction division'!B32,'reductions data'!A:A,$D$25)</f>
        <v>0</v>
      </c>
      <c r="E32" s="74">
        <f>COUNTIFS('reductions data'!G:G,'reasons for reduction division'!B32,'reductions data'!A:A,$E$25)</f>
        <v>0</v>
      </c>
      <c r="F32" s="74">
        <f>COUNTIFS('reductions data'!G:G,'reasons for reduction division'!B32,'reductions data'!A:A,$F$25)</f>
        <v>0</v>
      </c>
      <c r="G32" s="74">
        <f>COUNTIFS('reductions data'!G:G,'reasons for reduction division'!B32,'reductions data'!A:A,$G$25)</f>
        <v>0</v>
      </c>
      <c r="H32" s="74">
        <f>COUNTIFS('reductions data'!G:G,'reasons for reduction division'!B32,'reductions data'!A:A,$H$25)</f>
        <v>0</v>
      </c>
      <c r="I32" s="74">
        <f>COUNTIFS('reductions data'!G:G,'reasons for reduction division'!B32,'reductions data'!A:A,$I$25)</f>
        <v>0</v>
      </c>
      <c r="J32" s="74">
        <f>COUNTIFS('reductions data'!G:G,'reasons for reduction division'!B32,'reductions data'!A:A,$J$25)</f>
        <v>0</v>
      </c>
      <c r="K32" s="74">
        <f>COUNTIFS('reductions data'!G:G,'reasons for reduction division'!B32,'reductions data'!A:A,$K$25)</f>
        <v>0</v>
      </c>
      <c r="L32" s="74">
        <f>COUNTIFS('reductions data'!G:G,'reasons for reduction division'!B32,'reductions data'!A:A,$L$25)</f>
        <v>0</v>
      </c>
      <c r="M32" s="74">
        <f>COUNTIFS('reductions data'!G:G,'reasons for reduction division'!B32,'reductions data'!A:A,$M$25)</f>
        <v>0</v>
      </c>
      <c r="N32" s="74">
        <f>COUNTIFS('reductions data'!G:G,'reasons for reduction division'!B32,'reductions data'!A:A,$N$25)</f>
        <v>0</v>
      </c>
      <c r="O32" s="74">
        <f>COUNTIFS('reductions data'!$G:$G,'reasons for reduction division'!$B32,'reductions data'!$A:$A,O$25)</f>
        <v>0</v>
      </c>
      <c r="P32" s="74">
        <f>COUNTIFS('reductions data'!$G:$G,'reasons for reduction division'!$B32,'reductions data'!$A:$A,P$25)</f>
        <v>0</v>
      </c>
      <c r="Q32" s="74">
        <f>COUNTIFS('reductions data'!$G:$G,'reasons for reduction division'!$B32,'reductions data'!$A:$A,Q$25)</f>
        <v>0</v>
      </c>
      <c r="R32" s="118">
        <f>COUNTIF('reductions data'!G:G,'reasons for reduction division'!B32)</f>
        <v>0</v>
      </c>
    </row>
    <row r="33" spans="2:18" x14ac:dyDescent="0.15">
      <c r="B33" s="126" t="s">
        <v>1117</v>
      </c>
      <c r="C33" s="74">
        <f>COUNTIFS('reductions data'!G:G,'reasons for reduction division'!B33,'reductions data'!A:A,$C$25)</f>
        <v>0</v>
      </c>
      <c r="D33" s="74">
        <f>COUNTIFS('reductions data'!G:G,'reasons for reduction division'!B33,'reductions data'!A:A,$D$25)</f>
        <v>0</v>
      </c>
      <c r="E33" s="74">
        <f>COUNTIFS('reductions data'!G:G,'reasons for reduction division'!B33,'reductions data'!A:A,$E$25)</f>
        <v>0</v>
      </c>
      <c r="F33" s="74">
        <f>COUNTIFS('reductions data'!G:G,'reasons for reduction division'!B33,'reductions data'!A:A,$F$25)</f>
        <v>0</v>
      </c>
      <c r="G33" s="74">
        <f>COUNTIFS('reductions data'!G:G,'reasons for reduction division'!B33,'reductions data'!A:A,$G$25)</f>
        <v>0</v>
      </c>
      <c r="H33" s="74">
        <f>COUNTIFS('reductions data'!G:G,'reasons for reduction division'!B33,'reductions data'!A:A,$H$25)</f>
        <v>0</v>
      </c>
      <c r="I33" s="74">
        <f>COUNTIFS('reductions data'!G:G,'reasons for reduction division'!B33,'reductions data'!A:A,$I$25)</f>
        <v>0</v>
      </c>
      <c r="J33" s="74">
        <f>COUNTIFS('reductions data'!G:G,'reasons for reduction division'!B33,'reductions data'!A:A,$J$25)</f>
        <v>0</v>
      </c>
      <c r="K33" s="74">
        <f>COUNTIFS('reductions data'!G:G,'reasons for reduction division'!B33,'reductions data'!A:A,$K$25)</f>
        <v>0</v>
      </c>
      <c r="L33" s="74">
        <f>COUNTIFS('reductions data'!G:G,'reasons for reduction division'!B33,'reductions data'!A:A,$L$25)</f>
        <v>0</v>
      </c>
      <c r="M33" s="74">
        <f>COUNTIFS('reductions data'!G:G,'reasons for reduction division'!B33,'reductions data'!A:A,$M$25)</f>
        <v>0</v>
      </c>
      <c r="N33" s="74">
        <f>COUNTIFS('reductions data'!G:G,'reasons for reduction division'!B33,'reductions data'!A:A,$N$25)</f>
        <v>0</v>
      </c>
      <c r="O33" s="74">
        <f>COUNTIFS('reductions data'!$G:$G,'reasons for reduction division'!$B33,'reductions data'!$A:$A,O$25)</f>
        <v>0</v>
      </c>
      <c r="P33" s="74">
        <f>COUNTIFS('reductions data'!$G:$G,'reasons for reduction division'!$B33,'reductions data'!$A:$A,P$25)</f>
        <v>0</v>
      </c>
      <c r="Q33" s="74">
        <f>COUNTIFS('reductions data'!$G:$G,'reasons for reduction division'!$B33,'reductions data'!$A:$A,Q$25)</f>
        <v>0</v>
      </c>
      <c r="R33" s="118">
        <f>COUNTIF('reductions data'!G:G,'reasons for reduction division'!B33)</f>
        <v>0</v>
      </c>
    </row>
    <row r="34" spans="2:18" x14ac:dyDescent="0.15">
      <c r="B34" s="126" t="s">
        <v>1086</v>
      </c>
      <c r="C34" s="74">
        <f>COUNTIFS('reductions data'!G:G,'reasons for reduction division'!B34,'reductions data'!A:A,$C$25)</f>
        <v>0</v>
      </c>
      <c r="D34" s="74">
        <f>COUNTIFS('reductions data'!G:G,'reasons for reduction division'!B34,'reductions data'!A:A,$D$25)</f>
        <v>0</v>
      </c>
      <c r="E34" s="74">
        <f>COUNTIFS('reductions data'!G:G,'reasons for reduction division'!B34,'reductions data'!A:A,$E$25)</f>
        <v>0</v>
      </c>
      <c r="F34" s="74">
        <f>COUNTIFS('reductions data'!G:G,'reasons for reduction division'!B34,'reductions data'!A:A,$F$25)</f>
        <v>0</v>
      </c>
      <c r="G34" s="74">
        <f>COUNTIFS('reductions data'!G:G,'reasons for reduction division'!B34,'reductions data'!A:A,$G$25)</f>
        <v>0</v>
      </c>
      <c r="H34" s="74">
        <f>COUNTIFS('reductions data'!G:G,'reasons for reduction division'!B34,'reductions data'!A:A,$H$25)</f>
        <v>0</v>
      </c>
      <c r="I34" s="74">
        <f>COUNTIFS('reductions data'!G:G,'reasons for reduction division'!B34,'reductions data'!A:A,$I$25)</f>
        <v>0</v>
      </c>
      <c r="J34" s="74">
        <f>COUNTIFS('reductions data'!G:G,'reasons for reduction division'!B34,'reductions data'!A:A,$J$25)</f>
        <v>0</v>
      </c>
      <c r="K34" s="74">
        <f>COUNTIFS('reductions data'!G:G,'reasons for reduction division'!B34,'reductions data'!A:A,$K$25)</f>
        <v>0</v>
      </c>
      <c r="L34" s="74">
        <f>COUNTIFS('reductions data'!G:G,'reasons for reduction division'!B34,'reductions data'!A:A,$L$25)</f>
        <v>0</v>
      </c>
      <c r="M34" s="74">
        <f>COUNTIFS('reductions data'!G:G,'reasons for reduction division'!B34,'reductions data'!A:A,$M$25)</f>
        <v>0</v>
      </c>
      <c r="N34" s="74">
        <f>COUNTIFS('reductions data'!G:G,'reasons for reduction division'!B34,'reductions data'!A:A,$N$25)</f>
        <v>0</v>
      </c>
      <c r="O34" s="74">
        <f>COUNTIFS('reductions data'!$G:$G,'reasons for reduction division'!$B34,'reductions data'!$A:$A,O$25)</f>
        <v>0</v>
      </c>
      <c r="P34" s="74">
        <f>COUNTIFS('reductions data'!$G:$G,'reasons for reduction division'!$B34,'reductions data'!$A:$A,P$25)</f>
        <v>0</v>
      </c>
      <c r="Q34" s="74">
        <f>COUNTIFS('reductions data'!$G:$G,'reasons for reduction division'!$B34,'reductions data'!$A:$A,Q$25)</f>
        <v>0</v>
      </c>
      <c r="R34" s="118">
        <f>COUNTIF('reductions data'!G:G,'reasons for reduction division'!B34)</f>
        <v>0</v>
      </c>
    </row>
    <row r="35" spans="2:18" x14ac:dyDescent="0.15">
      <c r="B35" s="126" t="s">
        <v>1091</v>
      </c>
      <c r="C35" s="74">
        <f>COUNTIFS('reductions data'!G:G,'reasons for reduction division'!B35,'reductions data'!A:A,$C$25)</f>
        <v>0</v>
      </c>
      <c r="D35" s="74">
        <f>COUNTIFS('reductions data'!G:G,'reasons for reduction division'!B35,'reductions data'!A:A,$D$25)</f>
        <v>0</v>
      </c>
      <c r="E35" s="74">
        <f>COUNTIFS('reductions data'!G:G,'reasons for reduction division'!B35,'reductions data'!A:A,$E$25)</f>
        <v>0</v>
      </c>
      <c r="F35" s="74">
        <f>COUNTIFS('reductions data'!G:G,'reasons for reduction division'!B35,'reductions data'!A:A,$F$25)</f>
        <v>0</v>
      </c>
      <c r="G35" s="74">
        <f>COUNTIFS('reductions data'!G:G,'reasons for reduction division'!B35,'reductions data'!A:A,$G$25)</f>
        <v>0</v>
      </c>
      <c r="H35" s="74">
        <f>COUNTIFS('reductions data'!G:G,'reasons for reduction division'!B35,'reductions data'!A:A,$H$25)</f>
        <v>0</v>
      </c>
      <c r="I35" s="74">
        <f>COUNTIFS('reductions data'!G:G,'reasons for reduction division'!B35,'reductions data'!A:A,$I$25)</f>
        <v>0</v>
      </c>
      <c r="J35" s="74">
        <f>COUNTIFS('reductions data'!G:G,'reasons for reduction division'!B35,'reductions data'!A:A,$J$25)</f>
        <v>0</v>
      </c>
      <c r="K35" s="74">
        <f>COUNTIFS('reductions data'!G:G,'reasons for reduction division'!B35,'reductions data'!A:A,$K$25)</f>
        <v>0</v>
      </c>
      <c r="L35" s="74">
        <f>COUNTIFS('reductions data'!G:G,'reasons for reduction division'!B35,'reductions data'!A:A,$L$25)</f>
        <v>0</v>
      </c>
      <c r="M35" s="74">
        <f>COUNTIFS('reductions data'!G:G,'reasons for reduction division'!B35,'reductions data'!A:A,$M$25)</f>
        <v>0</v>
      </c>
      <c r="N35" s="74">
        <f>COUNTIFS('reductions data'!G:G,'reasons for reduction division'!B35,'reductions data'!A:A,$N$25)</f>
        <v>0</v>
      </c>
      <c r="O35" s="74">
        <f>COUNTIFS('reductions data'!$G:$G,'reasons for reduction division'!$B35,'reductions data'!$A:$A,O$25)</f>
        <v>0</v>
      </c>
      <c r="P35" s="74">
        <f>COUNTIFS('reductions data'!$G:$G,'reasons for reduction division'!$B35,'reductions data'!$A:$A,P$25)</f>
        <v>0</v>
      </c>
      <c r="Q35" s="74">
        <f>COUNTIFS('reductions data'!$G:$G,'reasons for reduction division'!$B35,'reductions data'!$A:$A,Q$25)</f>
        <v>0</v>
      </c>
      <c r="R35" s="118">
        <f>COUNTIF('reductions data'!G:G,'reasons for reduction division'!B35)</f>
        <v>0</v>
      </c>
    </row>
    <row r="36" spans="2:18" x14ac:dyDescent="0.15">
      <c r="B36" s="126" t="s">
        <v>1102</v>
      </c>
      <c r="C36" s="74">
        <f>COUNTIFS('reductions data'!G:G,'reasons for reduction division'!B36,'reductions data'!A:A,$C$25)</f>
        <v>0</v>
      </c>
      <c r="D36" s="74">
        <f>COUNTIFS('reductions data'!G:G,'reasons for reduction division'!B36,'reductions data'!A:A,$D$25)</f>
        <v>0</v>
      </c>
      <c r="E36" s="74">
        <f>COUNTIFS('reductions data'!G:G,'reasons for reduction division'!B36,'reductions data'!A:A,$E$25)</f>
        <v>0</v>
      </c>
      <c r="F36" s="74">
        <f>COUNTIFS('reductions data'!G:G,'reasons for reduction division'!B36,'reductions data'!A:A,$F$25)</f>
        <v>0</v>
      </c>
      <c r="G36" s="74">
        <f>COUNTIFS('reductions data'!G:G,'reasons for reduction division'!B36,'reductions data'!A:A,$G$25)</f>
        <v>0</v>
      </c>
      <c r="H36" s="74">
        <f>COUNTIFS('reductions data'!G:G,'reasons for reduction division'!B36,'reductions data'!A:A,$H$25)</f>
        <v>0</v>
      </c>
      <c r="I36" s="74">
        <f>COUNTIFS('reductions data'!G:G,'reasons for reduction division'!B36,'reductions data'!A:A,$I$25)</f>
        <v>0</v>
      </c>
      <c r="J36" s="74">
        <f>COUNTIFS('reductions data'!G:G,'reasons for reduction division'!B36,'reductions data'!A:A,$J$25)</f>
        <v>0</v>
      </c>
      <c r="K36" s="74">
        <f>COUNTIFS('reductions data'!G:G,'reasons for reduction division'!B36,'reductions data'!A:A,$K$25)</f>
        <v>0</v>
      </c>
      <c r="L36" s="74">
        <f>COUNTIFS('reductions data'!G:G,'reasons for reduction division'!B36,'reductions data'!A:A,$L$25)</f>
        <v>0</v>
      </c>
      <c r="M36" s="74">
        <f>COUNTIFS('reductions data'!G:G,'reasons for reduction division'!B36,'reductions data'!A:A,$M$25)</f>
        <v>0</v>
      </c>
      <c r="N36" s="74">
        <f>COUNTIFS('reductions data'!G:G,'reasons for reduction division'!B36,'reductions data'!A:A,$N$25)</f>
        <v>0</v>
      </c>
      <c r="O36" s="74">
        <f>COUNTIFS('reductions data'!$G:$G,'reasons for reduction division'!$B36,'reductions data'!$A:$A,O$25)</f>
        <v>0</v>
      </c>
      <c r="P36" s="74">
        <f>COUNTIFS('reductions data'!$G:$G,'reasons for reduction division'!$B36,'reductions data'!$A:$A,P$25)</f>
        <v>0</v>
      </c>
      <c r="Q36" s="74">
        <f>COUNTIFS('reductions data'!$G:$G,'reasons for reduction division'!$B36,'reductions data'!$A:$A,Q$25)</f>
        <v>0</v>
      </c>
      <c r="R36" s="118">
        <f>COUNTIF('reductions data'!G:G,'reasons for reduction division'!B36)</f>
        <v>0</v>
      </c>
    </row>
    <row r="37" spans="2:18" x14ac:dyDescent="0.15">
      <c r="B37" s="126" t="s">
        <v>1085</v>
      </c>
      <c r="C37" s="74">
        <f>COUNTIFS('reductions data'!G:G,'reasons for reduction division'!B37,'reductions data'!A:A,$C$25)</f>
        <v>0</v>
      </c>
      <c r="D37" s="74">
        <f>COUNTIFS('reductions data'!G:G,'reasons for reduction division'!B37,'reductions data'!A:A,$D$25)</f>
        <v>0</v>
      </c>
      <c r="E37" s="74">
        <f>COUNTIFS('reductions data'!G:G,'reasons for reduction division'!B37,'reductions data'!A:A,$E$25)</f>
        <v>0</v>
      </c>
      <c r="F37" s="74">
        <f>COUNTIFS('reductions data'!G:G,'reasons for reduction division'!B37,'reductions data'!A:A,$F$25)</f>
        <v>0</v>
      </c>
      <c r="G37" s="74">
        <f>COUNTIFS('reductions data'!G:G,'reasons for reduction division'!B37,'reductions data'!A:A,$G$25)</f>
        <v>0</v>
      </c>
      <c r="H37" s="74">
        <f>COUNTIFS('reductions data'!G:G,'reasons for reduction division'!B37,'reductions data'!A:A,$H$25)</f>
        <v>0</v>
      </c>
      <c r="I37" s="74">
        <f>COUNTIFS('reductions data'!G:G,'reasons for reduction division'!B37,'reductions data'!A:A,$I$25)</f>
        <v>0</v>
      </c>
      <c r="J37" s="74">
        <f>COUNTIFS('reductions data'!G:G,'reasons for reduction division'!B37,'reductions data'!A:A,$J$25)</f>
        <v>0</v>
      </c>
      <c r="K37" s="74">
        <f>COUNTIFS('reductions data'!G:G,'reasons for reduction division'!B37,'reductions data'!A:A,$K$25)</f>
        <v>0</v>
      </c>
      <c r="L37" s="74">
        <f>COUNTIFS('reductions data'!G:G,'reasons for reduction division'!B37,'reductions data'!A:A,$L$25)</f>
        <v>0</v>
      </c>
      <c r="M37" s="74">
        <f>COUNTIFS('reductions data'!G:G,'reasons for reduction division'!B37,'reductions data'!A:A,$M$25)</f>
        <v>0</v>
      </c>
      <c r="N37" s="74">
        <f>COUNTIFS('reductions data'!G:G,'reasons for reduction division'!B37,'reductions data'!A:A,$N$25)</f>
        <v>0</v>
      </c>
      <c r="O37" s="74">
        <f>COUNTIFS('reductions data'!$G:$G,'reasons for reduction division'!$B37,'reductions data'!$A:$A,O$25)</f>
        <v>0</v>
      </c>
      <c r="P37" s="74">
        <f>COUNTIFS('reductions data'!$G:$G,'reasons for reduction division'!$B37,'reductions data'!$A:$A,P$25)</f>
        <v>0</v>
      </c>
      <c r="Q37" s="74">
        <f>COUNTIFS('reductions data'!$G:$G,'reasons for reduction division'!$B37,'reductions data'!$A:$A,Q$25)</f>
        <v>0</v>
      </c>
      <c r="R37" s="118">
        <f>COUNTIF('reductions data'!G:G,'reasons for reduction division'!B37)</f>
        <v>0</v>
      </c>
    </row>
    <row r="38" spans="2:18" x14ac:dyDescent="0.15">
      <c r="B38" s="126" t="s">
        <v>1092</v>
      </c>
      <c r="C38" s="74">
        <f>COUNTIFS('reductions data'!G:G,'reasons for reduction division'!B38,'reductions data'!A:A,$C$25)</f>
        <v>0</v>
      </c>
      <c r="D38" s="74">
        <f>COUNTIFS('reductions data'!G:G,'reasons for reduction division'!B38,'reductions data'!A:A,$D$25)</f>
        <v>0</v>
      </c>
      <c r="E38" s="74">
        <f>COUNTIFS('reductions data'!G:G,'reasons for reduction division'!B38,'reductions data'!A:A,$E$25)</f>
        <v>0</v>
      </c>
      <c r="F38" s="74">
        <f>COUNTIFS('reductions data'!G:G,'reasons for reduction division'!B38,'reductions data'!A:A,$F$25)</f>
        <v>0</v>
      </c>
      <c r="G38" s="74">
        <f>COUNTIFS('reductions data'!G:G,'reasons for reduction division'!B38,'reductions data'!A:A,$G$25)</f>
        <v>0</v>
      </c>
      <c r="H38" s="74">
        <f>COUNTIFS('reductions data'!G:G,'reasons for reduction division'!B38,'reductions data'!A:A,$H$25)</f>
        <v>0</v>
      </c>
      <c r="I38" s="74">
        <f>COUNTIFS('reductions data'!G:G,'reasons for reduction division'!B38,'reductions data'!A:A,$I$25)</f>
        <v>0</v>
      </c>
      <c r="J38" s="74">
        <f>COUNTIFS('reductions data'!G:G,'reasons for reduction division'!B38,'reductions data'!A:A,$J$25)</f>
        <v>0</v>
      </c>
      <c r="K38" s="74">
        <f>COUNTIFS('reductions data'!G:G,'reasons for reduction division'!B38,'reductions data'!A:A,$K$25)</f>
        <v>0</v>
      </c>
      <c r="L38" s="74">
        <f>COUNTIFS('reductions data'!G:G,'reasons for reduction division'!B38,'reductions data'!A:A,$L$25)</f>
        <v>0</v>
      </c>
      <c r="M38" s="74">
        <f>COUNTIFS('reductions data'!G:G,'reasons for reduction division'!B38,'reductions data'!A:A,$M$25)</f>
        <v>0</v>
      </c>
      <c r="N38" s="74">
        <f>COUNTIFS('reductions data'!G:G,'reasons for reduction division'!B38,'reductions data'!A:A,$N$25)</f>
        <v>0</v>
      </c>
      <c r="O38" s="74">
        <f>COUNTIFS('reductions data'!$G:$G,'reasons for reduction division'!$B38,'reductions data'!$A:$A,O$25)</f>
        <v>0</v>
      </c>
      <c r="P38" s="74">
        <f>COUNTIFS('reductions data'!$G:$G,'reasons for reduction division'!$B38,'reductions data'!$A:$A,P$25)</f>
        <v>0</v>
      </c>
      <c r="Q38" s="74">
        <f>COUNTIFS('reductions data'!$G:$G,'reasons for reduction division'!$B38,'reductions data'!$A:$A,Q$25)</f>
        <v>0</v>
      </c>
      <c r="R38" s="118">
        <f>COUNTIF('reductions data'!G:G,'reasons for reduction division'!B38)</f>
        <v>0</v>
      </c>
    </row>
    <row r="39" spans="2:18" x14ac:dyDescent="0.15">
      <c r="B39" s="126" t="s">
        <v>1118</v>
      </c>
      <c r="C39" s="74">
        <f>COUNTIFS('reductions data'!G:G,'reasons for reduction division'!B39,'reductions data'!A:A,$C$25)</f>
        <v>0</v>
      </c>
      <c r="D39" s="74">
        <f>COUNTIFS('reductions data'!G:G,'reasons for reduction division'!B39,'reductions data'!A:A,$D$25)</f>
        <v>0</v>
      </c>
      <c r="E39" s="74">
        <f>COUNTIFS('reductions data'!G:G,'reasons for reduction division'!B39,'reductions data'!A:A,$E$25)</f>
        <v>0</v>
      </c>
      <c r="F39" s="74">
        <f>COUNTIFS('reductions data'!G:G,'reasons for reduction division'!B39,'reductions data'!A:A,$F$25)</f>
        <v>0</v>
      </c>
      <c r="G39" s="74">
        <f>COUNTIFS('reductions data'!G:G,'reasons for reduction division'!B39,'reductions data'!A:A,$G$25)</f>
        <v>0</v>
      </c>
      <c r="H39" s="74">
        <f>COUNTIFS('reductions data'!G:G,'reasons for reduction division'!B39,'reductions data'!A:A,$H$25)</f>
        <v>0</v>
      </c>
      <c r="I39" s="74">
        <f>COUNTIFS('reductions data'!G:G,'reasons for reduction division'!B39,'reductions data'!A:A,$I$25)</f>
        <v>0</v>
      </c>
      <c r="J39" s="74">
        <f>COUNTIFS('reductions data'!G:G,'reasons for reduction division'!B39,'reductions data'!A:A,$J$25)</f>
        <v>0</v>
      </c>
      <c r="K39" s="74">
        <f>COUNTIFS('reductions data'!G:G,'reasons for reduction division'!B39,'reductions data'!A:A,$K$25)</f>
        <v>0</v>
      </c>
      <c r="L39" s="74">
        <f>COUNTIFS('reductions data'!G:G,'reasons for reduction division'!B39,'reductions data'!A:A,$L$25)</f>
        <v>0</v>
      </c>
      <c r="M39" s="74">
        <f>COUNTIFS('reductions data'!G:G,'reasons for reduction division'!B39,'reductions data'!A:A,$M$25)</f>
        <v>0</v>
      </c>
      <c r="N39" s="74">
        <f>COUNTIFS('reductions data'!G:G,'reasons for reduction division'!B39,'reductions data'!A:A,$N$25)</f>
        <v>0</v>
      </c>
      <c r="O39" s="74">
        <f>COUNTIFS('reductions data'!$G:$G,'reasons for reduction division'!$B39,'reductions data'!$A:$A,O$25)</f>
        <v>0</v>
      </c>
      <c r="P39" s="74">
        <f>COUNTIFS('reductions data'!$G:$G,'reasons for reduction division'!$B39,'reductions data'!$A:$A,P$25)</f>
        <v>0</v>
      </c>
      <c r="Q39" s="74">
        <f>COUNTIFS('reductions data'!$G:$G,'reasons for reduction division'!$B39,'reductions data'!$A:$A,Q$25)</f>
        <v>0</v>
      </c>
      <c r="R39" s="118">
        <f>COUNTIF('reductions data'!G:G,'reasons for reduction division'!B39)</f>
        <v>0</v>
      </c>
    </row>
    <row r="40" spans="2:18" x14ac:dyDescent="0.15">
      <c r="B40" s="126" t="s">
        <v>1187</v>
      </c>
      <c r="C40" s="74">
        <f>COUNTIFS('reductions data'!G:G,'reasons for reduction division'!B40,'reductions data'!A:A,$C$25)</f>
        <v>0</v>
      </c>
      <c r="D40" s="74">
        <f>COUNTIFS('reductions data'!G:G,'reasons for reduction division'!B40,'reductions data'!A:A,$D$25)</f>
        <v>0</v>
      </c>
      <c r="E40" s="74">
        <f>COUNTIFS('reductions data'!G:G,'reasons for reduction division'!B40,'reductions data'!A:A,$E$25)</f>
        <v>0</v>
      </c>
      <c r="F40" s="74">
        <f>COUNTIFS('reductions data'!G:G,'reasons for reduction division'!B40,'reductions data'!A:A,$F$25)</f>
        <v>0</v>
      </c>
      <c r="G40" s="74">
        <f>COUNTIFS('reductions data'!G:G,'reasons for reduction division'!B40,'reductions data'!A:A,$G$25)</f>
        <v>0</v>
      </c>
      <c r="H40" s="74">
        <f>COUNTIFS('reductions data'!G:G,'reasons for reduction division'!B40,'reductions data'!A:A,$H$25)</f>
        <v>0</v>
      </c>
      <c r="I40" s="74">
        <f>COUNTIFS('reductions data'!G:G,'reasons for reduction division'!B40,'reductions data'!A:A,$I$25)</f>
        <v>0</v>
      </c>
      <c r="J40" s="74">
        <f>COUNTIFS('reductions data'!G:G,'reasons for reduction division'!B40,'reductions data'!A:A,$J$25)</f>
        <v>0</v>
      </c>
      <c r="K40" s="74">
        <f>COUNTIFS('reductions data'!G:G,'reasons for reduction division'!B40,'reductions data'!A:A,$K$25)</f>
        <v>0</v>
      </c>
      <c r="L40" s="74">
        <f>COUNTIFS('reductions data'!G:G,'reasons for reduction division'!B40,'reductions data'!A:A,$L$25)</f>
        <v>0</v>
      </c>
      <c r="M40" s="74">
        <f>COUNTIFS('reductions data'!G:G,'reasons for reduction division'!B40,'reductions data'!A:A,$M$25)</f>
        <v>0</v>
      </c>
      <c r="N40" s="74">
        <f>COUNTIFS('reductions data'!G:G,'reasons for reduction division'!B40,'reductions data'!A:A,$N$25)</f>
        <v>0</v>
      </c>
      <c r="O40" s="74">
        <f>COUNTIFS('reductions data'!$G:$G,'reasons for reduction division'!$B40,'reductions data'!$A:$A,O$25)</f>
        <v>0</v>
      </c>
      <c r="P40" s="74">
        <f>COUNTIFS('reductions data'!$G:$G,'reasons for reduction division'!$B40,'reductions data'!$A:$A,P$25)</f>
        <v>0</v>
      </c>
      <c r="Q40" s="74">
        <f>COUNTIFS('reductions data'!$G:$G,'reasons for reduction division'!$B40,'reductions data'!$A:$A,Q$25)</f>
        <v>0</v>
      </c>
      <c r="R40" s="118">
        <f>COUNTIF('reductions data'!G:G,'reasons for reduction division'!B40)</f>
        <v>0</v>
      </c>
    </row>
    <row r="41" spans="2:18" x14ac:dyDescent="0.15">
      <c r="B41" s="126" t="s">
        <v>1120</v>
      </c>
      <c r="C41" s="74">
        <f>COUNTIFS('reductions data'!G:G,'reasons for reduction division'!B41,'reductions data'!A:A,$C$25)</f>
        <v>0</v>
      </c>
      <c r="D41" s="74">
        <f>COUNTIFS('reductions data'!G:G,'reasons for reduction division'!B41,'reductions data'!A:A,$D$25)</f>
        <v>0</v>
      </c>
      <c r="E41" s="74">
        <f>COUNTIFS('reductions data'!G:G,'reasons for reduction division'!B41,'reductions data'!A:A,$E$25)</f>
        <v>0</v>
      </c>
      <c r="F41" s="74">
        <f>COUNTIFS('reductions data'!G:G,'reasons for reduction division'!B41,'reductions data'!A:A,$F$25)</f>
        <v>0</v>
      </c>
      <c r="G41" s="74">
        <f>COUNTIFS('reductions data'!G:G,'reasons for reduction division'!B41,'reductions data'!A:A,$G$25)</f>
        <v>0</v>
      </c>
      <c r="H41" s="74">
        <f>COUNTIFS('reductions data'!G:G,'reasons for reduction division'!B41,'reductions data'!A:A,$H$25)</f>
        <v>0</v>
      </c>
      <c r="I41" s="74">
        <f>COUNTIFS('reductions data'!G:G,'reasons for reduction division'!B41,'reductions data'!A:A,$I$25)</f>
        <v>0</v>
      </c>
      <c r="J41" s="74">
        <f>COUNTIFS('reductions data'!G:G,'reasons for reduction division'!B41,'reductions data'!A:A,$J$25)</f>
        <v>0</v>
      </c>
      <c r="K41" s="74">
        <f>COUNTIFS('reductions data'!G:G,'reasons for reduction division'!B41,'reductions data'!A:A,$K$25)</f>
        <v>0</v>
      </c>
      <c r="L41" s="74">
        <f>COUNTIFS('reductions data'!G:G,'reasons for reduction division'!B41,'reductions data'!A:A,$L$25)</f>
        <v>0</v>
      </c>
      <c r="M41" s="74">
        <f>COUNTIFS('reductions data'!G:G,'reasons for reduction division'!B41,'reductions data'!A:A,$M$25)</f>
        <v>0</v>
      </c>
      <c r="N41" s="74">
        <f>COUNTIFS('reductions data'!G:G,'reasons for reduction division'!B41,'reductions data'!A:A,$N$25)</f>
        <v>0</v>
      </c>
      <c r="O41" s="74">
        <f>COUNTIFS('reductions data'!$G:$G,'reasons for reduction division'!$B41,'reductions data'!$A:$A,O$25)</f>
        <v>0</v>
      </c>
      <c r="P41" s="74">
        <f>COUNTIFS('reductions data'!$G:$G,'reasons for reduction division'!$B41,'reductions data'!$A:$A,P$25)</f>
        <v>0</v>
      </c>
      <c r="Q41" s="74">
        <f>COUNTIFS('reductions data'!$G:$G,'reasons for reduction division'!$B41,'reductions data'!$A:$A,Q$25)</f>
        <v>0</v>
      </c>
      <c r="R41" s="118">
        <f>COUNTIF('reductions data'!G:G,'reasons for reduction division'!B41)</f>
        <v>0</v>
      </c>
    </row>
    <row r="42" spans="2:18" x14ac:dyDescent="0.15">
      <c r="B42" s="126" t="s">
        <v>1121</v>
      </c>
      <c r="C42" s="74">
        <f>COUNTIFS('reductions data'!G:G,'reasons for reduction division'!B42,'reductions data'!A:A,$C$25)</f>
        <v>0</v>
      </c>
      <c r="D42" s="74">
        <f>COUNTIFS('reductions data'!G:G,'reasons for reduction division'!B42,'reductions data'!A:A,$D$25)</f>
        <v>0</v>
      </c>
      <c r="E42" s="74">
        <f>COUNTIFS('reductions data'!G:G,'reasons for reduction division'!B42,'reductions data'!A:A,$E$25)</f>
        <v>0</v>
      </c>
      <c r="F42" s="74">
        <f>COUNTIFS('reductions data'!G:G,'reasons for reduction division'!B42,'reductions data'!A:A,$F$25)</f>
        <v>0</v>
      </c>
      <c r="G42" s="74">
        <f>COUNTIFS('reductions data'!G:G,'reasons for reduction division'!B42,'reductions data'!A:A,$G$25)</f>
        <v>0</v>
      </c>
      <c r="H42" s="74">
        <f>COUNTIFS('reductions data'!G:G,'reasons for reduction division'!B42,'reductions data'!A:A,$H$25)</f>
        <v>0</v>
      </c>
      <c r="I42" s="74">
        <f>COUNTIFS('reductions data'!G:G,'reasons for reduction division'!B42,'reductions data'!A:A,$I$25)</f>
        <v>0</v>
      </c>
      <c r="J42" s="74">
        <f>COUNTIFS('reductions data'!G:G,'reasons for reduction division'!B42,'reductions data'!A:A,$J$25)</f>
        <v>0</v>
      </c>
      <c r="K42" s="74">
        <f>COUNTIFS('reductions data'!G:G,'reasons for reduction division'!B42,'reductions data'!A:A,$K$25)</f>
        <v>0</v>
      </c>
      <c r="L42" s="74">
        <f>COUNTIFS('reductions data'!G:G,'reasons for reduction division'!B42,'reductions data'!A:A,$L$25)</f>
        <v>0</v>
      </c>
      <c r="M42" s="74">
        <f>COUNTIFS('reductions data'!G:G,'reasons for reduction division'!B42,'reductions data'!A:A,$M$25)</f>
        <v>0</v>
      </c>
      <c r="N42" s="74">
        <f>COUNTIFS('reductions data'!G:G,'reasons for reduction division'!B42,'reductions data'!A:A,$N$25)</f>
        <v>0</v>
      </c>
      <c r="O42" s="74">
        <f>COUNTIFS('reductions data'!$G:$G,'reasons for reduction division'!$B42,'reductions data'!$A:$A,O$25)</f>
        <v>0</v>
      </c>
      <c r="P42" s="74">
        <f>COUNTIFS('reductions data'!$G:$G,'reasons for reduction division'!$B42,'reductions data'!$A:$A,P$25)</f>
        <v>0</v>
      </c>
      <c r="Q42" s="74">
        <f>COUNTIFS('reductions data'!$G:$G,'reasons for reduction division'!$B42,'reductions data'!$A:$A,Q$25)</f>
        <v>0</v>
      </c>
      <c r="R42" s="118">
        <f>COUNTIF('reductions data'!G:G,'reasons for reduction division'!B42)</f>
        <v>0</v>
      </c>
    </row>
    <row r="43" spans="2:18" x14ac:dyDescent="0.15">
      <c r="B43" s="126" t="s">
        <v>1081</v>
      </c>
      <c r="C43" s="74">
        <f>COUNTIFS('reductions data'!G:G,'reasons for reduction division'!B43,'reductions data'!A:A,$C$25)</f>
        <v>0</v>
      </c>
      <c r="D43" s="74">
        <f>COUNTIFS('reductions data'!G:G,'reasons for reduction division'!B43,'reductions data'!A:A,$D$25)</f>
        <v>0</v>
      </c>
      <c r="E43" s="74">
        <f>COUNTIFS('reductions data'!G:G,'reasons for reduction division'!B43,'reductions data'!A:A,$E$25)</f>
        <v>0</v>
      </c>
      <c r="F43" s="74">
        <f>COUNTIFS('reductions data'!G:G,'reasons for reduction division'!B43,'reductions data'!A:A,$F$25)</f>
        <v>0</v>
      </c>
      <c r="G43" s="74">
        <f>COUNTIFS('reductions data'!G:G,'reasons for reduction division'!B43,'reductions data'!A:A,$G$25)</f>
        <v>0</v>
      </c>
      <c r="H43" s="74">
        <f>COUNTIFS('reductions data'!G:G,'reasons for reduction division'!B43,'reductions data'!A:A,$H$25)</f>
        <v>0</v>
      </c>
      <c r="I43" s="74">
        <f>COUNTIFS('reductions data'!G:G,'reasons for reduction division'!B43,'reductions data'!A:A,$I$25)</f>
        <v>0</v>
      </c>
      <c r="J43" s="74">
        <f>COUNTIFS('reductions data'!G:G,'reasons for reduction division'!B43,'reductions data'!A:A,$J$25)</f>
        <v>0</v>
      </c>
      <c r="K43" s="74">
        <f>COUNTIFS('reductions data'!G:G,'reasons for reduction division'!B43,'reductions data'!A:A,$K$25)</f>
        <v>0</v>
      </c>
      <c r="L43" s="74">
        <f>COUNTIFS('reductions data'!G:G,'reasons for reduction division'!B43,'reductions data'!A:A,$L$25)</f>
        <v>0</v>
      </c>
      <c r="M43" s="74">
        <f>COUNTIFS('reductions data'!G:G,'reasons for reduction division'!B43,'reductions data'!A:A,$M$25)</f>
        <v>0</v>
      </c>
      <c r="N43" s="74">
        <f>COUNTIFS('reductions data'!G:G,'reasons for reduction division'!B43,'reductions data'!A:A,$N$25)</f>
        <v>0</v>
      </c>
      <c r="O43" s="74">
        <f>COUNTIFS('reductions data'!$G:$G,'reasons for reduction division'!$B43,'reductions data'!$A:$A,O$25)</f>
        <v>0</v>
      </c>
      <c r="P43" s="74">
        <f>COUNTIFS('reductions data'!$G:$G,'reasons for reduction division'!$B43,'reductions data'!$A:$A,P$25)</f>
        <v>0</v>
      </c>
      <c r="Q43" s="74">
        <f>COUNTIFS('reductions data'!$G:$G,'reasons for reduction division'!$B43,'reductions data'!$A:$A,Q$25)</f>
        <v>0</v>
      </c>
      <c r="R43" s="118">
        <f>COUNTIF('reductions data'!G:G,'reasons for reduction division'!B43)</f>
        <v>0</v>
      </c>
    </row>
    <row r="44" spans="2:18" x14ac:dyDescent="0.15">
      <c r="B44" s="126" t="s">
        <v>1122</v>
      </c>
      <c r="C44" s="74">
        <f>COUNTIFS('reductions data'!G:G,'reasons for reduction division'!B44,'reductions data'!A:A,$C$25)</f>
        <v>0</v>
      </c>
      <c r="D44" s="74">
        <f>COUNTIFS('reductions data'!G:G,'reasons for reduction division'!B44,'reductions data'!A:A,$D$25)</f>
        <v>0</v>
      </c>
      <c r="E44" s="74">
        <f>COUNTIFS('reductions data'!G:G,'reasons for reduction division'!B44,'reductions data'!A:A,$E$25)</f>
        <v>0</v>
      </c>
      <c r="F44" s="74">
        <f>COUNTIFS('reductions data'!G:G,'reasons for reduction division'!B44,'reductions data'!A:A,$F$25)</f>
        <v>0</v>
      </c>
      <c r="G44" s="74">
        <f>COUNTIFS('reductions data'!G:G,'reasons for reduction division'!B44,'reductions data'!A:A,$G$25)</f>
        <v>0</v>
      </c>
      <c r="H44" s="74">
        <f>COUNTIFS('reductions data'!G:G,'reasons for reduction division'!B44,'reductions data'!A:A,$H$25)</f>
        <v>0</v>
      </c>
      <c r="I44" s="74">
        <f>COUNTIFS('reductions data'!G:G,'reasons for reduction division'!B44,'reductions data'!A:A,$I$25)</f>
        <v>0</v>
      </c>
      <c r="J44" s="74">
        <f>COUNTIFS('reductions data'!G:G,'reasons for reduction division'!B44,'reductions data'!A:A,$J$25)</f>
        <v>0</v>
      </c>
      <c r="K44" s="74">
        <f>COUNTIFS('reductions data'!G:G,'reasons for reduction division'!B44,'reductions data'!A:A,$K$25)</f>
        <v>0</v>
      </c>
      <c r="L44" s="74">
        <f>COUNTIFS('reductions data'!G:G,'reasons for reduction division'!B44,'reductions data'!A:A,$L$25)</f>
        <v>0</v>
      </c>
      <c r="M44" s="74">
        <f>COUNTIFS('reductions data'!G:G,'reasons for reduction division'!B44,'reductions data'!A:A,$M$25)</f>
        <v>0</v>
      </c>
      <c r="N44" s="74">
        <f>COUNTIFS('reductions data'!G:G,'reasons for reduction division'!B44,'reductions data'!A:A,$N$25)</f>
        <v>0</v>
      </c>
      <c r="O44" s="74">
        <f>COUNTIFS('reductions data'!$G:$G,'reasons for reduction division'!$B44,'reductions data'!$A:$A,O$25)</f>
        <v>0</v>
      </c>
      <c r="P44" s="74">
        <f>COUNTIFS('reductions data'!$G:$G,'reasons for reduction division'!$B44,'reductions data'!$A:$A,P$25)</f>
        <v>0</v>
      </c>
      <c r="Q44" s="74">
        <f>COUNTIFS('reductions data'!$G:$G,'reasons for reduction division'!$B44,'reductions data'!$A:$A,Q$25)</f>
        <v>0</v>
      </c>
      <c r="R44" s="118">
        <f>COUNTIF('reductions data'!G:G,'reasons for reduction division'!B44)</f>
        <v>0</v>
      </c>
    </row>
    <row r="45" spans="2:18" x14ac:dyDescent="0.15">
      <c r="B45" s="126" t="s">
        <v>1093</v>
      </c>
      <c r="C45" s="74">
        <f>COUNTIFS('reductions data'!G:G,'reasons for reduction division'!B45,'reductions data'!A:A,$C$25)</f>
        <v>0</v>
      </c>
      <c r="D45" s="74">
        <f>COUNTIFS('reductions data'!G:G,'reasons for reduction division'!B45,'reductions data'!A:A,$D$25)</f>
        <v>0</v>
      </c>
      <c r="E45" s="74">
        <f>COUNTIFS('reductions data'!G:G,'reasons for reduction division'!B45,'reductions data'!A:A,$E$25)</f>
        <v>0</v>
      </c>
      <c r="F45" s="74">
        <f>COUNTIFS('reductions data'!G:G,'reasons for reduction division'!B45,'reductions data'!A:A,$F$25)</f>
        <v>0</v>
      </c>
      <c r="G45" s="74">
        <f>COUNTIFS('reductions data'!G:G,'reasons for reduction division'!B45,'reductions data'!A:A,$G$25)</f>
        <v>0</v>
      </c>
      <c r="H45" s="74">
        <f>COUNTIFS('reductions data'!G:G,'reasons for reduction division'!B45,'reductions data'!A:A,$H$25)</f>
        <v>0</v>
      </c>
      <c r="I45" s="74">
        <f>COUNTIFS('reductions data'!G:G,'reasons for reduction division'!B45,'reductions data'!A:A,$I$25)</f>
        <v>0</v>
      </c>
      <c r="J45" s="74">
        <f>COUNTIFS('reductions data'!G:G,'reasons for reduction division'!B45,'reductions data'!A:A,$J$25)</f>
        <v>0</v>
      </c>
      <c r="K45" s="74">
        <f>COUNTIFS('reductions data'!G:G,'reasons for reduction division'!B45,'reductions data'!A:A,$K$25)</f>
        <v>0</v>
      </c>
      <c r="L45" s="74">
        <f>COUNTIFS('reductions data'!G:G,'reasons for reduction division'!B45,'reductions data'!A:A,$L$25)</f>
        <v>0</v>
      </c>
      <c r="M45" s="74">
        <f>COUNTIFS('reductions data'!G:G,'reasons for reduction division'!B45,'reductions data'!A:A,$M$25)</f>
        <v>0</v>
      </c>
      <c r="N45" s="74">
        <f>COUNTIFS('reductions data'!G:G,'reasons for reduction division'!B45,'reductions data'!A:A,$N$25)</f>
        <v>0</v>
      </c>
      <c r="O45" s="74">
        <f>COUNTIFS('reductions data'!$G:$G,'reasons for reduction division'!$B45,'reductions data'!$A:$A,O$25)</f>
        <v>0</v>
      </c>
      <c r="P45" s="74">
        <f>COUNTIFS('reductions data'!$G:$G,'reasons for reduction division'!$B45,'reductions data'!$A:$A,P$25)</f>
        <v>0</v>
      </c>
      <c r="Q45" s="74">
        <f>COUNTIFS('reductions data'!$G:$G,'reasons for reduction division'!$B45,'reductions data'!$A:$A,Q$25)</f>
        <v>0</v>
      </c>
      <c r="R45" s="118">
        <f>COUNTIF('reductions data'!G:G,'reasons for reduction division'!B45)</f>
        <v>0</v>
      </c>
    </row>
    <row r="46" spans="2:18" x14ac:dyDescent="0.15">
      <c r="B46" s="126" t="s">
        <v>1123</v>
      </c>
      <c r="C46" s="74">
        <f>COUNTIFS('reductions data'!G:G,'reasons for reduction division'!B46,'reductions data'!A:A,$C$25)</f>
        <v>0</v>
      </c>
      <c r="D46" s="74">
        <f>COUNTIFS('reductions data'!G:G,'reasons for reduction division'!B46,'reductions data'!A:A,$D$25)</f>
        <v>0</v>
      </c>
      <c r="E46" s="74">
        <f>COUNTIFS('reductions data'!G:G,'reasons for reduction division'!B46,'reductions data'!A:A,$E$25)</f>
        <v>0</v>
      </c>
      <c r="F46" s="74">
        <f>COUNTIFS('reductions data'!G:G,'reasons for reduction division'!B46,'reductions data'!A:A,$F$25)</f>
        <v>0</v>
      </c>
      <c r="G46" s="74">
        <f>COUNTIFS('reductions data'!G:G,'reasons for reduction division'!B46,'reductions data'!A:A,$G$25)</f>
        <v>0</v>
      </c>
      <c r="H46" s="74">
        <f>COUNTIFS('reductions data'!G:G,'reasons for reduction division'!B46,'reductions data'!A:A,$H$25)</f>
        <v>0</v>
      </c>
      <c r="I46" s="74">
        <f>COUNTIFS('reductions data'!G:G,'reasons for reduction division'!B46,'reductions data'!A:A,$I$25)</f>
        <v>0</v>
      </c>
      <c r="J46" s="74">
        <f>COUNTIFS('reductions data'!G:G,'reasons for reduction division'!B46,'reductions data'!A:A,$J$25)</f>
        <v>0</v>
      </c>
      <c r="K46" s="74">
        <f>COUNTIFS('reductions data'!G:G,'reasons for reduction division'!B46,'reductions data'!A:A,$K$25)</f>
        <v>0</v>
      </c>
      <c r="L46" s="74">
        <f>COUNTIFS('reductions data'!G:G,'reasons for reduction division'!B46,'reductions data'!A:A,$L$25)</f>
        <v>0</v>
      </c>
      <c r="M46" s="74">
        <f>COUNTIFS('reductions data'!G:G,'reasons for reduction division'!B46,'reductions data'!A:A,$M$25)</f>
        <v>0</v>
      </c>
      <c r="N46" s="74">
        <f>COUNTIFS('reductions data'!G:G,'reasons for reduction division'!B46,'reductions data'!A:A,$N$25)</f>
        <v>0</v>
      </c>
      <c r="O46" s="74">
        <f>COUNTIFS('reductions data'!$G:$G,'reasons for reduction division'!$B46,'reductions data'!$A:$A,O$25)</f>
        <v>0</v>
      </c>
      <c r="P46" s="74">
        <f>COUNTIFS('reductions data'!$G:$G,'reasons for reduction division'!$B46,'reductions data'!$A:$A,P$25)</f>
        <v>0</v>
      </c>
      <c r="Q46" s="74">
        <f>COUNTIFS('reductions data'!$G:$G,'reasons for reduction division'!$B46,'reductions data'!$A:$A,Q$25)</f>
        <v>0</v>
      </c>
      <c r="R46" s="118">
        <f>COUNTIF('reductions data'!G:G,'reasons for reduction division'!B46)</f>
        <v>0</v>
      </c>
    </row>
    <row r="47" spans="2:18" x14ac:dyDescent="0.15">
      <c r="B47" s="126" t="s">
        <v>1124</v>
      </c>
      <c r="C47" s="74">
        <f>COUNTIFS('reductions data'!G:G,'reasons for reduction division'!B47,'reductions data'!A:A,$C$25)</f>
        <v>0</v>
      </c>
      <c r="D47" s="74">
        <f>COUNTIFS('reductions data'!G:G,'reasons for reduction division'!B47,'reductions data'!A:A,$D$25)</f>
        <v>0</v>
      </c>
      <c r="E47" s="74">
        <f>COUNTIFS('reductions data'!G:G,'reasons for reduction division'!B47,'reductions data'!A:A,$E$25)</f>
        <v>0</v>
      </c>
      <c r="F47" s="74">
        <f>COUNTIFS('reductions data'!G:G,'reasons for reduction division'!B47,'reductions data'!A:A,$F$25)</f>
        <v>0</v>
      </c>
      <c r="G47" s="74">
        <f>COUNTIFS('reductions data'!G:G,'reasons for reduction division'!B47,'reductions data'!A:A,$G$25)</f>
        <v>0</v>
      </c>
      <c r="H47" s="74">
        <f>COUNTIFS('reductions data'!G:G,'reasons for reduction division'!B47,'reductions data'!A:A,$H$25)</f>
        <v>0</v>
      </c>
      <c r="I47" s="74">
        <f>COUNTIFS('reductions data'!G:G,'reasons for reduction division'!B47,'reductions data'!A:A,$I$25)</f>
        <v>0</v>
      </c>
      <c r="J47" s="74">
        <f>COUNTIFS('reductions data'!G:G,'reasons for reduction division'!B47,'reductions data'!A:A,$J$25)</f>
        <v>0</v>
      </c>
      <c r="K47" s="74">
        <f>COUNTIFS('reductions data'!G:G,'reasons for reduction division'!B47,'reductions data'!A:A,$K$25)</f>
        <v>0</v>
      </c>
      <c r="L47" s="74">
        <f>COUNTIFS('reductions data'!G:G,'reasons for reduction division'!B47,'reductions data'!A:A,$L$25)</f>
        <v>0</v>
      </c>
      <c r="M47" s="74">
        <f>COUNTIFS('reductions data'!G:G,'reasons for reduction division'!B47,'reductions data'!A:A,$M$25)</f>
        <v>0</v>
      </c>
      <c r="N47" s="74">
        <f>COUNTIFS('reductions data'!G:G,'reasons for reduction division'!B47,'reductions data'!A:A,$N$25)</f>
        <v>0</v>
      </c>
      <c r="O47" s="74">
        <f>COUNTIFS('reductions data'!$G:$G,'reasons for reduction division'!$B47,'reductions data'!$A:$A,O$25)</f>
        <v>0</v>
      </c>
      <c r="P47" s="74">
        <f>COUNTIFS('reductions data'!$G:$G,'reasons for reduction division'!$B47,'reductions data'!$A:$A,P$25)</f>
        <v>0</v>
      </c>
      <c r="Q47" s="74">
        <f>COUNTIFS('reductions data'!$G:$G,'reasons for reduction division'!$B47,'reductions data'!$A:$A,Q$25)</f>
        <v>0</v>
      </c>
      <c r="R47" s="118">
        <f>COUNTIF('reductions data'!G:G,'reasons for reduction division'!B47)</f>
        <v>0</v>
      </c>
    </row>
    <row r="48" spans="2:18" x14ac:dyDescent="0.15">
      <c r="B48" s="126" t="s">
        <v>1088</v>
      </c>
      <c r="C48" s="74">
        <f>COUNTIFS('reductions data'!G:G,'reasons for reduction division'!B48,'reductions data'!A:A,$C$25)</f>
        <v>0</v>
      </c>
      <c r="D48" s="74">
        <f>COUNTIFS('reductions data'!G:G,'reasons for reduction division'!B48,'reductions data'!A:A,$D$25)</f>
        <v>0</v>
      </c>
      <c r="E48" s="74">
        <f>COUNTIFS('reductions data'!G:G,'reasons for reduction division'!B48,'reductions data'!A:A,$E$25)</f>
        <v>0</v>
      </c>
      <c r="F48" s="74">
        <f>COUNTIFS('reductions data'!G:G,'reasons for reduction division'!B48,'reductions data'!A:A,$F$25)</f>
        <v>0</v>
      </c>
      <c r="G48" s="74">
        <f>COUNTIFS('reductions data'!G:G,'reasons for reduction division'!B48,'reductions data'!A:A,$G$25)</f>
        <v>0</v>
      </c>
      <c r="H48" s="74">
        <f>COUNTIFS('reductions data'!G:G,'reasons for reduction division'!B48,'reductions data'!A:A,$H$25)</f>
        <v>0</v>
      </c>
      <c r="I48" s="74">
        <f>COUNTIFS('reductions data'!G:G,'reasons for reduction division'!B48,'reductions data'!A:A,$I$25)</f>
        <v>0</v>
      </c>
      <c r="J48" s="74">
        <f>COUNTIFS('reductions data'!G:G,'reasons for reduction division'!B48,'reductions data'!A:A,$J$25)</f>
        <v>0</v>
      </c>
      <c r="K48" s="74">
        <f>COUNTIFS('reductions data'!G:G,'reasons for reduction division'!B48,'reductions data'!A:A,$K$25)</f>
        <v>0</v>
      </c>
      <c r="L48" s="74">
        <f>COUNTIFS('reductions data'!G:G,'reasons for reduction division'!B48,'reductions data'!A:A,$L$25)</f>
        <v>0</v>
      </c>
      <c r="M48" s="74">
        <f>COUNTIFS('reductions data'!G:G,'reasons for reduction division'!B48,'reductions data'!A:A,$M$25)</f>
        <v>0</v>
      </c>
      <c r="N48" s="74">
        <f>COUNTIFS('reductions data'!G:G,'reasons for reduction division'!B48,'reductions data'!A:A,$N$25)</f>
        <v>0</v>
      </c>
      <c r="O48" s="74">
        <f>COUNTIFS('reductions data'!$G:$G,'reasons for reduction division'!$B48,'reductions data'!$A:$A,O$25)</f>
        <v>0</v>
      </c>
      <c r="P48" s="74">
        <f>COUNTIFS('reductions data'!$G:$G,'reasons for reduction division'!$B48,'reductions data'!$A:$A,P$25)</f>
        <v>0</v>
      </c>
      <c r="Q48" s="74">
        <f>COUNTIFS('reductions data'!$G:$G,'reasons for reduction division'!$B48,'reductions data'!$A:$A,Q$25)</f>
        <v>0</v>
      </c>
      <c r="R48" s="118">
        <f>COUNTIF('reductions data'!G:G,'reasons for reduction division'!B48)</f>
        <v>0</v>
      </c>
    </row>
    <row r="49" spans="2:18" x14ac:dyDescent="0.15">
      <c r="B49" s="216" t="s">
        <v>1188</v>
      </c>
      <c r="C49" s="74">
        <f>COUNTIFS('reductions data'!G:G,'reasons for reduction division'!B49,'reductions data'!A:A,$C$25)</f>
        <v>0</v>
      </c>
      <c r="D49" s="74">
        <f>COUNTIFS('reductions data'!G:G,'reasons for reduction division'!B49,'reductions data'!A:A,$D$25)</f>
        <v>0</v>
      </c>
      <c r="E49" s="74">
        <f>COUNTIFS('reductions data'!G:G,'reasons for reduction division'!B49,'reductions data'!A:A,$E$25)</f>
        <v>0</v>
      </c>
      <c r="F49" s="74">
        <f>COUNTIFS('reductions data'!G:G,'reasons for reduction division'!B49,'reductions data'!A:A,$F$25)</f>
        <v>0</v>
      </c>
      <c r="G49" s="74">
        <f>COUNTIFS('reductions data'!G:G,'reasons for reduction division'!B49,'reductions data'!A:A,$G$25)</f>
        <v>0</v>
      </c>
      <c r="H49" s="74">
        <f>COUNTIFS('reductions data'!G:G,'reasons for reduction division'!B49,'reductions data'!A:A,$H$25)</f>
        <v>0</v>
      </c>
      <c r="I49" s="74">
        <f>COUNTIFS('reductions data'!G:G,'reasons for reduction division'!B49,'reductions data'!A:A,$I$25)</f>
        <v>0</v>
      </c>
      <c r="J49" s="74">
        <f>COUNTIFS('reductions data'!G:G,'reasons for reduction division'!B49,'reductions data'!A:A,$J$25)</f>
        <v>0</v>
      </c>
      <c r="K49" s="74">
        <f>COUNTIFS('reductions data'!G:G,'reasons for reduction division'!B49,'reductions data'!A:A,$K$25)</f>
        <v>0</v>
      </c>
      <c r="L49" s="74">
        <f>COUNTIFS('reductions data'!G:G,'reasons for reduction division'!B49,'reductions data'!A:A,$L$25)</f>
        <v>0</v>
      </c>
      <c r="M49" s="74">
        <f>COUNTIFS('reductions data'!G:G,'reasons for reduction division'!B49,'reductions data'!A:A,$M$25)</f>
        <v>0</v>
      </c>
      <c r="N49" s="74">
        <f>COUNTIFS('reductions data'!G:G,'reasons for reduction division'!B49,'reductions data'!A:A,$N$25)</f>
        <v>0</v>
      </c>
      <c r="O49" s="74">
        <f>COUNTIFS('reductions data'!$G:$G,'reasons for reduction division'!$B49,'reductions data'!$A:$A,O$25)</f>
        <v>0</v>
      </c>
      <c r="P49" s="74">
        <f>COUNTIFS('reductions data'!$G:$G,'reasons for reduction division'!$B49,'reductions data'!$A:$A,P$25)</f>
        <v>0</v>
      </c>
      <c r="Q49" s="74">
        <f>COUNTIFS('reductions data'!$G:$G,'reasons for reduction division'!$B49,'reductions data'!$A:$A,Q$25)</f>
        <v>0</v>
      </c>
      <c r="R49" s="118">
        <f>COUNTIF('reductions data'!G:G,'reasons for reduction division'!B49)</f>
        <v>0</v>
      </c>
    </row>
    <row r="50" spans="2:18" x14ac:dyDescent="0.15">
      <c r="B50" s="126" t="s">
        <v>1107</v>
      </c>
      <c r="C50" s="74">
        <f>COUNTIFS('reductions data'!G:G,'reasons for reduction division'!B50,'reductions data'!A:A,$C$25)</f>
        <v>0</v>
      </c>
      <c r="D50" s="74">
        <f>COUNTIFS('reductions data'!G:G,'reasons for reduction division'!B50,'reductions data'!A:A,$D$25)</f>
        <v>0</v>
      </c>
      <c r="E50" s="74">
        <f>COUNTIFS('reductions data'!G:G,'reasons for reduction division'!B50,'reductions data'!A:A,$E$25)</f>
        <v>0</v>
      </c>
      <c r="F50" s="74">
        <f>COUNTIFS('reductions data'!G:G,'reasons for reduction division'!B50,'reductions data'!A:A,$F$25)</f>
        <v>0</v>
      </c>
      <c r="G50" s="74">
        <f>COUNTIFS('reductions data'!G:G,'reasons for reduction division'!B50,'reductions data'!A:A,$G$25)</f>
        <v>0</v>
      </c>
      <c r="H50" s="74">
        <f>COUNTIFS('reductions data'!G:G,'reasons for reduction division'!B50,'reductions data'!A:A,$H$25)</f>
        <v>0</v>
      </c>
      <c r="I50" s="74">
        <f>COUNTIFS('reductions data'!G:G,'reasons for reduction division'!B50,'reductions data'!A:A,$I$25)</f>
        <v>0</v>
      </c>
      <c r="J50" s="74">
        <f>COUNTIFS('reductions data'!G:G,'reasons for reduction division'!B50,'reductions data'!A:A,$J$25)</f>
        <v>0</v>
      </c>
      <c r="K50" s="74">
        <f>COUNTIFS('reductions data'!G:G,'reasons for reduction division'!B50,'reductions data'!A:A,$K$25)</f>
        <v>0</v>
      </c>
      <c r="L50" s="74">
        <f>COUNTIFS('reductions data'!G:G,'reasons for reduction division'!B50,'reductions data'!A:A,$L$25)</f>
        <v>0</v>
      </c>
      <c r="M50" s="74">
        <f>COUNTIFS('reductions data'!G:G,'reasons for reduction division'!B50,'reductions data'!A:A,$M$25)</f>
        <v>0</v>
      </c>
      <c r="N50" s="74">
        <f>COUNTIFS('reductions data'!G:G,'reasons for reduction division'!B50,'reductions data'!A:A,$N$25)</f>
        <v>0</v>
      </c>
      <c r="O50" s="74">
        <f>COUNTIFS('reductions data'!$G:$G,'reasons for reduction division'!$B50,'reductions data'!$A:$A,O$25)</f>
        <v>0</v>
      </c>
      <c r="P50" s="74">
        <f>COUNTIFS('reductions data'!$G:$G,'reasons for reduction division'!$B50,'reductions data'!$A:$A,P$25)</f>
        <v>0</v>
      </c>
      <c r="Q50" s="74">
        <f>COUNTIFS('reductions data'!$G:$G,'reasons for reduction division'!$B50,'reductions data'!$A:$A,Q$25)</f>
        <v>0</v>
      </c>
      <c r="R50" s="118">
        <f>COUNTIF('reductions data'!G:G,'reasons for reduction division'!B50)</f>
        <v>0</v>
      </c>
    </row>
    <row r="51" spans="2:18" x14ac:dyDescent="0.15">
      <c r="B51" s="126" t="s">
        <v>1099</v>
      </c>
      <c r="C51" s="74">
        <f>COUNTIFS('reductions data'!G:G,'reasons for reduction division'!B51,'reductions data'!A:A,$C$25)</f>
        <v>0</v>
      </c>
      <c r="D51" s="74">
        <f>COUNTIFS('reductions data'!G:G,'reasons for reduction division'!B51,'reductions data'!A:A,$D$25)</f>
        <v>0</v>
      </c>
      <c r="E51" s="74">
        <f>COUNTIFS('reductions data'!G:G,'reasons for reduction division'!B51,'reductions data'!A:A,$E$25)</f>
        <v>0</v>
      </c>
      <c r="F51" s="74">
        <f>COUNTIFS('reductions data'!G:G,'reasons for reduction division'!B51,'reductions data'!A:A,$F$25)</f>
        <v>0</v>
      </c>
      <c r="G51" s="74">
        <f>COUNTIFS('reductions data'!G:G,'reasons for reduction division'!B51,'reductions data'!A:A,$G$25)</f>
        <v>0</v>
      </c>
      <c r="H51" s="74">
        <f>COUNTIFS('reductions data'!G:G,'reasons for reduction division'!B51,'reductions data'!A:A,$H$25)</f>
        <v>0</v>
      </c>
      <c r="I51" s="74">
        <f>COUNTIFS('reductions data'!G:G,'reasons for reduction division'!B51,'reductions data'!A:A,$I$25)</f>
        <v>0</v>
      </c>
      <c r="J51" s="74">
        <f>COUNTIFS('reductions data'!G:G,'reasons for reduction division'!B51,'reductions data'!A:A,$J$25)</f>
        <v>0</v>
      </c>
      <c r="K51" s="74">
        <f>COUNTIFS('reductions data'!G:G,'reasons for reduction division'!B51,'reductions data'!A:A,$K$25)</f>
        <v>0</v>
      </c>
      <c r="L51" s="74">
        <f>COUNTIFS('reductions data'!G:G,'reasons for reduction division'!B51,'reductions data'!A:A,$L$25)</f>
        <v>0</v>
      </c>
      <c r="M51" s="74">
        <f>COUNTIFS('reductions data'!G:G,'reasons for reduction division'!B51,'reductions data'!A:A,$M$25)</f>
        <v>0</v>
      </c>
      <c r="N51" s="74">
        <f>COUNTIFS('reductions data'!G:G,'reasons for reduction division'!B51,'reductions data'!A:A,$N$25)</f>
        <v>0</v>
      </c>
      <c r="O51" s="74">
        <f>COUNTIFS('reductions data'!$G:$G,'reasons for reduction division'!$B51,'reductions data'!$A:$A,O$25)</f>
        <v>0</v>
      </c>
      <c r="P51" s="74">
        <f>COUNTIFS('reductions data'!$G:$G,'reasons for reduction division'!$B51,'reductions data'!$A:$A,P$25)</f>
        <v>0</v>
      </c>
      <c r="Q51" s="74">
        <f>COUNTIFS('reductions data'!$G:$G,'reasons for reduction division'!$B51,'reductions data'!$A:$A,Q$25)</f>
        <v>0</v>
      </c>
      <c r="R51" s="118">
        <f>COUNTIF('reductions data'!G:G,'reasons for reduction division'!B51)</f>
        <v>0</v>
      </c>
    </row>
    <row r="52" spans="2:18" x14ac:dyDescent="0.15">
      <c r="B52" s="126" t="s">
        <v>1082</v>
      </c>
      <c r="C52" s="74">
        <f>COUNTIFS('reductions data'!G:G,'reasons for reduction division'!B52,'reductions data'!A:A,$C$25)</f>
        <v>0</v>
      </c>
      <c r="D52" s="74">
        <f>COUNTIFS('reductions data'!G:G,'reasons for reduction division'!B52,'reductions data'!A:A,$D$25)</f>
        <v>0</v>
      </c>
      <c r="E52" s="74">
        <f>COUNTIFS('reductions data'!G:G,'reasons for reduction division'!B52,'reductions data'!A:A,$E$25)</f>
        <v>0</v>
      </c>
      <c r="F52" s="74">
        <f>COUNTIFS('reductions data'!G:G,'reasons for reduction division'!B52,'reductions data'!A:A,$F$25)</f>
        <v>0</v>
      </c>
      <c r="G52" s="74">
        <f>COUNTIFS('reductions data'!G:G,'reasons for reduction division'!B52,'reductions data'!A:A,$G$25)</f>
        <v>0</v>
      </c>
      <c r="H52" s="74">
        <f>COUNTIFS('reductions data'!G:G,'reasons for reduction division'!B52,'reductions data'!A:A,$H$25)</f>
        <v>0</v>
      </c>
      <c r="I52" s="74">
        <f>COUNTIFS('reductions data'!G:G,'reasons for reduction division'!B52,'reductions data'!A:A,$I$25)</f>
        <v>0</v>
      </c>
      <c r="J52" s="74">
        <f>COUNTIFS('reductions data'!G:G,'reasons for reduction division'!B52,'reductions data'!A:A,$J$25)</f>
        <v>0</v>
      </c>
      <c r="K52" s="74">
        <f>COUNTIFS('reductions data'!G:G,'reasons for reduction division'!B52,'reductions data'!A:A,$K$25)</f>
        <v>0</v>
      </c>
      <c r="L52" s="74">
        <f>COUNTIFS('reductions data'!G:G,'reasons for reduction division'!B52,'reductions data'!A:A,$L$25)</f>
        <v>0</v>
      </c>
      <c r="M52" s="74">
        <f>COUNTIFS('reductions data'!G:G,'reasons for reduction division'!B52,'reductions data'!A:A,$M$25)</f>
        <v>0</v>
      </c>
      <c r="N52" s="74">
        <f>COUNTIFS('reductions data'!G:G,'reasons for reduction division'!B52,'reductions data'!A:A,$N$25)</f>
        <v>0</v>
      </c>
      <c r="O52" s="74">
        <f>COUNTIFS('reductions data'!$G:$G,'reasons for reduction division'!$B52,'reductions data'!$A:$A,O$25)</f>
        <v>0</v>
      </c>
      <c r="P52" s="74">
        <f>COUNTIFS('reductions data'!$G:$G,'reasons for reduction division'!$B52,'reductions data'!$A:$A,P$25)</f>
        <v>0</v>
      </c>
      <c r="Q52" s="74">
        <f>COUNTIFS('reductions data'!$G:$G,'reasons for reduction division'!$B52,'reductions data'!$A:$A,Q$25)</f>
        <v>0</v>
      </c>
      <c r="R52" s="118">
        <f>COUNTIF('reductions data'!G:G,'reasons for reduction division'!B52)</f>
        <v>0</v>
      </c>
    </row>
    <row r="53" spans="2:18" x14ac:dyDescent="0.15">
      <c r="B53" s="126" t="s">
        <v>1090</v>
      </c>
      <c r="C53" s="74">
        <f>COUNTIFS('reductions data'!G:G,'reasons for reduction division'!B53,'reductions data'!A:A,$C$25)</f>
        <v>0</v>
      </c>
      <c r="D53" s="74">
        <f>COUNTIFS('reductions data'!G:G,'reasons for reduction division'!B53,'reductions data'!A:A,$D$25)</f>
        <v>0</v>
      </c>
      <c r="E53" s="74">
        <f>COUNTIFS('reductions data'!G:G,'reasons for reduction division'!B53,'reductions data'!A:A,$E$25)</f>
        <v>0</v>
      </c>
      <c r="F53" s="74">
        <f>COUNTIFS('reductions data'!G:G,'reasons for reduction division'!B53,'reductions data'!A:A,$F$25)</f>
        <v>0</v>
      </c>
      <c r="G53" s="74">
        <f>COUNTIFS('reductions data'!G:G,'reasons for reduction division'!B53,'reductions data'!A:A,$G$25)</f>
        <v>0</v>
      </c>
      <c r="H53" s="74">
        <f>COUNTIFS('reductions data'!G:G,'reasons for reduction division'!B53,'reductions data'!A:A,$H$25)</f>
        <v>0</v>
      </c>
      <c r="I53" s="74">
        <f>COUNTIFS('reductions data'!G:G,'reasons for reduction division'!B53,'reductions data'!A:A,$I$25)</f>
        <v>0</v>
      </c>
      <c r="J53" s="74">
        <f>COUNTIFS('reductions data'!G:G,'reasons for reduction division'!B53,'reductions data'!A:A,$J$25)</f>
        <v>0</v>
      </c>
      <c r="K53" s="74">
        <f>COUNTIFS('reductions data'!G:G,'reasons for reduction division'!B53,'reductions data'!A:A,$K$25)</f>
        <v>0</v>
      </c>
      <c r="L53" s="74">
        <f>COUNTIFS('reductions data'!G:G,'reasons for reduction division'!B53,'reductions data'!A:A,$L$25)</f>
        <v>0</v>
      </c>
      <c r="M53" s="74">
        <f>COUNTIFS('reductions data'!G:G,'reasons for reduction division'!B53,'reductions data'!A:A,$M$25)</f>
        <v>0</v>
      </c>
      <c r="N53" s="74">
        <f>COUNTIFS('reductions data'!G:G,'reasons for reduction division'!B53,'reductions data'!A:A,$N$25)</f>
        <v>0</v>
      </c>
      <c r="O53" s="74">
        <f>COUNTIFS('reductions data'!$G:$G,'reasons for reduction division'!$B53,'reductions data'!$A:$A,O$25)</f>
        <v>0</v>
      </c>
      <c r="P53" s="74">
        <f>COUNTIFS('reductions data'!$G:$G,'reasons for reduction division'!$B53,'reductions data'!$A:$A,P$25)</f>
        <v>0</v>
      </c>
      <c r="Q53" s="74">
        <f>COUNTIFS('reductions data'!$G:$G,'reasons for reduction division'!$B53,'reductions data'!$A:$A,Q$25)</f>
        <v>0</v>
      </c>
      <c r="R53" s="118">
        <f>COUNTIF('reductions data'!G:G,'reasons for reduction division'!B53)</f>
        <v>0</v>
      </c>
    </row>
    <row r="54" spans="2:18" x14ac:dyDescent="0.15">
      <c r="B54" s="126" t="s">
        <v>1105</v>
      </c>
      <c r="C54" s="74">
        <f>COUNTIFS('reductions data'!G:G,'reasons for reduction division'!B54,'reductions data'!A:A,$C$25)</f>
        <v>0</v>
      </c>
      <c r="D54" s="74">
        <f>COUNTIFS('reductions data'!G:G,'reasons for reduction division'!B54,'reductions data'!A:A,$D$25)</f>
        <v>0</v>
      </c>
      <c r="E54" s="74">
        <f>COUNTIFS('reductions data'!G:G,'reasons for reduction division'!B54,'reductions data'!A:A,$E$25)</f>
        <v>0</v>
      </c>
      <c r="F54" s="74">
        <f>COUNTIFS('reductions data'!G:G,'reasons for reduction division'!B54,'reductions data'!A:A,$F$25)</f>
        <v>0</v>
      </c>
      <c r="G54" s="74">
        <f>COUNTIFS('reductions data'!G:G,'reasons for reduction division'!B54,'reductions data'!A:A,$G$25)</f>
        <v>0</v>
      </c>
      <c r="H54" s="74">
        <f>COUNTIFS('reductions data'!G:G,'reasons for reduction division'!B54,'reductions data'!A:A,$H$25)</f>
        <v>0</v>
      </c>
      <c r="I54" s="74">
        <f>COUNTIFS('reductions data'!G:G,'reasons for reduction division'!B54,'reductions data'!A:A,$I$25)</f>
        <v>0</v>
      </c>
      <c r="J54" s="74">
        <f>COUNTIFS('reductions data'!G:G,'reasons for reduction division'!B54,'reductions data'!A:A,$J$25)</f>
        <v>0</v>
      </c>
      <c r="K54" s="74">
        <f>COUNTIFS('reductions data'!G:G,'reasons for reduction division'!B54,'reductions data'!A:A,$K$25)</f>
        <v>0</v>
      </c>
      <c r="L54" s="74">
        <f>COUNTIFS('reductions data'!G:G,'reasons for reduction division'!B54,'reductions data'!A:A,$L$25)</f>
        <v>0</v>
      </c>
      <c r="M54" s="74">
        <f>COUNTIFS('reductions data'!G:G,'reasons for reduction division'!B54,'reductions data'!A:A,$M$25)</f>
        <v>0</v>
      </c>
      <c r="N54" s="74">
        <f>COUNTIFS('reductions data'!G:G,'reasons for reduction division'!B54,'reductions data'!A:A,$N$25)</f>
        <v>0</v>
      </c>
      <c r="O54" s="74">
        <f>COUNTIFS('reductions data'!$G:$G,'reasons for reduction division'!$B54,'reductions data'!$A:$A,O$25)</f>
        <v>0</v>
      </c>
      <c r="P54" s="74">
        <f>COUNTIFS('reductions data'!$G:$G,'reasons for reduction division'!$B54,'reductions data'!$A:$A,P$25)</f>
        <v>0</v>
      </c>
      <c r="Q54" s="74">
        <f>COUNTIFS('reductions data'!$G:$G,'reasons for reduction division'!$B54,'reductions data'!$A:$A,Q$25)</f>
        <v>0</v>
      </c>
      <c r="R54" s="118">
        <f>COUNTIF('reductions data'!G:G,'reasons for reduction division'!B54)</f>
        <v>0</v>
      </c>
    </row>
    <row r="55" spans="2:18" x14ac:dyDescent="0.15">
      <c r="B55" s="126" t="s">
        <v>1087</v>
      </c>
      <c r="C55" s="74">
        <f>COUNTIFS('reductions data'!G:G,'reasons for reduction division'!B55,'reductions data'!A:A,$C$25)</f>
        <v>0</v>
      </c>
      <c r="D55" s="74">
        <f>COUNTIFS('reductions data'!G:G,'reasons for reduction division'!B55,'reductions data'!A:A,$D$25)</f>
        <v>0</v>
      </c>
      <c r="E55" s="74">
        <f>COUNTIFS('reductions data'!G:G,'reasons for reduction division'!B55,'reductions data'!A:A,$E$25)</f>
        <v>0</v>
      </c>
      <c r="F55" s="74">
        <f>COUNTIFS('reductions data'!G:G,'reasons for reduction division'!B55,'reductions data'!A:A,$F$25)</f>
        <v>0</v>
      </c>
      <c r="G55" s="74">
        <f>COUNTIFS('reductions data'!G:G,'reasons for reduction division'!B55,'reductions data'!A:A,$G$25)</f>
        <v>0</v>
      </c>
      <c r="H55" s="74">
        <f>COUNTIFS('reductions data'!G:G,'reasons for reduction division'!B55,'reductions data'!A:A,$H$25)</f>
        <v>0</v>
      </c>
      <c r="I55" s="74">
        <f>COUNTIFS('reductions data'!G:G,'reasons for reduction division'!B55,'reductions data'!A:A,$I$25)</f>
        <v>0</v>
      </c>
      <c r="J55" s="74">
        <f>COUNTIFS('reductions data'!G:G,'reasons for reduction division'!B55,'reductions data'!A:A,$J$25)</f>
        <v>0</v>
      </c>
      <c r="K55" s="74">
        <f>COUNTIFS('reductions data'!G:G,'reasons for reduction division'!B55,'reductions data'!A:A,$K$25)</f>
        <v>0</v>
      </c>
      <c r="L55" s="74">
        <f>COUNTIFS('reductions data'!G:G,'reasons for reduction division'!B55,'reductions data'!A:A,$L$25)</f>
        <v>0</v>
      </c>
      <c r="M55" s="74">
        <f>COUNTIFS('reductions data'!G:G,'reasons for reduction division'!B55,'reductions data'!A:A,$M$25)</f>
        <v>0</v>
      </c>
      <c r="N55" s="74">
        <f>COUNTIFS('reductions data'!G:G,'reasons for reduction division'!B55,'reductions data'!A:A,$N$25)</f>
        <v>0</v>
      </c>
      <c r="O55" s="74">
        <f>COUNTIFS('reductions data'!$G:$G,'reasons for reduction division'!$B55,'reductions data'!$A:$A,O$25)</f>
        <v>0</v>
      </c>
      <c r="P55" s="74">
        <f>COUNTIFS('reductions data'!$G:$G,'reasons for reduction division'!$B55,'reductions data'!$A:$A,P$25)</f>
        <v>0</v>
      </c>
      <c r="Q55" s="74">
        <f>COUNTIFS('reductions data'!$G:$G,'reasons for reduction division'!$B55,'reductions data'!$A:$A,Q$25)</f>
        <v>0</v>
      </c>
      <c r="R55" s="118">
        <f>COUNTIF('reductions data'!G:G,'reasons for reduction division'!B55)</f>
        <v>0</v>
      </c>
    </row>
    <row r="56" spans="2:18" x14ac:dyDescent="0.15">
      <c r="B56" s="126" t="s">
        <v>1080</v>
      </c>
      <c r="C56" s="74">
        <f>COUNTIFS('reductions data'!G:G,'reasons for reduction division'!B56,'reductions data'!A:A,$C$25)</f>
        <v>0</v>
      </c>
      <c r="D56" s="74">
        <f>COUNTIFS('reductions data'!G:G,'reasons for reduction division'!B56,'reductions data'!A:A,$D$25)</f>
        <v>0</v>
      </c>
      <c r="E56" s="74">
        <f>COUNTIFS('reductions data'!G:G,'reasons for reduction division'!B56,'reductions data'!A:A,$E$25)</f>
        <v>0</v>
      </c>
      <c r="F56" s="74">
        <f>COUNTIFS('reductions data'!G:G,'reasons for reduction division'!B56,'reductions data'!A:A,$F$25)</f>
        <v>0</v>
      </c>
      <c r="G56" s="74">
        <f>COUNTIFS('reductions data'!G:G,'reasons for reduction division'!B56,'reductions data'!A:A,$G$25)</f>
        <v>0</v>
      </c>
      <c r="H56" s="74">
        <f>COUNTIFS('reductions data'!G:G,'reasons for reduction division'!B56,'reductions data'!A:A,$H$25)</f>
        <v>0</v>
      </c>
      <c r="I56" s="74">
        <f>COUNTIFS('reductions data'!G:G,'reasons for reduction division'!B56,'reductions data'!A:A,$I$25)</f>
        <v>0</v>
      </c>
      <c r="J56" s="74">
        <f>COUNTIFS('reductions data'!G:G,'reasons for reduction division'!B56,'reductions data'!A:A,$J$25)</f>
        <v>0</v>
      </c>
      <c r="K56" s="74">
        <f>COUNTIFS('reductions data'!G:G,'reasons for reduction division'!B56,'reductions data'!A:A,$K$25)</f>
        <v>0</v>
      </c>
      <c r="L56" s="74">
        <f>COUNTIFS('reductions data'!G:G,'reasons for reduction division'!B56,'reductions data'!A:A,$L$25)</f>
        <v>0</v>
      </c>
      <c r="M56" s="74">
        <f>COUNTIFS('reductions data'!G:G,'reasons for reduction division'!B56,'reductions data'!A:A,$M$25)</f>
        <v>0</v>
      </c>
      <c r="N56" s="74">
        <f>COUNTIFS('reductions data'!G:G,'reasons for reduction division'!B56,'reductions data'!A:A,$N$25)</f>
        <v>0</v>
      </c>
      <c r="O56" s="74">
        <f>COUNTIFS('reductions data'!$G:$G,'reasons for reduction division'!$B56,'reductions data'!$A:$A,O$25)</f>
        <v>0</v>
      </c>
      <c r="P56" s="74">
        <f>COUNTIFS('reductions data'!$G:$G,'reasons for reduction division'!$B56,'reductions data'!$A:$A,P$25)</f>
        <v>0</v>
      </c>
      <c r="Q56" s="74">
        <f>COUNTIFS('reductions data'!$G:$G,'reasons for reduction division'!$B56,'reductions data'!$A:$A,Q$25)</f>
        <v>0</v>
      </c>
      <c r="R56" s="118">
        <f>COUNTIF('reductions data'!G:G,'reasons for reduction division'!B56)</f>
        <v>0</v>
      </c>
    </row>
    <row r="57" spans="2:18" x14ac:dyDescent="0.15">
      <c r="B57" s="126" t="s">
        <v>1100</v>
      </c>
      <c r="C57" s="74">
        <f>COUNTIFS('reductions data'!G:G,'reasons for reduction division'!B57,'reductions data'!A:A,$C$25)</f>
        <v>0</v>
      </c>
      <c r="D57" s="74">
        <f>COUNTIFS('reductions data'!G:G,'reasons for reduction division'!B57,'reductions data'!A:A,$D$25)</f>
        <v>0</v>
      </c>
      <c r="E57" s="74">
        <f>COUNTIFS('reductions data'!G:G,'reasons for reduction division'!B57,'reductions data'!A:A,$E$25)</f>
        <v>0</v>
      </c>
      <c r="F57" s="74">
        <f>COUNTIFS('reductions data'!G:G,'reasons for reduction division'!B57,'reductions data'!A:A,$F$25)</f>
        <v>0</v>
      </c>
      <c r="G57" s="74">
        <f>COUNTIFS('reductions data'!G:G,'reasons for reduction division'!B57,'reductions data'!A:A,$G$25)</f>
        <v>0</v>
      </c>
      <c r="H57" s="74">
        <f>COUNTIFS('reductions data'!G:G,'reasons for reduction division'!B57,'reductions data'!A:A,$H$25)</f>
        <v>0</v>
      </c>
      <c r="I57" s="74">
        <f>COUNTIFS('reductions data'!G:G,'reasons for reduction division'!B57,'reductions data'!A:A,$I$25)</f>
        <v>0</v>
      </c>
      <c r="J57" s="74">
        <f>COUNTIFS('reductions data'!G:G,'reasons for reduction division'!B57,'reductions data'!A:A,$J$25)</f>
        <v>0</v>
      </c>
      <c r="K57" s="74">
        <f>COUNTIFS('reductions data'!G:G,'reasons for reduction division'!B57,'reductions data'!A:A,$K$25)</f>
        <v>0</v>
      </c>
      <c r="L57" s="74">
        <f>COUNTIFS('reductions data'!G:G,'reasons for reduction division'!B57,'reductions data'!A:A,$L$25)</f>
        <v>0</v>
      </c>
      <c r="M57" s="74">
        <f>COUNTIFS('reductions data'!G:G,'reasons for reduction division'!B57,'reductions data'!A:A,$M$25)</f>
        <v>0</v>
      </c>
      <c r="N57" s="74">
        <f>COUNTIFS('reductions data'!G:G,'reasons for reduction division'!B57,'reductions data'!A:A,$N$25)</f>
        <v>0</v>
      </c>
      <c r="O57" s="74">
        <f>COUNTIFS('reductions data'!$G:$G,'reasons for reduction division'!$B57,'reductions data'!$A:$A,O$25)</f>
        <v>0</v>
      </c>
      <c r="P57" s="74">
        <f>COUNTIFS('reductions data'!$G:$G,'reasons for reduction division'!$B57,'reductions data'!$A:$A,P$25)</f>
        <v>0</v>
      </c>
      <c r="Q57" s="74">
        <f>COUNTIFS('reductions data'!$G:$G,'reasons for reduction division'!$B57,'reductions data'!$A:$A,Q$25)</f>
        <v>0</v>
      </c>
      <c r="R57" s="118">
        <f>COUNTIF('reductions data'!G:G,'reasons for reduction division'!B57)</f>
        <v>0</v>
      </c>
    </row>
    <row r="58" spans="2:18" x14ac:dyDescent="0.15">
      <c r="B58" s="126" t="s">
        <v>1108</v>
      </c>
      <c r="C58" s="74">
        <f>COUNTIFS('reductions data'!G:G,'reasons for reduction division'!B58,'reductions data'!A:A,$C$25)</f>
        <v>0</v>
      </c>
      <c r="D58" s="74">
        <f>COUNTIFS('reductions data'!G:G,'reasons for reduction division'!B58,'reductions data'!A:A,$D$25)</f>
        <v>0</v>
      </c>
      <c r="E58" s="74">
        <f>COUNTIFS('reductions data'!G:G,'reasons for reduction division'!B58,'reductions data'!A:A,$E$25)</f>
        <v>0</v>
      </c>
      <c r="F58" s="74">
        <f>COUNTIFS('reductions data'!G:G,'reasons for reduction division'!B58,'reductions data'!A:A,$F$25)</f>
        <v>0</v>
      </c>
      <c r="G58" s="74">
        <f>COUNTIFS('reductions data'!G:G,'reasons for reduction division'!B58,'reductions data'!A:A,$G$25)</f>
        <v>0</v>
      </c>
      <c r="H58" s="74">
        <f>COUNTIFS('reductions data'!G:G,'reasons for reduction division'!B58,'reductions data'!A:A,$H$25)</f>
        <v>0</v>
      </c>
      <c r="I58" s="74">
        <f>COUNTIFS('reductions data'!G:G,'reasons for reduction division'!B58,'reductions data'!A:A,$I$25)</f>
        <v>0</v>
      </c>
      <c r="J58" s="74">
        <f>COUNTIFS('reductions data'!G:G,'reasons for reduction division'!B58,'reductions data'!A:A,$J$25)</f>
        <v>0</v>
      </c>
      <c r="K58" s="74">
        <f>COUNTIFS('reductions data'!G:G,'reasons for reduction division'!B58,'reductions data'!A:A,$K$25)</f>
        <v>0</v>
      </c>
      <c r="L58" s="74">
        <f>COUNTIFS('reductions data'!G:G,'reasons for reduction division'!B58,'reductions data'!A:A,$L$25)</f>
        <v>0</v>
      </c>
      <c r="M58" s="74">
        <f>COUNTIFS('reductions data'!G:G,'reasons for reduction division'!B58,'reductions data'!A:A,$M$25)</f>
        <v>0</v>
      </c>
      <c r="N58" s="74">
        <f>COUNTIFS('reductions data'!G:G,'reasons for reduction division'!B58,'reductions data'!A:A,$N$25)</f>
        <v>0</v>
      </c>
      <c r="O58" s="74">
        <f>COUNTIFS('reductions data'!$G:$G,'reasons for reduction division'!$B58,'reductions data'!$A:$A,O$25)</f>
        <v>0</v>
      </c>
      <c r="P58" s="74">
        <f>COUNTIFS('reductions data'!$G:$G,'reasons for reduction division'!$B58,'reductions data'!$A:$A,P$25)</f>
        <v>0</v>
      </c>
      <c r="Q58" s="74">
        <f>COUNTIFS('reductions data'!$G:$G,'reasons for reduction division'!$B58,'reductions data'!$A:$A,Q$25)</f>
        <v>0</v>
      </c>
      <c r="R58" s="118">
        <f>COUNTIF('reductions data'!G:G,'reasons for reduction division'!B58)</f>
        <v>0</v>
      </c>
    </row>
    <row r="59" spans="2:18" x14ac:dyDescent="0.15">
      <c r="B59" s="126" t="s">
        <v>1106</v>
      </c>
      <c r="C59" s="74">
        <f>COUNTIFS('reductions data'!G:G,'reasons for reduction division'!B59,'reductions data'!A:A,$C$25)</f>
        <v>0</v>
      </c>
      <c r="D59" s="74">
        <f>COUNTIFS('reductions data'!G:G,'reasons for reduction division'!B59,'reductions data'!A:A,$D$25)</f>
        <v>0</v>
      </c>
      <c r="E59" s="74">
        <f>COUNTIFS('reductions data'!G:G,'reasons for reduction division'!B59,'reductions data'!A:A,$E$25)</f>
        <v>0</v>
      </c>
      <c r="F59" s="74">
        <f>COUNTIFS('reductions data'!G:G,'reasons for reduction division'!B59,'reductions data'!A:A,$F$25)</f>
        <v>0</v>
      </c>
      <c r="G59" s="74">
        <f>COUNTIFS('reductions data'!G:G,'reasons for reduction division'!B59,'reductions data'!A:A,$G$25)</f>
        <v>0</v>
      </c>
      <c r="H59" s="74">
        <f>COUNTIFS('reductions data'!G:G,'reasons for reduction division'!B59,'reductions data'!A:A,$H$25)</f>
        <v>0</v>
      </c>
      <c r="I59" s="74">
        <f>COUNTIFS('reductions data'!G:G,'reasons for reduction division'!B59,'reductions data'!A:A,$I$25)</f>
        <v>0</v>
      </c>
      <c r="J59" s="74">
        <f>COUNTIFS('reductions data'!G:G,'reasons for reduction division'!B59,'reductions data'!A:A,$J$25)</f>
        <v>0</v>
      </c>
      <c r="K59" s="74">
        <f>COUNTIFS('reductions data'!G:G,'reasons for reduction division'!B59,'reductions data'!A:A,$K$25)</f>
        <v>0</v>
      </c>
      <c r="L59" s="74">
        <f>COUNTIFS('reductions data'!G:G,'reasons for reduction division'!B59,'reductions data'!A:A,$L$25)</f>
        <v>0</v>
      </c>
      <c r="M59" s="74">
        <f>COUNTIFS('reductions data'!G:G,'reasons for reduction division'!B59,'reductions data'!A:A,$M$25)</f>
        <v>0</v>
      </c>
      <c r="N59" s="74">
        <f>COUNTIFS('reductions data'!G:G,'reasons for reduction division'!B59,'reductions data'!A:A,$N$25)</f>
        <v>0</v>
      </c>
      <c r="O59" s="74">
        <f>COUNTIFS('reductions data'!$G:$G,'reasons for reduction division'!$B59,'reductions data'!$A:$A,O$25)</f>
        <v>0</v>
      </c>
      <c r="P59" s="74">
        <f>COUNTIFS('reductions data'!$G:$G,'reasons for reduction division'!$B59,'reductions data'!$A:$A,P$25)</f>
        <v>0</v>
      </c>
      <c r="Q59" s="74">
        <f>COUNTIFS('reductions data'!$G:$G,'reasons for reduction division'!$B59,'reductions data'!$A:$A,Q$25)</f>
        <v>0</v>
      </c>
      <c r="R59" s="118">
        <f>COUNTIF('reductions data'!G:G,'reasons for reduction division'!B59)</f>
        <v>0</v>
      </c>
    </row>
    <row r="60" spans="2:18" x14ac:dyDescent="0.15">
      <c r="B60" s="126" t="s">
        <v>1095</v>
      </c>
      <c r="C60" s="74">
        <f>COUNTIFS('reductions data'!G:G,'reasons for reduction division'!B60,'reductions data'!A:A,$C$25)</f>
        <v>0</v>
      </c>
      <c r="D60" s="74">
        <f>COUNTIFS('reductions data'!G:G,'reasons for reduction division'!B60,'reductions data'!A:A,$D$25)</f>
        <v>0</v>
      </c>
      <c r="E60" s="74">
        <f>COUNTIFS('reductions data'!G:G,'reasons for reduction division'!B60,'reductions data'!A:A,$E$25)</f>
        <v>0</v>
      </c>
      <c r="F60" s="74">
        <f>COUNTIFS('reductions data'!G:G,'reasons for reduction division'!B60,'reductions data'!A:A,$F$25)</f>
        <v>0</v>
      </c>
      <c r="G60" s="74">
        <f>COUNTIFS('reductions data'!G:G,'reasons for reduction division'!B60,'reductions data'!A:A,$G$25)</f>
        <v>0</v>
      </c>
      <c r="H60" s="74">
        <f>COUNTIFS('reductions data'!G:G,'reasons for reduction division'!B60,'reductions data'!A:A,$H$25)</f>
        <v>0</v>
      </c>
      <c r="I60" s="74">
        <f>COUNTIFS('reductions data'!G:G,'reasons for reduction division'!B60,'reductions data'!A:A,$I$25)</f>
        <v>0</v>
      </c>
      <c r="J60" s="74">
        <f>COUNTIFS('reductions data'!G:G,'reasons for reduction division'!B60,'reductions data'!A:A,$J$25)</f>
        <v>0</v>
      </c>
      <c r="K60" s="74">
        <f>COUNTIFS('reductions data'!G:G,'reasons for reduction division'!B60,'reductions data'!A:A,$K$25)</f>
        <v>0</v>
      </c>
      <c r="L60" s="74">
        <f>COUNTIFS('reductions data'!G:G,'reasons for reduction division'!B60,'reductions data'!A:A,$L$25)</f>
        <v>0</v>
      </c>
      <c r="M60" s="74">
        <f>COUNTIFS('reductions data'!G:G,'reasons for reduction division'!B60,'reductions data'!A:A,$M$25)</f>
        <v>0</v>
      </c>
      <c r="N60" s="74">
        <f>COUNTIFS('reductions data'!G:G,'reasons for reduction division'!B60,'reductions data'!A:A,$N$25)</f>
        <v>0</v>
      </c>
      <c r="O60" s="74">
        <f>COUNTIFS('reductions data'!$G:$G,'reasons for reduction division'!$B60,'reductions data'!$A:$A,O$25)</f>
        <v>0</v>
      </c>
      <c r="P60" s="74">
        <f>COUNTIFS('reductions data'!$G:$G,'reasons for reduction division'!$B60,'reductions data'!$A:$A,P$25)</f>
        <v>0</v>
      </c>
      <c r="Q60" s="74">
        <f>COUNTIFS('reductions data'!$G:$G,'reasons for reduction division'!$B60,'reductions data'!$A:$A,Q$25)</f>
        <v>0</v>
      </c>
      <c r="R60" s="118">
        <f>COUNTIF('reductions data'!G:G,'reasons for reduction division'!B60)</f>
        <v>0</v>
      </c>
    </row>
    <row r="61" spans="2:18" x14ac:dyDescent="0.15">
      <c r="B61" s="126" t="s">
        <v>1127</v>
      </c>
      <c r="C61" s="74">
        <f>COUNTIFS('reductions data'!G:G,'reasons for reduction division'!B61,'reductions data'!A:A,$C$25)</f>
        <v>0</v>
      </c>
      <c r="D61" s="74">
        <f>COUNTIFS('reductions data'!G:G,'reasons for reduction division'!B61,'reductions data'!A:A,$D$25)</f>
        <v>0</v>
      </c>
      <c r="E61" s="74">
        <f>COUNTIFS('reductions data'!G:G,'reasons for reduction division'!B61,'reductions data'!A:A,$E$25)</f>
        <v>0</v>
      </c>
      <c r="F61" s="74">
        <f>COUNTIFS('reductions data'!G:G,'reasons for reduction division'!B61,'reductions data'!A:A,$F$25)</f>
        <v>0</v>
      </c>
      <c r="G61" s="74">
        <f>COUNTIFS('reductions data'!G:G,'reasons for reduction division'!B61,'reductions data'!A:A,$G$25)</f>
        <v>0</v>
      </c>
      <c r="H61" s="74">
        <f>COUNTIFS('reductions data'!G:G,'reasons for reduction division'!B61,'reductions data'!A:A,$H$25)</f>
        <v>0</v>
      </c>
      <c r="I61" s="74">
        <f>COUNTIFS('reductions data'!G:G,'reasons for reduction division'!B61,'reductions data'!A:A,$I$25)</f>
        <v>0</v>
      </c>
      <c r="J61" s="74">
        <f>COUNTIFS('reductions data'!G:G,'reasons for reduction division'!B61,'reductions data'!A:A,$J$25)</f>
        <v>0</v>
      </c>
      <c r="K61" s="74">
        <f>COUNTIFS('reductions data'!G:G,'reasons for reduction division'!B61,'reductions data'!A:A,$K$25)</f>
        <v>0</v>
      </c>
      <c r="L61" s="74">
        <f>COUNTIFS('reductions data'!G:G,'reasons for reduction division'!B61,'reductions data'!A:A,$L$25)</f>
        <v>0</v>
      </c>
      <c r="M61" s="74">
        <f>COUNTIFS('reductions data'!G:G,'reasons for reduction division'!B61,'reductions data'!A:A,$M$25)</f>
        <v>0</v>
      </c>
      <c r="N61" s="74">
        <f>COUNTIFS('reductions data'!G:G,'reasons for reduction division'!B61,'reductions data'!A:A,$N$25)</f>
        <v>0</v>
      </c>
      <c r="O61" s="74">
        <f>COUNTIFS('reductions data'!$G:$G,'reasons for reduction division'!$B61,'reductions data'!$A:$A,O$25)</f>
        <v>0</v>
      </c>
      <c r="P61" s="74">
        <f>COUNTIFS('reductions data'!$G:$G,'reasons for reduction division'!$B61,'reductions data'!$A:$A,P$25)</f>
        <v>0</v>
      </c>
      <c r="Q61" s="74">
        <f>COUNTIFS('reductions data'!$G:$G,'reasons for reduction division'!$B61,'reductions data'!$A:$A,Q$25)</f>
        <v>0</v>
      </c>
      <c r="R61" s="118">
        <f>COUNTIF('reductions data'!G:G,'reasons for reduction division'!B61)</f>
        <v>0</v>
      </c>
    </row>
    <row r="62" spans="2:18" x14ac:dyDescent="0.15">
      <c r="B62" s="126" t="s">
        <v>1097</v>
      </c>
      <c r="C62" s="74">
        <f>COUNTIFS('reductions data'!G:G,'reasons for reduction division'!B62,'reductions data'!A:A,$C$25)</f>
        <v>0</v>
      </c>
      <c r="D62" s="74">
        <f>COUNTIFS('reductions data'!G:G,'reasons for reduction division'!B62,'reductions data'!A:A,$D$25)</f>
        <v>0</v>
      </c>
      <c r="E62" s="74">
        <f>COUNTIFS('reductions data'!G:G,'reasons for reduction division'!B62,'reductions data'!A:A,$E$25)</f>
        <v>0</v>
      </c>
      <c r="F62" s="74">
        <f>COUNTIFS('reductions data'!G:G,'reasons for reduction division'!B62,'reductions data'!A:A,$F$25)</f>
        <v>0</v>
      </c>
      <c r="G62" s="74">
        <f>COUNTIFS('reductions data'!G:G,'reasons for reduction division'!B62,'reductions data'!A:A,$G$25)</f>
        <v>0</v>
      </c>
      <c r="H62" s="74">
        <f>COUNTIFS('reductions data'!G:G,'reasons for reduction division'!B62,'reductions data'!A:A,$H$25)</f>
        <v>0</v>
      </c>
      <c r="I62" s="74">
        <f>COUNTIFS('reductions data'!G:G,'reasons for reduction division'!B62,'reductions data'!A:A,$I$25)</f>
        <v>0</v>
      </c>
      <c r="J62" s="74">
        <f>COUNTIFS('reductions data'!G:G,'reasons for reduction division'!B62,'reductions data'!A:A,$J$25)</f>
        <v>0</v>
      </c>
      <c r="K62" s="74">
        <f>COUNTIFS('reductions data'!G:G,'reasons for reduction division'!B62,'reductions data'!A:A,$K$25)</f>
        <v>0</v>
      </c>
      <c r="L62" s="74">
        <f>COUNTIFS('reductions data'!G:G,'reasons for reduction division'!B62,'reductions data'!A:A,$L$25)</f>
        <v>0</v>
      </c>
      <c r="M62" s="74">
        <f>COUNTIFS('reductions data'!G:G,'reasons for reduction division'!B62,'reductions data'!A:A,$M$25)</f>
        <v>0</v>
      </c>
      <c r="N62" s="74">
        <f>COUNTIFS('reductions data'!G:G,'reasons for reduction division'!B62,'reductions data'!A:A,$N$25)</f>
        <v>0</v>
      </c>
      <c r="O62" s="74">
        <f>COUNTIFS('reductions data'!$G:$G,'reasons for reduction division'!$B62,'reductions data'!$A:$A,O$25)</f>
        <v>0</v>
      </c>
      <c r="P62" s="74">
        <f>COUNTIFS('reductions data'!$G:$G,'reasons for reduction division'!$B62,'reductions data'!$A:$A,P$25)</f>
        <v>0</v>
      </c>
      <c r="Q62" s="74">
        <f>COUNTIFS('reductions data'!$G:$G,'reasons for reduction division'!$B62,'reductions data'!$A:$A,Q$25)</f>
        <v>0</v>
      </c>
      <c r="R62" s="118">
        <f>COUNTIF('reductions data'!G:G,'reasons for reduction division'!B62)</f>
        <v>0</v>
      </c>
    </row>
    <row r="63" spans="2:18" x14ac:dyDescent="0.15">
      <c r="B63" s="126" t="s">
        <v>1128</v>
      </c>
      <c r="C63" s="74">
        <f>COUNTIFS('reductions data'!G:G,'reasons for reduction division'!B63,'reductions data'!A:A,$C$25)</f>
        <v>0</v>
      </c>
      <c r="D63" s="74">
        <f>COUNTIFS('reductions data'!G:G,'reasons for reduction division'!B63,'reductions data'!A:A,$D$25)</f>
        <v>0</v>
      </c>
      <c r="E63" s="74">
        <f>COUNTIFS('reductions data'!G:G,'reasons for reduction division'!B63,'reductions data'!A:A,$E$25)</f>
        <v>0</v>
      </c>
      <c r="F63" s="74">
        <f>COUNTIFS('reductions data'!G:G,'reasons for reduction division'!B63,'reductions data'!A:A,$F$25)</f>
        <v>0</v>
      </c>
      <c r="G63" s="74">
        <f>COUNTIFS('reductions data'!G:G,'reasons for reduction division'!B63,'reductions data'!A:A,$G$25)</f>
        <v>0</v>
      </c>
      <c r="H63" s="74">
        <f>COUNTIFS('reductions data'!G:G,'reasons for reduction division'!B63,'reductions data'!A:A,$H$25)</f>
        <v>0</v>
      </c>
      <c r="I63" s="74">
        <f>COUNTIFS('reductions data'!G:G,'reasons for reduction division'!B63,'reductions data'!A:A,$I$25)</f>
        <v>0</v>
      </c>
      <c r="J63" s="74">
        <f>COUNTIFS('reductions data'!G:G,'reasons for reduction division'!B63,'reductions data'!A:A,$J$25)</f>
        <v>0</v>
      </c>
      <c r="K63" s="74">
        <f>COUNTIFS('reductions data'!G:G,'reasons for reduction division'!B63,'reductions data'!A:A,$K$25)</f>
        <v>0</v>
      </c>
      <c r="L63" s="74">
        <f>COUNTIFS('reductions data'!G:G,'reasons for reduction division'!B63,'reductions data'!A:A,$L$25)</f>
        <v>0</v>
      </c>
      <c r="M63" s="74">
        <f>COUNTIFS('reductions data'!G:G,'reasons for reduction division'!B63,'reductions data'!A:A,$M$25)</f>
        <v>0</v>
      </c>
      <c r="N63" s="74">
        <f>COUNTIFS('reductions data'!G:G,'reasons for reduction division'!B63,'reductions data'!A:A,$N$25)</f>
        <v>0</v>
      </c>
      <c r="O63" s="74">
        <f>COUNTIFS('reductions data'!$G:$G,'reasons for reduction division'!$B63,'reductions data'!$A:$A,O$25)</f>
        <v>0</v>
      </c>
      <c r="P63" s="74">
        <f>COUNTIFS('reductions data'!$G:$G,'reasons for reduction division'!$B63,'reductions data'!$A:$A,P$25)</f>
        <v>0</v>
      </c>
      <c r="Q63" s="74">
        <f>COUNTIFS('reductions data'!$G:$G,'reasons for reduction division'!$B63,'reductions data'!$A:$A,Q$25)</f>
        <v>0</v>
      </c>
      <c r="R63" s="118">
        <f>COUNTIF('reductions data'!G:G,'reasons for reduction division'!B63)</f>
        <v>0</v>
      </c>
    </row>
    <row r="64" spans="2:18" x14ac:dyDescent="0.15">
      <c r="B64" s="126" t="s">
        <v>1083</v>
      </c>
      <c r="C64" s="74">
        <f>COUNTIFS('reductions data'!G:G,'reasons for reduction division'!B64,'reductions data'!A:A,$C$25)</f>
        <v>0</v>
      </c>
      <c r="D64" s="74">
        <f>COUNTIFS('reductions data'!G:G,'reasons for reduction division'!B64,'reductions data'!A:A,$D$25)</f>
        <v>0</v>
      </c>
      <c r="E64" s="74">
        <f>COUNTIFS('reductions data'!G:G,'reasons for reduction division'!B64,'reductions data'!A:A,$E$25)</f>
        <v>0</v>
      </c>
      <c r="F64" s="74">
        <f>COUNTIFS('reductions data'!G:G,'reasons for reduction division'!B64,'reductions data'!A:A,$F$25)</f>
        <v>0</v>
      </c>
      <c r="G64" s="74">
        <f>COUNTIFS('reductions data'!G:G,'reasons for reduction division'!B64,'reductions data'!A:A,$G$25)</f>
        <v>0</v>
      </c>
      <c r="H64" s="74">
        <f>COUNTIFS('reductions data'!G:G,'reasons for reduction division'!B64,'reductions data'!A:A,$H$25)</f>
        <v>0</v>
      </c>
      <c r="I64" s="74">
        <f>COUNTIFS('reductions data'!G:G,'reasons for reduction division'!B64,'reductions data'!A:A,$I$25)</f>
        <v>0</v>
      </c>
      <c r="J64" s="74">
        <f>COUNTIFS('reductions data'!G:G,'reasons for reduction division'!B64,'reductions data'!A:A,$J$25)</f>
        <v>0</v>
      </c>
      <c r="K64" s="74">
        <f>COUNTIFS('reductions data'!G:G,'reasons for reduction division'!B64,'reductions data'!A:A,$K$25)</f>
        <v>0</v>
      </c>
      <c r="L64" s="74">
        <f>COUNTIFS('reductions data'!G:G,'reasons for reduction division'!B64,'reductions data'!A:A,$L$25)</f>
        <v>0</v>
      </c>
      <c r="M64" s="74">
        <f>COUNTIFS('reductions data'!G:G,'reasons for reduction division'!B64,'reductions data'!A:A,$M$25)</f>
        <v>0</v>
      </c>
      <c r="N64" s="74">
        <f>COUNTIFS('reductions data'!G:G,'reasons for reduction division'!B64,'reductions data'!A:A,$N$25)</f>
        <v>0</v>
      </c>
      <c r="O64" s="74">
        <f>COUNTIFS('reductions data'!$G:$G,'reasons for reduction division'!$B64,'reductions data'!$A:$A,O$25)</f>
        <v>0</v>
      </c>
      <c r="P64" s="74">
        <f>COUNTIFS('reductions data'!$G:$G,'reasons for reduction division'!$B64,'reductions data'!$A:$A,P$25)</f>
        <v>0</v>
      </c>
      <c r="Q64" s="74">
        <f>COUNTIFS('reductions data'!$G:$G,'reasons for reduction division'!$B64,'reductions data'!$A:$A,Q$25)</f>
        <v>0</v>
      </c>
      <c r="R64" s="118">
        <f>COUNTIF('reductions data'!G:G,'reasons for reduction division'!B64)</f>
        <v>0</v>
      </c>
    </row>
    <row r="65" spans="2:18" x14ac:dyDescent="0.15">
      <c r="B65" s="126" t="s">
        <v>1084</v>
      </c>
      <c r="C65" s="74">
        <f>COUNTIFS('reductions data'!G:G,'reasons for reduction division'!B65,'reductions data'!A:A,$C$25)</f>
        <v>0</v>
      </c>
      <c r="D65" s="74">
        <f>COUNTIFS('reductions data'!G:G,'reasons for reduction division'!B65,'reductions data'!A:A,$D$25)</f>
        <v>0</v>
      </c>
      <c r="E65" s="74">
        <f>COUNTIFS('reductions data'!G:G,'reasons for reduction division'!B65,'reductions data'!A:A,$E$25)</f>
        <v>0</v>
      </c>
      <c r="F65" s="74">
        <f>COUNTIFS('reductions data'!G:G,'reasons for reduction division'!B65,'reductions data'!A:A,$F$25)</f>
        <v>0</v>
      </c>
      <c r="G65" s="74">
        <f>COUNTIFS('reductions data'!G:G,'reasons for reduction division'!B65,'reductions data'!A:A,$G$25)</f>
        <v>0</v>
      </c>
      <c r="H65" s="74">
        <f>COUNTIFS('reductions data'!G:G,'reasons for reduction division'!B65,'reductions data'!A:A,$H$25)</f>
        <v>0</v>
      </c>
      <c r="I65" s="74">
        <f>COUNTIFS('reductions data'!G:G,'reasons for reduction division'!B65,'reductions data'!A:A,$I$25)</f>
        <v>0</v>
      </c>
      <c r="J65" s="74">
        <f>COUNTIFS('reductions data'!G:G,'reasons for reduction division'!B65,'reductions data'!A:A,$J$25)</f>
        <v>0</v>
      </c>
      <c r="K65" s="74">
        <f>COUNTIFS('reductions data'!G:G,'reasons for reduction division'!B65,'reductions data'!A:A,$K$25)</f>
        <v>0</v>
      </c>
      <c r="L65" s="74">
        <f>COUNTIFS('reductions data'!G:G,'reasons for reduction division'!B65,'reductions data'!A:A,$L$25)</f>
        <v>0</v>
      </c>
      <c r="M65" s="74">
        <f>COUNTIFS('reductions data'!G:G,'reasons for reduction division'!B65,'reductions data'!A:A,$M$25)</f>
        <v>0</v>
      </c>
      <c r="N65" s="74">
        <f>COUNTIFS('reductions data'!G:G,'reasons for reduction division'!B65,'reductions data'!A:A,$N$25)</f>
        <v>0</v>
      </c>
      <c r="O65" s="74">
        <f>COUNTIFS('reductions data'!$G:$G,'reasons for reduction division'!$B65,'reductions data'!$A:$A,O$25)</f>
        <v>0</v>
      </c>
      <c r="P65" s="74">
        <f>COUNTIFS('reductions data'!$G:$G,'reasons for reduction division'!$B65,'reductions data'!$A:$A,P$25)</f>
        <v>0</v>
      </c>
      <c r="Q65" s="74">
        <f>COUNTIFS('reductions data'!$G:$G,'reasons for reduction division'!$B65,'reductions data'!$A:$A,Q$25)</f>
        <v>0</v>
      </c>
      <c r="R65" s="118">
        <f>COUNTIF('reductions data'!G:G,'reasons for reduction division'!B65)</f>
        <v>0</v>
      </c>
    </row>
    <row r="66" spans="2:18" x14ac:dyDescent="0.15">
      <c r="B66" t="s">
        <v>1110</v>
      </c>
      <c r="C66" s="74">
        <f>COUNTIFS('reductions data'!G:G,'reasons for reduction division'!B66,'reductions data'!A:A,$C$25)</f>
        <v>0</v>
      </c>
      <c r="D66" s="74">
        <f>COUNTIFS('reductions data'!G:G,'reasons for reduction division'!B66,'reductions data'!A:A,$D$25)</f>
        <v>0</v>
      </c>
      <c r="E66" s="74">
        <f>COUNTIFS('reductions data'!G:G,'reasons for reduction division'!B66,'reductions data'!A:A,$E$25)</f>
        <v>0</v>
      </c>
      <c r="F66" s="74">
        <f>COUNTIFS('reductions data'!G:G,'reasons for reduction division'!B66,'reductions data'!A:A,$F$25)</f>
        <v>0</v>
      </c>
      <c r="G66" s="74">
        <f>COUNTIFS('reductions data'!G:G,'reasons for reduction division'!B66,'reductions data'!A:A,$G$25)</f>
        <v>0</v>
      </c>
      <c r="H66" s="74">
        <f>COUNTIFS('reductions data'!G:G,'reasons for reduction division'!B66,'reductions data'!A:A,$H$25)</f>
        <v>0</v>
      </c>
      <c r="I66" s="74">
        <f>COUNTIFS('reductions data'!G:G,'reasons for reduction division'!B66,'reductions data'!A:A,$I$25)</f>
        <v>0</v>
      </c>
      <c r="J66" s="74">
        <f>COUNTIFS('reductions data'!G:G,'reasons for reduction division'!B66,'reductions data'!A:A,$J$25)</f>
        <v>0</v>
      </c>
      <c r="K66" s="74">
        <f>COUNTIFS('reductions data'!G:G,'reasons for reduction division'!B66,'reductions data'!A:A,$K$25)</f>
        <v>0</v>
      </c>
      <c r="L66" s="74">
        <f>COUNTIFS('reductions data'!G:G,'reasons for reduction division'!B66,'reductions data'!A:A,$L$25)</f>
        <v>0</v>
      </c>
      <c r="M66" s="74">
        <f>COUNTIFS('reductions data'!G:G,'reasons for reduction division'!B66,'reductions data'!A:A,$M$25)</f>
        <v>0</v>
      </c>
      <c r="N66" s="74">
        <f>COUNTIFS('reductions data'!G:G,'reasons for reduction division'!B66,'reductions data'!A:A,$N$25)</f>
        <v>0</v>
      </c>
      <c r="O66" s="74">
        <f>COUNTIFS('reductions data'!$G:$G,'reasons for reduction division'!$B66,'reductions data'!$A:$A,O$25)</f>
        <v>0</v>
      </c>
      <c r="P66" s="74">
        <f>COUNTIFS('reductions data'!$G:$G,'reasons for reduction division'!$B66,'reductions data'!$A:$A,P$25)</f>
        <v>0</v>
      </c>
      <c r="Q66" s="74">
        <f>COUNTIFS('reductions data'!$G:$G,'reasons for reduction division'!$B66,'reductions data'!$A:$A,Q$25)</f>
        <v>0</v>
      </c>
      <c r="R66" s="118">
        <f>COUNTIF('reductions data'!G:G,'reasons for reduction division'!B66)</f>
        <v>0</v>
      </c>
    </row>
    <row r="67" spans="2:18" x14ac:dyDescent="0.15">
      <c r="B67" s="126" t="s">
        <v>1103</v>
      </c>
      <c r="C67" s="74">
        <f>COUNTIFS('reductions data'!G:G,'reasons for reduction division'!B67,'reductions data'!A:A,$C$25)</f>
        <v>0</v>
      </c>
      <c r="D67" s="74">
        <f>COUNTIFS('reductions data'!G:G,'reasons for reduction division'!B67,'reductions data'!A:A,$D$25)</f>
        <v>0</v>
      </c>
      <c r="E67" s="74">
        <f>COUNTIFS('reductions data'!G:G,'reasons for reduction division'!B67,'reductions data'!A:A,$E$25)</f>
        <v>0</v>
      </c>
      <c r="F67" s="74">
        <f>COUNTIFS('reductions data'!G:G,'reasons for reduction division'!B67,'reductions data'!A:A,$F$25)</f>
        <v>0</v>
      </c>
      <c r="G67" s="74">
        <f>COUNTIFS('reductions data'!G:G,'reasons for reduction division'!B67,'reductions data'!A:A,$G$25)</f>
        <v>0</v>
      </c>
      <c r="H67" s="74">
        <f>COUNTIFS('reductions data'!G:G,'reasons for reduction division'!B67,'reductions data'!A:A,$H$25)</f>
        <v>0</v>
      </c>
      <c r="I67" s="74">
        <f>COUNTIFS('reductions data'!G:G,'reasons for reduction division'!B67,'reductions data'!A:A,$I$25)</f>
        <v>0</v>
      </c>
      <c r="J67" s="74">
        <f>COUNTIFS('reductions data'!G:G,'reasons for reduction division'!B67,'reductions data'!A:A,$J$25)</f>
        <v>0</v>
      </c>
      <c r="K67" s="74">
        <f>COUNTIFS('reductions data'!G:G,'reasons for reduction division'!B67,'reductions data'!A:A,$K$25)</f>
        <v>0</v>
      </c>
      <c r="L67" s="74">
        <f>COUNTIFS('reductions data'!G:G,'reasons for reduction division'!B67,'reductions data'!A:A,$L$25)</f>
        <v>0</v>
      </c>
      <c r="M67" s="74">
        <f>COUNTIFS('reductions data'!G:G,'reasons for reduction division'!B67,'reductions data'!A:A,$M$25)</f>
        <v>0</v>
      </c>
      <c r="N67" s="74">
        <f>COUNTIFS('reductions data'!G:G,'reasons for reduction division'!B67,'reductions data'!A:A,$N$25)</f>
        <v>0</v>
      </c>
      <c r="O67" s="74">
        <f>COUNTIFS('reductions data'!$G:$G,'reasons for reduction division'!$B67,'reductions data'!$A:$A,O$25)</f>
        <v>0</v>
      </c>
      <c r="P67" s="74">
        <f>COUNTIFS('reductions data'!$G:$G,'reasons for reduction division'!$B67,'reductions data'!$A:$A,P$25)</f>
        <v>0</v>
      </c>
      <c r="Q67" s="74">
        <f>COUNTIFS('reductions data'!$G:$G,'reasons for reduction division'!$B67,'reductions data'!$A:$A,Q$25)</f>
        <v>0</v>
      </c>
      <c r="R67" s="118">
        <f>COUNTIF('reductions data'!G:G,'reasons for reduction division'!B67)</f>
        <v>0</v>
      </c>
    </row>
    <row r="68" spans="2:18" x14ac:dyDescent="0.15">
      <c r="B68" s="201" t="s">
        <v>1240</v>
      </c>
      <c r="C68" s="202">
        <f>COUNTIF('reductions data'!A:A,$C$25)</f>
        <v>0</v>
      </c>
      <c r="D68" s="202">
        <f>COUNTIF('reductions data'!A:A,$D$25)</f>
        <v>0</v>
      </c>
      <c r="E68" s="202">
        <f>COUNTIF('reductions data'!A:A,$E$25)</f>
        <v>0</v>
      </c>
      <c r="F68" s="202">
        <f>COUNTIF('reductions data'!A:A,$F$25)</f>
        <v>0</v>
      </c>
      <c r="G68" s="202">
        <f>COUNTIF('reductions data'!A:A,$G$25)</f>
        <v>0</v>
      </c>
      <c r="H68" s="202">
        <f>COUNTIF('reductions data'!A:A,$H$25)</f>
        <v>0</v>
      </c>
      <c r="I68" s="202">
        <f>COUNTIF('reductions data'!A:A,$I$25)</f>
        <v>0</v>
      </c>
      <c r="J68" s="202">
        <f>COUNTIF('reductions data'!A:A,$J$25)</f>
        <v>0</v>
      </c>
      <c r="K68" s="202">
        <f>COUNTIF('reductions data'!A:A,$K$25)</f>
        <v>0</v>
      </c>
      <c r="L68" s="202">
        <f>COUNTIF('reductions data'!A:A,$L$25)</f>
        <v>0</v>
      </c>
      <c r="M68" s="202">
        <f>COUNTIF('reductions data'!A:A,$M$25)</f>
        <v>0</v>
      </c>
      <c r="N68" s="202">
        <f>COUNTIF('reductions data'!$A:$A,N$25)</f>
        <v>0</v>
      </c>
      <c r="O68" s="202">
        <f>COUNTIF('reductions data'!$A:$A,O$25)</f>
        <v>0</v>
      </c>
      <c r="P68" s="202">
        <f>COUNTIF('reductions data'!$A:$A,P$25)</f>
        <v>0</v>
      </c>
      <c r="Q68" s="202">
        <f>COUNTIF('reductions data'!$A:$A,Q$25)</f>
        <v>0</v>
      </c>
      <c r="R68" s="118">
        <f>COUNTIF('reductions data'!K:K,"ACTIVE")</f>
        <v>0</v>
      </c>
    </row>
    <row r="71" spans="2:18" ht="16" x14ac:dyDescent="0.2">
      <c r="C71" s="366" t="s">
        <v>1341</v>
      </c>
      <c r="D71" s="366"/>
      <c r="E71" s="366"/>
      <c r="F71" s="366"/>
      <c r="G71" s="366"/>
      <c r="H71" s="366"/>
      <c r="I71" s="366"/>
      <c r="J71" s="366"/>
      <c r="K71" s="366"/>
      <c r="L71" s="366"/>
      <c r="M71" s="366"/>
      <c r="N71" s="366"/>
      <c r="O71" s="366"/>
      <c r="P71" s="366"/>
      <c r="Q71" s="366"/>
      <c r="R71" s="366"/>
    </row>
    <row r="72" spans="2:18" ht="34.5" customHeight="1" x14ac:dyDescent="0.15">
      <c r="B72" s="88" t="s">
        <v>1112</v>
      </c>
      <c r="C72" s="88" t="s">
        <v>1355</v>
      </c>
      <c r="D72" s="88" t="s">
        <v>20</v>
      </c>
      <c r="E72" s="88" t="s">
        <v>21</v>
      </c>
      <c r="F72" s="88" t="s">
        <v>1357</v>
      </c>
      <c r="G72" s="88" t="s">
        <v>22</v>
      </c>
      <c r="H72" s="88" t="s">
        <v>23</v>
      </c>
      <c r="I72" s="88" t="s">
        <v>24</v>
      </c>
      <c r="J72" s="88" t="s">
        <v>25</v>
      </c>
      <c r="K72" s="88" t="s">
        <v>26</v>
      </c>
      <c r="L72" s="88" t="s">
        <v>27</v>
      </c>
      <c r="M72" s="88" t="s">
        <v>28</v>
      </c>
      <c r="N72" s="88" t="s">
        <v>1409</v>
      </c>
      <c r="O72" s="88" t="s">
        <v>29</v>
      </c>
      <c r="P72" s="88" t="s">
        <v>30</v>
      </c>
      <c r="Q72" s="88" t="s">
        <v>34</v>
      </c>
      <c r="R72" s="88" t="s">
        <v>1240</v>
      </c>
    </row>
    <row r="73" spans="2:18" x14ac:dyDescent="0.15">
      <c r="B73" s="125" t="s">
        <v>1115</v>
      </c>
      <c r="C73" s="74">
        <f>SUMIFS('reductions data'!H:H,'reductions data'!G:G,'reasons for reduction division'!B73,'reductions data'!A:A,$C$72)</f>
        <v>0</v>
      </c>
      <c r="D73" s="74">
        <f>SUMIFS('reductions data'!H:H,'reductions data'!G:G,'reasons for reduction division'!B73,'reductions data'!A:A,$D$72)</f>
        <v>0</v>
      </c>
      <c r="E73" s="74">
        <f>SUMIFS('reductions data'!H:H,'reductions data'!G:G,'reasons for reduction division'!B73,'reductions data'!A:A,$E$72)</f>
        <v>0</v>
      </c>
      <c r="F73" s="74">
        <f>SUMIFS('reductions data'!H:H,'reductions data'!G:G,'reasons for reduction division'!B73,'reductions data'!A:A,$F$72)</f>
        <v>0</v>
      </c>
      <c r="G73" s="74">
        <f>SUMIFS('reductions data'!H:H,'reductions data'!G:G,'reasons for reduction division'!B73,'reductions data'!A:A,$G$72)</f>
        <v>0</v>
      </c>
      <c r="H73" s="74">
        <f>SUMIFS('reductions data'!H:H,'reductions data'!G:G,'reasons for reduction division'!B73,'reductions data'!A:A,$H$72)</f>
        <v>0</v>
      </c>
      <c r="I73" s="74">
        <f>SUMIFS('reductions data'!H:H,'reductions data'!G:G,'reasons for reduction division'!B73,'reductions data'!A:A,$I$72)</f>
        <v>0</v>
      </c>
      <c r="J73" s="74">
        <f>SUMIFS('reductions data'!H:H,'reductions data'!G:G,'reasons for reduction division'!B73,'reductions data'!A:A,$J$72)</f>
        <v>0</v>
      </c>
      <c r="K73" s="74">
        <f>SUMIFS('reductions data'!H:H,'reductions data'!G:G,'reasons for reduction division'!B73,'reductions data'!A:A,$K$72)</f>
        <v>0</v>
      </c>
      <c r="L73" s="74">
        <f>SUMIFS('reductions data'!H:H,'reductions data'!G:G,'reasons for reduction division'!B73,'reductions data'!A:A,$L$72)</f>
        <v>0</v>
      </c>
      <c r="M73" s="74">
        <f>SUMIFS('reductions data'!H:H,'reductions data'!G:G,'reasons for reduction division'!B73,'reductions data'!A:A,$M$72)</f>
        <v>0</v>
      </c>
      <c r="N73" s="74">
        <f>SUMIFS('reductions data'!H:H,'reductions data'!G:G,'reasons for reduction division'!B73,'reductions data'!A:A,$N$72)</f>
        <v>0</v>
      </c>
      <c r="O73" s="74">
        <f>SUMIFS('reductions data'!$H:$H,'reductions data'!$G:$G,'reasons for reduction division'!B73,'reductions data'!$A:$A,O$72)</f>
        <v>0</v>
      </c>
      <c r="P73" s="74">
        <f>SUMIFS('reductions data'!$H:$H,'reductions data'!$G:$G,'reasons for reduction division'!B73,'reductions data'!$A:$A,P$72)</f>
        <v>0</v>
      </c>
      <c r="Q73" s="74">
        <f>SUMIFS('reductions data'!$H:$H,'reductions data'!$G:$G,'reasons for reduction division'!B73,'reductions data'!$A:$A,Q$72)</f>
        <v>0</v>
      </c>
      <c r="R73" s="118">
        <f>SUMIF('reductions data'!G:G,'reasons for reduction division'!B73,'reductions data'!H:H)</f>
        <v>0</v>
      </c>
    </row>
    <row r="74" spans="2:18" x14ac:dyDescent="0.15">
      <c r="B74" s="126" t="s">
        <v>1096</v>
      </c>
      <c r="C74" s="74">
        <f>SUMIFS('reductions data'!H:H,'reductions data'!G:G,'reasons for reduction division'!B74,'reductions data'!A:A,$C$72)</f>
        <v>0</v>
      </c>
      <c r="D74" s="74">
        <f>SUMIFS('reductions data'!H:H,'reductions data'!G:G,'reasons for reduction division'!B74,'reductions data'!A:A,$D$72)</f>
        <v>0</v>
      </c>
      <c r="E74" s="74">
        <f>SUMIFS('reductions data'!H:H,'reductions data'!G:G,'reasons for reduction division'!B74,'reductions data'!A:A,$E$72)</f>
        <v>0</v>
      </c>
      <c r="F74" s="74">
        <f>SUMIFS('reductions data'!H:H,'reductions data'!G:G,'reasons for reduction division'!B74,'reductions data'!A:A,$F$72)</f>
        <v>0</v>
      </c>
      <c r="G74" s="74">
        <f>SUMIFS('reductions data'!H:H,'reductions data'!G:G,'reasons for reduction division'!B74,'reductions data'!A:A,$G$72)</f>
        <v>0</v>
      </c>
      <c r="H74" s="74">
        <f>SUMIFS('reductions data'!H:H,'reductions data'!G:G,'reasons for reduction division'!B74,'reductions data'!A:A,$H$72)</f>
        <v>0</v>
      </c>
      <c r="I74" s="74">
        <f>SUMIFS('reductions data'!H:H,'reductions data'!G:G,'reasons for reduction division'!B74,'reductions data'!A:A,$I$72)</f>
        <v>0</v>
      </c>
      <c r="J74" s="74">
        <f>SUMIFS('reductions data'!H:H,'reductions data'!G:G,'reasons for reduction division'!B74,'reductions data'!A:A,$J$72)</f>
        <v>0</v>
      </c>
      <c r="K74" s="74">
        <f>SUMIFS('reductions data'!H:H,'reductions data'!G:G,'reasons for reduction division'!B74,'reductions data'!A:A,$K$72)</f>
        <v>0</v>
      </c>
      <c r="L74" s="74">
        <f>SUMIFS('reductions data'!H:H,'reductions data'!G:G,'reasons for reduction division'!B74,'reductions data'!A:A,$L$72)</f>
        <v>0</v>
      </c>
      <c r="M74" s="74">
        <f>SUMIFS('reductions data'!H:H,'reductions data'!G:G,'reasons for reduction division'!B74,'reductions data'!A:A,$M$72)</f>
        <v>0</v>
      </c>
      <c r="N74" s="74">
        <f>SUMIFS('reductions data'!H:H,'reductions data'!G:G,'reasons for reduction division'!B74,'reductions data'!A:A,$N$72)</f>
        <v>0</v>
      </c>
      <c r="O74" s="74">
        <f>SUMIFS('reductions data'!$H:$H,'reductions data'!$G:$G,'reasons for reduction division'!B74,'reductions data'!$A:$A,O$72)</f>
        <v>0</v>
      </c>
      <c r="P74" s="74">
        <f>SUMIFS('reductions data'!$H:$H,'reductions data'!$G:$G,'reasons for reduction division'!B74,'reductions data'!$A:$A,P$72)</f>
        <v>0</v>
      </c>
      <c r="Q74" s="74">
        <f>SUMIFS('reductions data'!$H:$H,'reductions data'!$G:$G,'reasons for reduction division'!B74,'reductions data'!$A:$A,Q$72)</f>
        <v>0</v>
      </c>
      <c r="R74" s="118">
        <f>SUMIF('reductions data'!G:G,'reasons for reduction division'!B74,'reductions data'!H:H)</f>
        <v>0</v>
      </c>
    </row>
    <row r="75" spans="2:18" x14ac:dyDescent="0.15">
      <c r="B75" s="126" t="s">
        <v>1101</v>
      </c>
      <c r="C75" s="74">
        <f>SUMIFS('reductions data'!H:H,'reductions data'!G:G,'reasons for reduction division'!B75,'reductions data'!A:A,$C$72)</f>
        <v>0</v>
      </c>
      <c r="D75" s="74">
        <f>SUMIFS('reductions data'!H:H,'reductions data'!G:G,'reasons for reduction division'!B75,'reductions data'!A:A,$D$72)</f>
        <v>0</v>
      </c>
      <c r="E75" s="74">
        <f>SUMIFS('reductions data'!H:H,'reductions data'!G:G,'reasons for reduction division'!B75,'reductions data'!A:A,$E$72)</f>
        <v>0</v>
      </c>
      <c r="F75" s="74">
        <f>SUMIFS('reductions data'!H:H,'reductions data'!G:G,'reasons for reduction division'!B75,'reductions data'!A:A,$F$72)</f>
        <v>0</v>
      </c>
      <c r="G75" s="74">
        <f>SUMIFS('reductions data'!H:H,'reductions data'!G:G,'reasons for reduction division'!B75,'reductions data'!A:A,$G$72)</f>
        <v>0</v>
      </c>
      <c r="H75" s="74">
        <f>SUMIFS('reductions data'!H:H,'reductions data'!G:G,'reasons for reduction division'!B75,'reductions data'!A:A,$H$72)</f>
        <v>0</v>
      </c>
      <c r="I75" s="74">
        <f>SUMIFS('reductions data'!H:H,'reductions data'!G:G,'reasons for reduction division'!B75,'reductions data'!A:A,$I$72)</f>
        <v>0</v>
      </c>
      <c r="J75" s="74">
        <f>SUMIFS('reductions data'!H:H,'reductions data'!G:G,'reasons for reduction division'!B75,'reductions data'!A:A,$J$72)</f>
        <v>0</v>
      </c>
      <c r="K75" s="74">
        <f>SUMIFS('reductions data'!H:H,'reductions data'!G:G,'reasons for reduction division'!B75,'reductions data'!A:A,$K$72)</f>
        <v>0</v>
      </c>
      <c r="L75" s="74">
        <f>SUMIFS('reductions data'!H:H,'reductions data'!G:G,'reasons for reduction division'!B75,'reductions data'!A:A,$L$72)</f>
        <v>0</v>
      </c>
      <c r="M75" s="74">
        <f>SUMIFS('reductions data'!H:H,'reductions data'!G:G,'reasons for reduction division'!B75,'reductions data'!A:A,$M$72)</f>
        <v>0</v>
      </c>
      <c r="N75" s="74">
        <f>SUMIFS('reductions data'!H:H,'reductions data'!G:G,'reasons for reduction division'!B75,'reductions data'!A:A,$N$72)</f>
        <v>0</v>
      </c>
      <c r="O75" s="74">
        <f>SUMIFS('reductions data'!$H:$H,'reductions data'!$G:$G,'reasons for reduction division'!B75,'reductions data'!$A:$A,O$72)</f>
        <v>0</v>
      </c>
      <c r="P75" s="74">
        <f>SUMIFS('reductions data'!$H:$H,'reductions data'!$G:$G,'reasons for reduction division'!B75,'reductions data'!$A:$A,P$72)</f>
        <v>0</v>
      </c>
      <c r="Q75" s="74">
        <f>SUMIFS('reductions data'!$H:$H,'reductions data'!$G:$G,'reasons for reduction division'!B75,'reductions data'!$A:$A,Q$72)</f>
        <v>0</v>
      </c>
      <c r="R75" s="118">
        <f>SUMIF('reductions data'!G:G,'reasons for reduction division'!B75,'reductions data'!H:H)</f>
        <v>0</v>
      </c>
    </row>
    <row r="76" spans="2:18" x14ac:dyDescent="0.15">
      <c r="B76" s="126" t="s">
        <v>1079</v>
      </c>
      <c r="C76" s="74">
        <f>SUMIFS('reductions data'!H:H,'reductions data'!G:G,'reasons for reduction division'!B76,'reductions data'!A:A,$C$72)</f>
        <v>0</v>
      </c>
      <c r="D76" s="74">
        <f>SUMIFS('reductions data'!H:H,'reductions data'!G:G,'reasons for reduction division'!B76,'reductions data'!A:A,$D$72)</f>
        <v>0</v>
      </c>
      <c r="E76" s="74">
        <f>SUMIFS('reductions data'!H:H,'reductions data'!G:G,'reasons for reduction division'!B76,'reductions data'!A:A,$E$72)</f>
        <v>0</v>
      </c>
      <c r="F76" s="74">
        <f>SUMIFS('reductions data'!H:H,'reductions data'!G:G,'reasons for reduction division'!B76,'reductions data'!A:A,$F$72)</f>
        <v>0</v>
      </c>
      <c r="G76" s="74">
        <f>SUMIFS('reductions data'!H:H,'reductions data'!G:G,'reasons for reduction division'!B76,'reductions data'!A:A,$G$72)</f>
        <v>0</v>
      </c>
      <c r="H76" s="74">
        <f>SUMIFS('reductions data'!H:H,'reductions data'!G:G,'reasons for reduction division'!B76,'reductions data'!A:A,$H$72)</f>
        <v>0</v>
      </c>
      <c r="I76" s="74">
        <f>SUMIFS('reductions data'!H:H,'reductions data'!G:G,'reasons for reduction division'!B76,'reductions data'!A:A,$I$72)</f>
        <v>0</v>
      </c>
      <c r="J76" s="74">
        <f>SUMIFS('reductions data'!H:H,'reductions data'!G:G,'reasons for reduction division'!B76,'reductions data'!A:A,$J$72)</f>
        <v>0</v>
      </c>
      <c r="K76" s="74">
        <f>SUMIFS('reductions data'!H:H,'reductions data'!G:G,'reasons for reduction division'!B76,'reductions data'!A:A,$K$72)</f>
        <v>0</v>
      </c>
      <c r="L76" s="74">
        <f>SUMIFS('reductions data'!H:H,'reductions data'!G:G,'reasons for reduction division'!B76,'reductions data'!A:A,$L$72)</f>
        <v>0</v>
      </c>
      <c r="M76" s="74">
        <f>SUMIFS('reductions data'!H:H,'reductions data'!G:G,'reasons for reduction division'!B76,'reductions data'!A:A,$M$72)</f>
        <v>0</v>
      </c>
      <c r="N76" s="74">
        <f>SUMIFS('reductions data'!H:H,'reductions data'!G:G,'reasons for reduction division'!B76,'reductions data'!A:A,$N$72)</f>
        <v>0</v>
      </c>
      <c r="O76" s="74">
        <f>SUMIFS('reductions data'!$H:$H,'reductions data'!$G:$G,'reasons for reduction division'!B76,'reductions data'!$A:$A,O$72)</f>
        <v>0</v>
      </c>
      <c r="P76" s="74">
        <f>SUMIFS('reductions data'!$H:$H,'reductions data'!$G:$G,'reasons for reduction division'!B76,'reductions data'!$A:$A,P$72)</f>
        <v>0</v>
      </c>
      <c r="Q76" s="74">
        <f>SUMIFS('reductions data'!$H:$H,'reductions data'!$G:$G,'reasons for reduction division'!B76,'reductions data'!$A:$A,Q$72)</f>
        <v>0</v>
      </c>
      <c r="R76" s="118">
        <f>SUMIF('reductions data'!G:G,'reasons for reduction division'!B76,'reductions data'!H:H)</f>
        <v>0</v>
      </c>
    </row>
    <row r="77" spans="2:18" x14ac:dyDescent="0.15">
      <c r="B77" s="126" t="s">
        <v>1116</v>
      </c>
      <c r="C77" s="74">
        <f>SUMIFS('reductions data'!H:H,'reductions data'!G:G,'reasons for reduction division'!B77,'reductions data'!A:A,$C$72)</f>
        <v>0</v>
      </c>
      <c r="D77" s="74">
        <f>SUMIFS('reductions data'!H:H,'reductions data'!G:G,'reasons for reduction division'!B77,'reductions data'!A:A,$D$72)</f>
        <v>0</v>
      </c>
      <c r="E77" s="74">
        <f>SUMIFS('reductions data'!H:H,'reductions data'!G:G,'reasons for reduction division'!B77,'reductions data'!A:A,$E$72)</f>
        <v>0</v>
      </c>
      <c r="F77" s="74">
        <f>SUMIFS('reductions data'!H:H,'reductions data'!G:G,'reasons for reduction division'!B77,'reductions data'!A:A,$F$72)</f>
        <v>0</v>
      </c>
      <c r="G77" s="74">
        <f>SUMIFS('reductions data'!H:H,'reductions data'!G:G,'reasons for reduction division'!B77,'reductions data'!A:A,$G$72)</f>
        <v>0</v>
      </c>
      <c r="H77" s="74">
        <f>SUMIFS('reductions data'!H:H,'reductions data'!G:G,'reasons for reduction division'!B77,'reductions data'!A:A,$H$72)</f>
        <v>0</v>
      </c>
      <c r="I77" s="74">
        <f>SUMIFS('reductions data'!H:H,'reductions data'!G:G,'reasons for reduction division'!B77,'reductions data'!A:A,$I$72)</f>
        <v>0</v>
      </c>
      <c r="J77" s="74">
        <f>SUMIFS('reductions data'!H:H,'reductions data'!G:G,'reasons for reduction division'!B77,'reductions data'!A:A,$J$72)</f>
        <v>0</v>
      </c>
      <c r="K77" s="74">
        <f>SUMIFS('reductions data'!H:H,'reductions data'!G:G,'reasons for reduction division'!B77,'reductions data'!A:A,$K$72)</f>
        <v>0</v>
      </c>
      <c r="L77" s="74">
        <f>SUMIFS('reductions data'!H:H,'reductions data'!G:G,'reasons for reduction division'!B77,'reductions data'!A:A,$L$72)</f>
        <v>0</v>
      </c>
      <c r="M77" s="74">
        <f>SUMIFS('reductions data'!H:H,'reductions data'!G:G,'reasons for reduction division'!B77,'reductions data'!A:A,$M$72)</f>
        <v>0</v>
      </c>
      <c r="N77" s="74">
        <f>SUMIFS('reductions data'!H:H,'reductions data'!G:G,'reasons for reduction division'!B77,'reductions data'!A:A,$N$72)</f>
        <v>0</v>
      </c>
      <c r="O77" s="74">
        <f>SUMIFS('reductions data'!$H:$H,'reductions data'!$G:$G,'reasons for reduction division'!B77,'reductions data'!$A:$A,O$72)</f>
        <v>0</v>
      </c>
      <c r="P77" s="74">
        <f>SUMIFS('reductions data'!$H:$H,'reductions data'!$G:$G,'reasons for reduction division'!B77,'reductions data'!$A:$A,P$72)</f>
        <v>0</v>
      </c>
      <c r="Q77" s="74">
        <f>SUMIFS('reductions data'!$H:$H,'reductions data'!$G:$G,'reasons for reduction division'!B77,'reductions data'!$A:$A,Q$72)</f>
        <v>0</v>
      </c>
      <c r="R77" s="118">
        <f>SUMIF('reductions data'!G:G,'reasons for reduction division'!B77,'reductions data'!H:H)</f>
        <v>0</v>
      </c>
    </row>
    <row r="78" spans="2:18" x14ac:dyDescent="0.15">
      <c r="B78" s="126" t="s">
        <v>1109</v>
      </c>
      <c r="C78" s="74">
        <f>SUMIFS('reductions data'!H:H,'reductions data'!G:G,'reasons for reduction division'!B78,'reductions data'!A:A,$C$72)</f>
        <v>0</v>
      </c>
      <c r="D78" s="74">
        <f>SUMIFS('reductions data'!H:H,'reductions data'!G:G,'reasons for reduction division'!B78,'reductions data'!A:A,$D$72)</f>
        <v>0</v>
      </c>
      <c r="E78" s="74">
        <f>SUMIFS('reductions data'!H:H,'reductions data'!G:G,'reasons for reduction division'!B78,'reductions data'!A:A,$E$72)</f>
        <v>0</v>
      </c>
      <c r="F78" s="74">
        <f>SUMIFS('reductions data'!H:H,'reductions data'!G:G,'reasons for reduction division'!B78,'reductions data'!A:A,$F$72)</f>
        <v>0</v>
      </c>
      <c r="G78" s="74">
        <f>SUMIFS('reductions data'!H:H,'reductions data'!G:G,'reasons for reduction division'!B78,'reductions data'!A:A,$G$72)</f>
        <v>0</v>
      </c>
      <c r="H78" s="74">
        <f>SUMIFS('reductions data'!H:H,'reductions data'!G:G,'reasons for reduction division'!B78,'reductions data'!A:A,$H$72)</f>
        <v>0</v>
      </c>
      <c r="I78" s="74">
        <f>SUMIFS('reductions data'!H:H,'reductions data'!G:G,'reasons for reduction division'!B78,'reductions data'!A:A,$I$72)</f>
        <v>0</v>
      </c>
      <c r="J78" s="74">
        <f>SUMIFS('reductions data'!H:H,'reductions data'!G:G,'reasons for reduction division'!B78,'reductions data'!A:A,$J$72)</f>
        <v>0</v>
      </c>
      <c r="K78" s="74">
        <f>SUMIFS('reductions data'!H:H,'reductions data'!G:G,'reasons for reduction division'!B78,'reductions data'!A:A,$K$72)</f>
        <v>0</v>
      </c>
      <c r="L78" s="74">
        <f>SUMIFS('reductions data'!H:H,'reductions data'!G:G,'reasons for reduction division'!B78,'reductions data'!A:A,$L$72)</f>
        <v>0</v>
      </c>
      <c r="M78" s="74">
        <f>SUMIFS('reductions data'!H:H,'reductions data'!G:G,'reasons for reduction division'!B78,'reductions data'!A:A,$M$72)</f>
        <v>0</v>
      </c>
      <c r="N78" s="74">
        <f>SUMIFS('reductions data'!H:H,'reductions data'!G:G,'reasons for reduction division'!B78,'reductions data'!A:A,$N$72)</f>
        <v>0</v>
      </c>
      <c r="O78" s="74">
        <f>SUMIFS('reductions data'!$H:$H,'reductions data'!$G:$G,'reasons for reduction division'!B78,'reductions data'!$A:$A,O$72)</f>
        <v>0</v>
      </c>
      <c r="P78" s="74">
        <f>SUMIFS('reductions data'!$H:$H,'reductions data'!$G:$G,'reasons for reduction division'!B78,'reductions data'!$A:$A,P$72)</f>
        <v>0</v>
      </c>
      <c r="Q78" s="74">
        <f>SUMIFS('reductions data'!$H:$H,'reductions data'!$G:$G,'reasons for reduction division'!B78,'reductions data'!$A:$A,Q$72)</f>
        <v>0</v>
      </c>
      <c r="R78" s="118">
        <f>SUMIF('reductions data'!G:G,'reasons for reduction division'!B78,'reductions data'!H:H)</f>
        <v>0</v>
      </c>
    </row>
    <row r="79" spans="2:18" x14ac:dyDescent="0.15">
      <c r="B79" s="126" t="s">
        <v>1089</v>
      </c>
      <c r="C79" s="74">
        <f>SUMIFS('reductions data'!H:H,'reductions data'!G:G,'reasons for reduction division'!B79,'reductions data'!A:A,$C$72)</f>
        <v>0</v>
      </c>
      <c r="D79" s="74">
        <f>SUMIFS('reductions data'!H:H,'reductions data'!G:G,'reasons for reduction division'!B79,'reductions data'!A:A,$D$72)</f>
        <v>0</v>
      </c>
      <c r="E79" s="74">
        <f>SUMIFS('reductions data'!H:H,'reductions data'!G:G,'reasons for reduction division'!B79,'reductions data'!A:A,$E$72)</f>
        <v>0</v>
      </c>
      <c r="F79" s="74">
        <f>SUMIFS('reductions data'!H:H,'reductions data'!G:G,'reasons for reduction division'!B79,'reductions data'!A:A,$F$72)</f>
        <v>0</v>
      </c>
      <c r="G79" s="74">
        <f>SUMIFS('reductions data'!H:H,'reductions data'!G:G,'reasons for reduction division'!B79,'reductions data'!A:A,$G$72)</f>
        <v>0</v>
      </c>
      <c r="H79" s="74">
        <f>SUMIFS('reductions data'!H:H,'reductions data'!G:G,'reasons for reduction division'!B79,'reductions data'!A:A,$H$72)</f>
        <v>0</v>
      </c>
      <c r="I79" s="74">
        <f>SUMIFS('reductions data'!H:H,'reductions data'!G:G,'reasons for reduction division'!B79,'reductions data'!A:A,$I$72)</f>
        <v>0</v>
      </c>
      <c r="J79" s="74">
        <f>SUMIFS('reductions data'!H:H,'reductions data'!G:G,'reasons for reduction division'!B79,'reductions data'!A:A,$J$72)</f>
        <v>0</v>
      </c>
      <c r="K79" s="74">
        <f>SUMIFS('reductions data'!H:H,'reductions data'!G:G,'reasons for reduction division'!B79,'reductions data'!A:A,$K$72)</f>
        <v>0</v>
      </c>
      <c r="L79" s="74">
        <f>SUMIFS('reductions data'!H:H,'reductions data'!G:G,'reasons for reduction division'!B79,'reductions data'!A:A,$L$72)</f>
        <v>0</v>
      </c>
      <c r="M79" s="74">
        <f>SUMIFS('reductions data'!H:H,'reductions data'!G:G,'reasons for reduction division'!B79,'reductions data'!A:A,$M$72)</f>
        <v>0</v>
      </c>
      <c r="N79" s="74">
        <f>SUMIFS('reductions data'!H:H,'reductions data'!G:G,'reasons for reduction division'!B79,'reductions data'!A:A,$N$72)</f>
        <v>0</v>
      </c>
      <c r="O79" s="74">
        <f>SUMIFS('reductions data'!$H:$H,'reductions data'!$G:$G,'reasons for reduction division'!B79,'reductions data'!$A:$A,O$72)</f>
        <v>0</v>
      </c>
      <c r="P79" s="74">
        <f>SUMIFS('reductions data'!$H:$H,'reductions data'!$G:$G,'reasons for reduction division'!B79,'reductions data'!$A:$A,P$72)</f>
        <v>0</v>
      </c>
      <c r="Q79" s="74">
        <f>SUMIFS('reductions data'!$H:$H,'reductions data'!$G:$G,'reasons for reduction division'!B79,'reductions data'!$A:$A,Q$72)</f>
        <v>0</v>
      </c>
      <c r="R79" s="118">
        <f>SUMIF('reductions data'!G:G,'reasons for reduction division'!B79,'reductions data'!H:H)</f>
        <v>0</v>
      </c>
    </row>
    <row r="80" spans="2:18" x14ac:dyDescent="0.15">
      <c r="B80" s="126" t="s">
        <v>1117</v>
      </c>
      <c r="C80" s="74">
        <f>SUMIFS('reductions data'!H:H,'reductions data'!G:G,'reasons for reduction division'!B80,'reductions data'!A:A,$C$72)</f>
        <v>0</v>
      </c>
      <c r="D80" s="74">
        <f>SUMIFS('reductions data'!H:H,'reductions data'!G:G,'reasons for reduction division'!B80,'reductions data'!A:A,$D$72)</f>
        <v>0</v>
      </c>
      <c r="E80" s="74">
        <f>SUMIFS('reductions data'!H:H,'reductions data'!G:G,'reasons for reduction division'!B80,'reductions data'!A:A,$E$72)</f>
        <v>0</v>
      </c>
      <c r="F80" s="74">
        <f>SUMIFS('reductions data'!H:H,'reductions data'!G:G,'reasons for reduction division'!B80,'reductions data'!A:A,$F$72)</f>
        <v>0</v>
      </c>
      <c r="G80" s="74">
        <f>SUMIFS('reductions data'!H:H,'reductions data'!G:G,'reasons for reduction division'!B80,'reductions data'!A:A,$G$72)</f>
        <v>0</v>
      </c>
      <c r="H80" s="74">
        <f>SUMIFS('reductions data'!H:H,'reductions data'!G:G,'reasons for reduction division'!B80,'reductions data'!A:A,$H$72)</f>
        <v>0</v>
      </c>
      <c r="I80" s="74">
        <f>SUMIFS('reductions data'!H:H,'reductions data'!G:G,'reasons for reduction division'!B80,'reductions data'!A:A,$I$72)</f>
        <v>0</v>
      </c>
      <c r="J80" s="74">
        <f>SUMIFS('reductions data'!H:H,'reductions data'!G:G,'reasons for reduction division'!B80,'reductions data'!A:A,$J$72)</f>
        <v>0</v>
      </c>
      <c r="K80" s="74">
        <f>SUMIFS('reductions data'!H:H,'reductions data'!G:G,'reasons for reduction division'!B80,'reductions data'!A:A,$K$72)</f>
        <v>0</v>
      </c>
      <c r="L80" s="74">
        <f>SUMIFS('reductions data'!H:H,'reductions data'!G:G,'reasons for reduction division'!B80,'reductions data'!A:A,$L$72)</f>
        <v>0</v>
      </c>
      <c r="M80" s="74">
        <f>SUMIFS('reductions data'!H:H,'reductions data'!G:G,'reasons for reduction division'!B80,'reductions data'!A:A,$M$72)</f>
        <v>0</v>
      </c>
      <c r="N80" s="74">
        <f>SUMIFS('reductions data'!H:H,'reductions data'!G:G,'reasons for reduction division'!B80,'reductions data'!A:A,$N$72)</f>
        <v>0</v>
      </c>
      <c r="O80" s="74">
        <f>SUMIFS('reductions data'!$H:$H,'reductions data'!$G:$G,'reasons for reduction division'!B80,'reductions data'!$A:$A,O$72)</f>
        <v>0</v>
      </c>
      <c r="P80" s="74">
        <f>SUMIFS('reductions data'!$H:$H,'reductions data'!$G:$G,'reasons for reduction division'!B80,'reductions data'!$A:$A,P$72)</f>
        <v>0</v>
      </c>
      <c r="Q80" s="74">
        <f>SUMIFS('reductions data'!$H:$H,'reductions data'!$G:$G,'reasons for reduction division'!B80,'reductions data'!$A:$A,Q$72)</f>
        <v>0</v>
      </c>
      <c r="R80" s="118">
        <f>SUMIF('reductions data'!G:G,'reasons for reduction division'!B80,'reductions data'!H:H)</f>
        <v>0</v>
      </c>
    </row>
    <row r="81" spans="2:18" x14ac:dyDescent="0.15">
      <c r="B81" s="126" t="s">
        <v>1086</v>
      </c>
      <c r="C81" s="74">
        <f>SUMIFS('reductions data'!H:H,'reductions data'!G:G,'reasons for reduction division'!B81,'reductions data'!A:A,$C$72)</f>
        <v>0</v>
      </c>
      <c r="D81" s="74">
        <f>SUMIFS('reductions data'!H:H,'reductions data'!G:G,'reasons for reduction division'!B81,'reductions data'!A:A,$D$72)</f>
        <v>0</v>
      </c>
      <c r="E81" s="74">
        <f>SUMIFS('reductions data'!H:H,'reductions data'!G:G,'reasons for reduction division'!B81,'reductions data'!A:A,$E$72)</f>
        <v>0</v>
      </c>
      <c r="F81" s="74">
        <f>SUMIFS('reductions data'!H:H,'reductions data'!G:G,'reasons for reduction division'!B81,'reductions data'!A:A,$F$72)</f>
        <v>0</v>
      </c>
      <c r="G81" s="74">
        <f>SUMIFS('reductions data'!H:H,'reductions data'!G:G,'reasons for reduction division'!B81,'reductions data'!A:A,$G$72)</f>
        <v>0</v>
      </c>
      <c r="H81" s="74">
        <f>SUMIFS('reductions data'!H:H,'reductions data'!G:G,'reasons for reduction division'!B81,'reductions data'!A:A,$H$72)</f>
        <v>0</v>
      </c>
      <c r="I81" s="74">
        <f>SUMIFS('reductions data'!H:H,'reductions data'!G:G,'reasons for reduction division'!B81,'reductions data'!A:A,$I$72)</f>
        <v>0</v>
      </c>
      <c r="J81" s="74">
        <f>SUMIFS('reductions data'!H:H,'reductions data'!G:G,'reasons for reduction division'!B81,'reductions data'!A:A,$J$72)</f>
        <v>0</v>
      </c>
      <c r="K81" s="74">
        <f>SUMIFS('reductions data'!H:H,'reductions data'!G:G,'reasons for reduction division'!B81,'reductions data'!A:A,$K$72)</f>
        <v>0</v>
      </c>
      <c r="L81" s="74">
        <f>SUMIFS('reductions data'!H:H,'reductions data'!G:G,'reasons for reduction division'!B81,'reductions data'!A:A,$L$72)</f>
        <v>0</v>
      </c>
      <c r="M81" s="74">
        <f>SUMIFS('reductions data'!H:H,'reductions data'!G:G,'reasons for reduction division'!B81,'reductions data'!A:A,$M$72)</f>
        <v>0</v>
      </c>
      <c r="N81" s="74">
        <f>SUMIFS('reductions data'!H:H,'reductions data'!G:G,'reasons for reduction division'!B81,'reductions data'!A:A,$N$72)</f>
        <v>0</v>
      </c>
      <c r="O81" s="74">
        <f>SUMIFS('reductions data'!$H:$H,'reductions data'!$G:$G,'reasons for reduction division'!B81,'reductions data'!$A:$A,O$72)</f>
        <v>0</v>
      </c>
      <c r="P81" s="74">
        <f>SUMIFS('reductions data'!$H:$H,'reductions data'!$G:$G,'reasons for reduction division'!B81,'reductions data'!$A:$A,P$72)</f>
        <v>0</v>
      </c>
      <c r="Q81" s="74">
        <f>SUMIFS('reductions data'!$H:$H,'reductions data'!$G:$G,'reasons for reduction division'!B81,'reductions data'!$A:$A,Q$72)</f>
        <v>0</v>
      </c>
      <c r="R81" s="118">
        <f>SUMIF('reductions data'!G:G,'reasons for reduction division'!B81,'reductions data'!H:H)</f>
        <v>0</v>
      </c>
    </row>
    <row r="82" spans="2:18" x14ac:dyDescent="0.15">
      <c r="B82" s="126" t="s">
        <v>1091</v>
      </c>
      <c r="C82" s="74">
        <f>SUMIFS('reductions data'!H:H,'reductions data'!G:G,'reasons for reduction division'!B82,'reductions data'!A:A,$C$72)</f>
        <v>0</v>
      </c>
      <c r="D82" s="74">
        <f>SUMIFS('reductions data'!H:H,'reductions data'!G:G,'reasons for reduction division'!B82,'reductions data'!A:A,$D$72)</f>
        <v>0</v>
      </c>
      <c r="E82" s="74">
        <f>SUMIFS('reductions data'!H:H,'reductions data'!G:G,'reasons for reduction division'!B82,'reductions data'!A:A,$E$72)</f>
        <v>0</v>
      </c>
      <c r="F82" s="74">
        <f>SUMIFS('reductions data'!H:H,'reductions data'!G:G,'reasons for reduction division'!B82,'reductions data'!A:A,$F$72)</f>
        <v>0</v>
      </c>
      <c r="G82" s="74">
        <f>SUMIFS('reductions data'!H:H,'reductions data'!G:G,'reasons for reduction division'!B82,'reductions data'!A:A,$G$72)</f>
        <v>0</v>
      </c>
      <c r="H82" s="74">
        <f>SUMIFS('reductions data'!H:H,'reductions data'!G:G,'reasons for reduction division'!B82,'reductions data'!A:A,$H$72)</f>
        <v>0</v>
      </c>
      <c r="I82" s="74">
        <f>SUMIFS('reductions data'!H:H,'reductions data'!G:G,'reasons for reduction division'!B82,'reductions data'!A:A,$I$72)</f>
        <v>0</v>
      </c>
      <c r="J82" s="74">
        <f>SUMIFS('reductions data'!H:H,'reductions data'!G:G,'reasons for reduction division'!B82,'reductions data'!A:A,$J$72)</f>
        <v>0</v>
      </c>
      <c r="K82" s="74">
        <f>SUMIFS('reductions data'!H:H,'reductions data'!G:G,'reasons for reduction division'!B82,'reductions data'!A:A,$K$72)</f>
        <v>0</v>
      </c>
      <c r="L82" s="74">
        <f>SUMIFS('reductions data'!H:H,'reductions data'!G:G,'reasons for reduction division'!B82,'reductions data'!A:A,$L$72)</f>
        <v>0</v>
      </c>
      <c r="M82" s="74">
        <f>SUMIFS('reductions data'!H:H,'reductions data'!G:G,'reasons for reduction division'!B82,'reductions data'!A:A,$M$72)</f>
        <v>0</v>
      </c>
      <c r="N82" s="74">
        <f>SUMIFS('reductions data'!H:H,'reductions data'!G:G,'reasons for reduction division'!B82,'reductions data'!A:A,$N$72)</f>
        <v>0</v>
      </c>
      <c r="O82" s="74">
        <f>SUMIFS('reductions data'!$H:$H,'reductions data'!$G:$G,'reasons for reduction division'!B82,'reductions data'!$A:$A,O$72)</f>
        <v>0</v>
      </c>
      <c r="P82" s="74">
        <f>SUMIFS('reductions data'!$H:$H,'reductions data'!$G:$G,'reasons for reduction division'!B82,'reductions data'!$A:$A,P$72)</f>
        <v>0</v>
      </c>
      <c r="Q82" s="74">
        <f>SUMIFS('reductions data'!$H:$H,'reductions data'!$G:$G,'reasons for reduction division'!B82,'reductions data'!$A:$A,Q$72)</f>
        <v>0</v>
      </c>
      <c r="R82" s="118">
        <f>SUMIF('reductions data'!G:G,'reasons for reduction division'!B82,'reductions data'!H:H)</f>
        <v>0</v>
      </c>
    </row>
    <row r="83" spans="2:18" x14ac:dyDescent="0.15">
      <c r="B83" s="126" t="s">
        <v>1102</v>
      </c>
      <c r="C83" s="74">
        <f>SUMIFS('reductions data'!H:H,'reductions data'!G:G,'reasons for reduction division'!B83,'reductions data'!A:A,$C$72)</f>
        <v>0</v>
      </c>
      <c r="D83" s="74">
        <f>SUMIFS('reductions data'!H:H,'reductions data'!G:G,'reasons for reduction division'!B83,'reductions data'!A:A,$D$72)</f>
        <v>0</v>
      </c>
      <c r="E83" s="74">
        <f>SUMIFS('reductions data'!H:H,'reductions data'!G:G,'reasons for reduction division'!B83,'reductions data'!A:A,$E$72)</f>
        <v>0</v>
      </c>
      <c r="F83" s="74">
        <f>SUMIFS('reductions data'!H:H,'reductions data'!G:G,'reasons for reduction division'!B83,'reductions data'!A:A,$F$72)</f>
        <v>0</v>
      </c>
      <c r="G83" s="74">
        <f>SUMIFS('reductions data'!H:H,'reductions data'!G:G,'reasons for reduction division'!B83,'reductions data'!A:A,$G$72)</f>
        <v>0</v>
      </c>
      <c r="H83" s="74">
        <f>SUMIFS('reductions data'!H:H,'reductions data'!G:G,'reasons for reduction division'!B83,'reductions data'!A:A,$H$72)</f>
        <v>0</v>
      </c>
      <c r="I83" s="74">
        <f>SUMIFS('reductions data'!H:H,'reductions data'!G:G,'reasons for reduction division'!B83,'reductions data'!A:A,$I$72)</f>
        <v>0</v>
      </c>
      <c r="J83" s="74">
        <f>SUMIFS('reductions data'!H:H,'reductions data'!G:G,'reasons for reduction division'!B83,'reductions data'!A:A,$J$72)</f>
        <v>0</v>
      </c>
      <c r="K83" s="74">
        <f>SUMIFS('reductions data'!H:H,'reductions data'!G:G,'reasons for reduction division'!B83,'reductions data'!A:A,$K$72)</f>
        <v>0</v>
      </c>
      <c r="L83" s="74">
        <f>SUMIFS('reductions data'!H:H,'reductions data'!G:G,'reasons for reduction division'!B83,'reductions data'!A:A,$L$72)</f>
        <v>0</v>
      </c>
      <c r="M83" s="74">
        <f>SUMIFS('reductions data'!H:H,'reductions data'!G:G,'reasons for reduction division'!B83,'reductions data'!A:A,$M$72)</f>
        <v>0</v>
      </c>
      <c r="N83" s="74">
        <f>SUMIFS('reductions data'!H:H,'reductions data'!G:G,'reasons for reduction division'!B83,'reductions data'!A:A,$N$72)</f>
        <v>0</v>
      </c>
      <c r="O83" s="74">
        <f>SUMIFS('reductions data'!$H:$H,'reductions data'!$G:$G,'reasons for reduction division'!B83,'reductions data'!$A:$A,O$72)</f>
        <v>0</v>
      </c>
      <c r="P83" s="74">
        <f>SUMIFS('reductions data'!$H:$H,'reductions data'!$G:$G,'reasons for reduction division'!B83,'reductions data'!$A:$A,P$72)</f>
        <v>0</v>
      </c>
      <c r="Q83" s="74">
        <f>SUMIFS('reductions data'!$H:$H,'reductions data'!$G:$G,'reasons for reduction division'!B83,'reductions data'!$A:$A,Q$72)</f>
        <v>0</v>
      </c>
      <c r="R83" s="118">
        <f>SUMIF('reductions data'!G:G,'reasons for reduction division'!B83,'reductions data'!H:H)</f>
        <v>0</v>
      </c>
    </row>
    <row r="84" spans="2:18" x14ac:dyDescent="0.15">
      <c r="B84" s="126" t="s">
        <v>1085</v>
      </c>
      <c r="C84" s="74">
        <f>SUMIFS('reductions data'!H:H,'reductions data'!G:G,'reasons for reduction division'!B84,'reductions data'!A:A,$C$72)</f>
        <v>0</v>
      </c>
      <c r="D84" s="74">
        <f>SUMIFS('reductions data'!H:H,'reductions data'!G:G,'reasons for reduction division'!B84,'reductions data'!A:A,$D$72)</f>
        <v>0</v>
      </c>
      <c r="E84" s="74">
        <f>SUMIFS('reductions data'!H:H,'reductions data'!G:G,'reasons for reduction division'!B84,'reductions data'!A:A,$E$72)</f>
        <v>0</v>
      </c>
      <c r="F84" s="74">
        <f>SUMIFS('reductions data'!H:H,'reductions data'!G:G,'reasons for reduction division'!B84,'reductions data'!A:A,$F$72)</f>
        <v>0</v>
      </c>
      <c r="G84" s="74">
        <f>SUMIFS('reductions data'!H:H,'reductions data'!G:G,'reasons for reduction division'!B84,'reductions data'!A:A,$G$72)</f>
        <v>0</v>
      </c>
      <c r="H84" s="74">
        <f>SUMIFS('reductions data'!H:H,'reductions data'!G:G,'reasons for reduction division'!B84,'reductions data'!A:A,$H$72)</f>
        <v>0</v>
      </c>
      <c r="I84" s="74">
        <f>SUMIFS('reductions data'!H:H,'reductions data'!G:G,'reasons for reduction division'!B84,'reductions data'!A:A,$I$72)</f>
        <v>0</v>
      </c>
      <c r="J84" s="74">
        <f>SUMIFS('reductions data'!H:H,'reductions data'!G:G,'reasons for reduction division'!B84,'reductions data'!A:A,$J$72)</f>
        <v>0</v>
      </c>
      <c r="K84" s="74">
        <f>SUMIFS('reductions data'!H:H,'reductions data'!G:G,'reasons for reduction division'!B84,'reductions data'!A:A,$K$72)</f>
        <v>0</v>
      </c>
      <c r="L84" s="74">
        <f>SUMIFS('reductions data'!H:H,'reductions data'!G:G,'reasons for reduction division'!B84,'reductions data'!A:A,$L$72)</f>
        <v>0</v>
      </c>
      <c r="M84" s="74">
        <f>SUMIFS('reductions data'!H:H,'reductions data'!G:G,'reasons for reduction division'!B84,'reductions data'!A:A,$M$72)</f>
        <v>0</v>
      </c>
      <c r="N84" s="74">
        <f>SUMIFS('reductions data'!H:H,'reductions data'!G:G,'reasons for reduction division'!B84,'reductions data'!A:A,$N$72)</f>
        <v>0</v>
      </c>
      <c r="O84" s="74">
        <f>SUMIFS('reductions data'!$H:$H,'reductions data'!$G:$G,'reasons for reduction division'!B84,'reductions data'!$A:$A,O$72)</f>
        <v>0</v>
      </c>
      <c r="P84" s="74">
        <f>SUMIFS('reductions data'!$H:$H,'reductions data'!$G:$G,'reasons for reduction division'!B84,'reductions data'!$A:$A,P$72)</f>
        <v>0</v>
      </c>
      <c r="Q84" s="74">
        <f>SUMIFS('reductions data'!$H:$H,'reductions data'!$G:$G,'reasons for reduction division'!B84,'reductions data'!$A:$A,Q$72)</f>
        <v>0</v>
      </c>
      <c r="R84" s="118">
        <f>SUMIF('reductions data'!G:G,'reasons for reduction division'!B84,'reductions data'!H:H)</f>
        <v>0</v>
      </c>
    </row>
    <row r="85" spans="2:18" x14ac:dyDescent="0.15">
      <c r="B85" s="126" t="s">
        <v>1092</v>
      </c>
      <c r="C85" s="74">
        <f>SUMIFS('reductions data'!H:H,'reductions data'!G:G,'reasons for reduction division'!B85,'reductions data'!A:A,$C$72)</f>
        <v>0</v>
      </c>
      <c r="D85" s="74">
        <f>SUMIFS('reductions data'!H:H,'reductions data'!G:G,'reasons for reduction division'!B85,'reductions data'!A:A,$D$72)</f>
        <v>0</v>
      </c>
      <c r="E85" s="74">
        <f>SUMIFS('reductions data'!H:H,'reductions data'!G:G,'reasons for reduction division'!B85,'reductions data'!A:A,$E$72)</f>
        <v>0</v>
      </c>
      <c r="F85" s="74">
        <f>SUMIFS('reductions data'!H:H,'reductions data'!G:G,'reasons for reduction division'!B85,'reductions data'!A:A,$F$72)</f>
        <v>0</v>
      </c>
      <c r="G85" s="74">
        <f>SUMIFS('reductions data'!H:H,'reductions data'!G:G,'reasons for reduction division'!B85,'reductions data'!A:A,$G$72)</f>
        <v>0</v>
      </c>
      <c r="H85" s="74">
        <f>SUMIFS('reductions data'!H:H,'reductions data'!G:G,'reasons for reduction division'!B85,'reductions data'!A:A,$H$72)</f>
        <v>0</v>
      </c>
      <c r="I85" s="74">
        <f>SUMIFS('reductions data'!H:H,'reductions data'!G:G,'reasons for reduction division'!B85,'reductions data'!A:A,$I$72)</f>
        <v>0</v>
      </c>
      <c r="J85" s="74">
        <f>SUMIFS('reductions data'!H:H,'reductions data'!G:G,'reasons for reduction division'!B85,'reductions data'!A:A,$J$72)</f>
        <v>0</v>
      </c>
      <c r="K85" s="74">
        <f>SUMIFS('reductions data'!H:H,'reductions data'!G:G,'reasons for reduction division'!B85,'reductions data'!A:A,$K$72)</f>
        <v>0</v>
      </c>
      <c r="L85" s="74">
        <f>SUMIFS('reductions data'!H:H,'reductions data'!G:G,'reasons for reduction division'!B85,'reductions data'!A:A,$L$72)</f>
        <v>0</v>
      </c>
      <c r="M85" s="74">
        <f>SUMIFS('reductions data'!H:H,'reductions data'!G:G,'reasons for reduction division'!B85,'reductions data'!A:A,$M$72)</f>
        <v>0</v>
      </c>
      <c r="N85" s="74">
        <f>SUMIFS('reductions data'!H:H,'reductions data'!G:G,'reasons for reduction division'!B85,'reductions data'!A:A,$N$72)</f>
        <v>0</v>
      </c>
      <c r="O85" s="74">
        <f>SUMIFS('reductions data'!$H:$H,'reductions data'!$G:$G,'reasons for reduction division'!B85,'reductions data'!$A:$A,O$72)</f>
        <v>0</v>
      </c>
      <c r="P85" s="74">
        <f>SUMIFS('reductions data'!$H:$H,'reductions data'!$G:$G,'reasons for reduction division'!B85,'reductions data'!$A:$A,P$72)</f>
        <v>0</v>
      </c>
      <c r="Q85" s="74">
        <f>SUMIFS('reductions data'!$H:$H,'reductions data'!$G:$G,'reasons for reduction division'!B85,'reductions data'!$A:$A,Q$72)</f>
        <v>0</v>
      </c>
      <c r="R85" s="118">
        <f>SUMIF('reductions data'!G:G,'reasons for reduction division'!B85,'reductions data'!H:H)</f>
        <v>0</v>
      </c>
    </row>
    <row r="86" spans="2:18" x14ac:dyDescent="0.15">
      <c r="B86" s="126" t="s">
        <v>1118</v>
      </c>
      <c r="C86" s="74">
        <f>SUMIFS('reductions data'!H:H,'reductions data'!G:G,'reasons for reduction division'!B86,'reductions data'!A:A,$C$72)</f>
        <v>0</v>
      </c>
      <c r="D86" s="74">
        <f>SUMIFS('reductions data'!H:H,'reductions data'!G:G,'reasons for reduction division'!B86,'reductions data'!A:A,$D$72)</f>
        <v>0</v>
      </c>
      <c r="E86" s="74">
        <f>SUMIFS('reductions data'!H:H,'reductions data'!G:G,'reasons for reduction division'!B86,'reductions data'!A:A,$E$72)</f>
        <v>0</v>
      </c>
      <c r="F86" s="74">
        <f>SUMIFS('reductions data'!H:H,'reductions data'!G:G,'reasons for reduction division'!B86,'reductions data'!A:A,$F$72)</f>
        <v>0</v>
      </c>
      <c r="G86" s="74">
        <f>SUMIFS('reductions data'!H:H,'reductions data'!G:G,'reasons for reduction division'!B86,'reductions data'!A:A,$G$72)</f>
        <v>0</v>
      </c>
      <c r="H86" s="74">
        <f>SUMIFS('reductions data'!H:H,'reductions data'!G:G,'reasons for reduction division'!B86,'reductions data'!A:A,$H$72)</f>
        <v>0</v>
      </c>
      <c r="I86" s="74">
        <f>SUMIFS('reductions data'!H:H,'reductions data'!G:G,'reasons for reduction division'!B86,'reductions data'!A:A,$I$72)</f>
        <v>0</v>
      </c>
      <c r="J86" s="74">
        <f>SUMIFS('reductions data'!H:H,'reductions data'!G:G,'reasons for reduction division'!B86,'reductions data'!A:A,$J$72)</f>
        <v>0</v>
      </c>
      <c r="K86" s="74">
        <f>SUMIFS('reductions data'!H:H,'reductions data'!G:G,'reasons for reduction division'!B86,'reductions data'!A:A,$K$72)</f>
        <v>0</v>
      </c>
      <c r="L86" s="74">
        <f>SUMIFS('reductions data'!H:H,'reductions data'!G:G,'reasons for reduction division'!B86,'reductions data'!A:A,$L$72)</f>
        <v>0</v>
      </c>
      <c r="M86" s="74">
        <f>SUMIFS('reductions data'!H:H,'reductions data'!G:G,'reasons for reduction division'!B86,'reductions data'!A:A,$M$72)</f>
        <v>0</v>
      </c>
      <c r="N86" s="74">
        <f>SUMIFS('reductions data'!H:H,'reductions data'!G:G,'reasons for reduction division'!B86,'reductions data'!A:A,$N$72)</f>
        <v>0</v>
      </c>
      <c r="O86" s="74">
        <f>SUMIFS('reductions data'!$H:$H,'reductions data'!$G:$G,'reasons for reduction division'!B86,'reductions data'!$A:$A,O$72)</f>
        <v>0</v>
      </c>
      <c r="P86" s="74">
        <f>SUMIFS('reductions data'!$H:$H,'reductions data'!$G:$G,'reasons for reduction division'!B86,'reductions data'!$A:$A,P$72)</f>
        <v>0</v>
      </c>
      <c r="Q86" s="74">
        <f>SUMIFS('reductions data'!$H:$H,'reductions data'!$G:$G,'reasons for reduction division'!B86,'reductions data'!$A:$A,Q$72)</f>
        <v>0</v>
      </c>
      <c r="R86" s="118">
        <f>SUMIF('reductions data'!G:G,'reasons for reduction division'!B86,'reductions data'!H:H)</f>
        <v>0</v>
      </c>
    </row>
    <row r="87" spans="2:18" x14ac:dyDescent="0.15">
      <c r="B87" s="126" t="s">
        <v>1187</v>
      </c>
      <c r="C87" s="74">
        <f>SUMIFS('reductions data'!H:H,'reductions data'!G:G,'reasons for reduction division'!B87,'reductions data'!A:A,$C$72)</f>
        <v>0</v>
      </c>
      <c r="D87" s="74">
        <f>SUMIFS('reductions data'!H:H,'reductions data'!G:G,'reasons for reduction division'!B87,'reductions data'!A:A,$D$72)</f>
        <v>0</v>
      </c>
      <c r="E87" s="74">
        <f>SUMIFS('reductions data'!H:H,'reductions data'!G:G,'reasons for reduction division'!B87,'reductions data'!A:A,$E$72)</f>
        <v>0</v>
      </c>
      <c r="F87" s="74">
        <f>SUMIFS('reductions data'!H:H,'reductions data'!G:G,'reasons for reduction division'!B87,'reductions data'!A:A,$F$72)</f>
        <v>0</v>
      </c>
      <c r="G87" s="74">
        <f>SUMIFS('reductions data'!H:H,'reductions data'!G:G,'reasons for reduction division'!B87,'reductions data'!A:A,$G$72)</f>
        <v>0</v>
      </c>
      <c r="H87" s="74">
        <f>SUMIFS('reductions data'!H:H,'reductions data'!G:G,'reasons for reduction division'!B87,'reductions data'!A:A,$H$72)</f>
        <v>0</v>
      </c>
      <c r="I87" s="74">
        <f>SUMIFS('reductions data'!H:H,'reductions data'!G:G,'reasons for reduction division'!B87,'reductions data'!A:A,$I$72)</f>
        <v>0</v>
      </c>
      <c r="J87" s="74">
        <f>SUMIFS('reductions data'!H:H,'reductions data'!G:G,'reasons for reduction division'!B87,'reductions data'!A:A,$J$72)</f>
        <v>0</v>
      </c>
      <c r="K87" s="74">
        <f>SUMIFS('reductions data'!H:H,'reductions data'!G:G,'reasons for reduction division'!B87,'reductions data'!A:A,$K$72)</f>
        <v>0</v>
      </c>
      <c r="L87" s="74">
        <f>SUMIFS('reductions data'!H:H,'reductions data'!G:G,'reasons for reduction division'!B87,'reductions data'!A:A,$L$72)</f>
        <v>0</v>
      </c>
      <c r="M87" s="74">
        <f>SUMIFS('reductions data'!H:H,'reductions data'!G:G,'reasons for reduction division'!B87,'reductions data'!A:A,$M$72)</f>
        <v>0</v>
      </c>
      <c r="N87" s="74">
        <f>SUMIFS('reductions data'!H:H,'reductions data'!G:G,'reasons for reduction division'!B87,'reductions data'!A:A,$N$72)</f>
        <v>0</v>
      </c>
      <c r="O87" s="74">
        <f>SUMIFS('reductions data'!$H:$H,'reductions data'!$G:$G,'reasons for reduction division'!B87,'reductions data'!$A:$A,O$72)</f>
        <v>0</v>
      </c>
      <c r="P87" s="74">
        <f>SUMIFS('reductions data'!$H:$H,'reductions data'!$G:$G,'reasons for reduction division'!B87,'reductions data'!$A:$A,P$72)</f>
        <v>0</v>
      </c>
      <c r="Q87" s="74">
        <f>SUMIFS('reductions data'!$H:$H,'reductions data'!$G:$G,'reasons for reduction division'!B87,'reductions data'!$A:$A,Q$72)</f>
        <v>0</v>
      </c>
      <c r="R87" s="118">
        <f>SUMIF('reductions data'!G:G,'reasons for reduction division'!B87,'reductions data'!H:H)</f>
        <v>0</v>
      </c>
    </row>
    <row r="88" spans="2:18" x14ac:dyDescent="0.15">
      <c r="B88" s="126" t="s">
        <v>1120</v>
      </c>
      <c r="C88" s="74">
        <f>SUMIFS('reductions data'!H:H,'reductions data'!G:G,'reasons for reduction division'!B88,'reductions data'!A:A,$C$72)</f>
        <v>0</v>
      </c>
      <c r="D88" s="74">
        <f>SUMIFS('reductions data'!H:H,'reductions data'!G:G,'reasons for reduction division'!B88,'reductions data'!A:A,$D$72)</f>
        <v>0</v>
      </c>
      <c r="E88" s="74">
        <f>SUMIFS('reductions data'!H:H,'reductions data'!G:G,'reasons for reduction division'!B88,'reductions data'!A:A,$E$72)</f>
        <v>0</v>
      </c>
      <c r="F88" s="74">
        <f>SUMIFS('reductions data'!H:H,'reductions data'!G:G,'reasons for reduction division'!B88,'reductions data'!A:A,$F$72)</f>
        <v>0</v>
      </c>
      <c r="G88" s="74">
        <f>SUMIFS('reductions data'!H:H,'reductions data'!G:G,'reasons for reduction division'!B88,'reductions data'!A:A,$G$72)</f>
        <v>0</v>
      </c>
      <c r="H88" s="74">
        <f>SUMIFS('reductions data'!H:H,'reductions data'!G:G,'reasons for reduction division'!B88,'reductions data'!A:A,$H$72)</f>
        <v>0</v>
      </c>
      <c r="I88" s="74">
        <f>SUMIFS('reductions data'!H:H,'reductions data'!G:G,'reasons for reduction division'!B88,'reductions data'!A:A,$I$72)</f>
        <v>0</v>
      </c>
      <c r="J88" s="74">
        <f>SUMIFS('reductions data'!H:H,'reductions data'!G:G,'reasons for reduction division'!B88,'reductions data'!A:A,$J$72)</f>
        <v>0</v>
      </c>
      <c r="K88" s="74">
        <f>SUMIFS('reductions data'!H:H,'reductions data'!G:G,'reasons for reduction division'!B88,'reductions data'!A:A,$K$72)</f>
        <v>0</v>
      </c>
      <c r="L88" s="74">
        <f>SUMIFS('reductions data'!H:H,'reductions data'!G:G,'reasons for reduction division'!B88,'reductions data'!A:A,$L$72)</f>
        <v>0</v>
      </c>
      <c r="M88" s="74">
        <f>SUMIFS('reductions data'!H:H,'reductions data'!G:G,'reasons for reduction division'!B88,'reductions data'!A:A,$M$72)</f>
        <v>0</v>
      </c>
      <c r="N88" s="74">
        <f>SUMIFS('reductions data'!H:H,'reductions data'!G:G,'reasons for reduction division'!B88,'reductions data'!A:A,$N$72)</f>
        <v>0</v>
      </c>
      <c r="O88" s="74">
        <f>SUMIFS('reductions data'!$H:$H,'reductions data'!$G:$G,'reasons for reduction division'!B88,'reductions data'!$A:$A,O$72)</f>
        <v>0</v>
      </c>
      <c r="P88" s="74">
        <f>SUMIFS('reductions data'!$H:$H,'reductions data'!$G:$G,'reasons for reduction division'!B88,'reductions data'!$A:$A,P$72)</f>
        <v>0</v>
      </c>
      <c r="Q88" s="74">
        <f>SUMIFS('reductions data'!$H:$H,'reductions data'!$G:$G,'reasons for reduction division'!B88,'reductions data'!$A:$A,Q$72)</f>
        <v>0</v>
      </c>
      <c r="R88" s="118">
        <f>SUMIF('reductions data'!G:G,'reasons for reduction division'!B88,'reductions data'!H:H)</f>
        <v>0</v>
      </c>
    </row>
    <row r="89" spans="2:18" x14ac:dyDescent="0.15">
      <c r="B89" s="126" t="s">
        <v>1121</v>
      </c>
      <c r="C89" s="74">
        <f>SUMIFS('reductions data'!H:H,'reductions data'!G:G,'reasons for reduction division'!B89,'reductions data'!A:A,$C$72)</f>
        <v>0</v>
      </c>
      <c r="D89" s="74">
        <f>SUMIFS('reductions data'!H:H,'reductions data'!G:G,'reasons for reduction division'!B89,'reductions data'!A:A,$D$72)</f>
        <v>0</v>
      </c>
      <c r="E89" s="74">
        <f>SUMIFS('reductions data'!H:H,'reductions data'!G:G,'reasons for reduction division'!B89,'reductions data'!A:A,$E$72)</f>
        <v>0</v>
      </c>
      <c r="F89" s="74">
        <f>SUMIFS('reductions data'!H:H,'reductions data'!G:G,'reasons for reduction division'!B89,'reductions data'!A:A,$F$72)</f>
        <v>0</v>
      </c>
      <c r="G89" s="74">
        <f>SUMIFS('reductions data'!H:H,'reductions data'!G:G,'reasons for reduction division'!B89,'reductions data'!A:A,$G$72)</f>
        <v>0</v>
      </c>
      <c r="H89" s="74">
        <f>SUMIFS('reductions data'!H:H,'reductions data'!G:G,'reasons for reduction division'!B89,'reductions data'!A:A,$H$72)</f>
        <v>0</v>
      </c>
      <c r="I89" s="74">
        <f>SUMIFS('reductions data'!H:H,'reductions data'!G:G,'reasons for reduction division'!B89,'reductions data'!A:A,$I$72)</f>
        <v>0</v>
      </c>
      <c r="J89" s="74">
        <f>SUMIFS('reductions data'!H:H,'reductions data'!G:G,'reasons for reduction division'!B89,'reductions data'!A:A,$J$72)</f>
        <v>0</v>
      </c>
      <c r="K89" s="74">
        <f>SUMIFS('reductions data'!H:H,'reductions data'!G:G,'reasons for reduction division'!B89,'reductions data'!A:A,$K$72)</f>
        <v>0</v>
      </c>
      <c r="L89" s="74">
        <f>SUMIFS('reductions data'!H:H,'reductions data'!G:G,'reasons for reduction division'!B89,'reductions data'!A:A,$L$72)</f>
        <v>0</v>
      </c>
      <c r="M89" s="74">
        <f>SUMIFS('reductions data'!H:H,'reductions data'!G:G,'reasons for reduction division'!B89,'reductions data'!A:A,$M$72)</f>
        <v>0</v>
      </c>
      <c r="N89" s="74">
        <f>SUMIFS('reductions data'!H:H,'reductions data'!G:G,'reasons for reduction division'!B89,'reductions data'!A:A,$N$72)</f>
        <v>0</v>
      </c>
      <c r="O89" s="74">
        <f>SUMIFS('reductions data'!$H:$H,'reductions data'!$G:$G,'reasons for reduction division'!B89,'reductions data'!$A:$A,O$72)</f>
        <v>0</v>
      </c>
      <c r="P89" s="74">
        <f>SUMIFS('reductions data'!$H:$H,'reductions data'!$G:$G,'reasons for reduction division'!B89,'reductions data'!$A:$A,P$72)</f>
        <v>0</v>
      </c>
      <c r="Q89" s="74">
        <f>SUMIFS('reductions data'!$H:$H,'reductions data'!$G:$G,'reasons for reduction division'!B89,'reductions data'!$A:$A,Q$72)</f>
        <v>0</v>
      </c>
      <c r="R89" s="118">
        <f>SUMIF('reductions data'!G:G,'reasons for reduction division'!B89,'reductions data'!H:H)</f>
        <v>0</v>
      </c>
    </row>
    <row r="90" spans="2:18" x14ac:dyDescent="0.15">
      <c r="B90" s="126" t="s">
        <v>1081</v>
      </c>
      <c r="C90" s="74">
        <f>SUMIFS('reductions data'!H:H,'reductions data'!G:G,'reasons for reduction division'!B90,'reductions data'!A:A,$C$72)</f>
        <v>0</v>
      </c>
      <c r="D90" s="74">
        <f>SUMIFS('reductions data'!H:H,'reductions data'!G:G,'reasons for reduction division'!B90,'reductions data'!A:A,$D$72)</f>
        <v>0</v>
      </c>
      <c r="E90" s="74">
        <f>SUMIFS('reductions data'!H:H,'reductions data'!G:G,'reasons for reduction division'!B90,'reductions data'!A:A,$E$72)</f>
        <v>0</v>
      </c>
      <c r="F90" s="74">
        <f>SUMIFS('reductions data'!H:H,'reductions data'!G:G,'reasons for reduction division'!B90,'reductions data'!A:A,$F$72)</f>
        <v>0</v>
      </c>
      <c r="G90" s="74">
        <f>SUMIFS('reductions data'!H:H,'reductions data'!G:G,'reasons for reduction division'!B90,'reductions data'!A:A,$G$72)</f>
        <v>0</v>
      </c>
      <c r="H90" s="74">
        <f>SUMIFS('reductions data'!H:H,'reductions data'!G:G,'reasons for reduction division'!B90,'reductions data'!A:A,$H$72)</f>
        <v>0</v>
      </c>
      <c r="I90" s="74">
        <f>SUMIFS('reductions data'!H:H,'reductions data'!G:G,'reasons for reduction division'!B90,'reductions data'!A:A,$I$72)</f>
        <v>0</v>
      </c>
      <c r="J90" s="74">
        <f>SUMIFS('reductions data'!H:H,'reductions data'!G:G,'reasons for reduction division'!B90,'reductions data'!A:A,$J$72)</f>
        <v>0</v>
      </c>
      <c r="K90" s="74">
        <f>SUMIFS('reductions data'!H:H,'reductions data'!G:G,'reasons for reduction division'!B90,'reductions data'!A:A,$K$72)</f>
        <v>0</v>
      </c>
      <c r="L90" s="74">
        <f>SUMIFS('reductions data'!H:H,'reductions data'!G:G,'reasons for reduction division'!B90,'reductions data'!A:A,$L$72)</f>
        <v>0</v>
      </c>
      <c r="M90" s="74">
        <f>SUMIFS('reductions data'!H:H,'reductions data'!G:G,'reasons for reduction division'!B90,'reductions data'!A:A,$M$72)</f>
        <v>0</v>
      </c>
      <c r="N90" s="74">
        <f>SUMIFS('reductions data'!H:H,'reductions data'!G:G,'reasons for reduction division'!B90,'reductions data'!A:A,$N$72)</f>
        <v>0</v>
      </c>
      <c r="O90" s="74">
        <f>SUMIFS('reductions data'!$H:$H,'reductions data'!$G:$G,'reasons for reduction division'!B90,'reductions data'!$A:$A,O$72)</f>
        <v>0</v>
      </c>
      <c r="P90" s="74">
        <f>SUMIFS('reductions data'!$H:$H,'reductions data'!$G:$G,'reasons for reduction division'!B90,'reductions data'!$A:$A,P$72)</f>
        <v>0</v>
      </c>
      <c r="Q90" s="74">
        <f>SUMIFS('reductions data'!$H:$H,'reductions data'!$G:$G,'reasons for reduction division'!B90,'reductions data'!$A:$A,Q$72)</f>
        <v>0</v>
      </c>
      <c r="R90" s="118">
        <f>SUMIF('reductions data'!G:G,'reasons for reduction division'!B90,'reductions data'!H:H)</f>
        <v>0</v>
      </c>
    </row>
    <row r="91" spans="2:18" x14ac:dyDescent="0.15">
      <c r="B91" s="126" t="s">
        <v>1122</v>
      </c>
      <c r="C91" s="74">
        <f>SUMIFS('reductions data'!H:H,'reductions data'!G:G,'reasons for reduction division'!B91,'reductions data'!A:A,$C$72)</f>
        <v>0</v>
      </c>
      <c r="D91" s="74">
        <f>SUMIFS('reductions data'!H:H,'reductions data'!G:G,'reasons for reduction division'!B91,'reductions data'!A:A,$D$72)</f>
        <v>0</v>
      </c>
      <c r="E91" s="74">
        <f>SUMIFS('reductions data'!H:H,'reductions data'!G:G,'reasons for reduction division'!B91,'reductions data'!A:A,$E$72)</f>
        <v>0</v>
      </c>
      <c r="F91" s="74">
        <f>SUMIFS('reductions data'!H:H,'reductions data'!G:G,'reasons for reduction division'!B91,'reductions data'!A:A,$F$72)</f>
        <v>0</v>
      </c>
      <c r="G91" s="74">
        <f>SUMIFS('reductions data'!H:H,'reductions data'!G:G,'reasons for reduction division'!B91,'reductions data'!A:A,$G$72)</f>
        <v>0</v>
      </c>
      <c r="H91" s="74">
        <f>SUMIFS('reductions data'!H:H,'reductions data'!G:G,'reasons for reduction division'!B91,'reductions data'!A:A,$H$72)</f>
        <v>0</v>
      </c>
      <c r="I91" s="74">
        <f>SUMIFS('reductions data'!H:H,'reductions data'!G:G,'reasons for reduction division'!B91,'reductions data'!A:A,$I$72)</f>
        <v>0</v>
      </c>
      <c r="J91" s="74">
        <f>SUMIFS('reductions data'!H:H,'reductions data'!G:G,'reasons for reduction division'!B91,'reductions data'!A:A,$J$72)</f>
        <v>0</v>
      </c>
      <c r="K91" s="74">
        <f>SUMIFS('reductions data'!H:H,'reductions data'!G:G,'reasons for reduction division'!B91,'reductions data'!A:A,$K$72)</f>
        <v>0</v>
      </c>
      <c r="L91" s="74">
        <f>SUMIFS('reductions data'!H:H,'reductions data'!G:G,'reasons for reduction division'!B91,'reductions data'!A:A,$L$72)</f>
        <v>0</v>
      </c>
      <c r="M91" s="74">
        <f>SUMIFS('reductions data'!H:H,'reductions data'!G:G,'reasons for reduction division'!B91,'reductions data'!A:A,$M$72)</f>
        <v>0</v>
      </c>
      <c r="N91" s="74">
        <f>SUMIFS('reductions data'!H:H,'reductions data'!G:G,'reasons for reduction division'!B91,'reductions data'!A:A,$N$72)</f>
        <v>0</v>
      </c>
      <c r="O91" s="74">
        <f>SUMIFS('reductions data'!$H:$H,'reductions data'!$G:$G,'reasons for reduction division'!B91,'reductions data'!$A:$A,O$72)</f>
        <v>0</v>
      </c>
      <c r="P91" s="74">
        <f>SUMIFS('reductions data'!$H:$H,'reductions data'!$G:$G,'reasons for reduction division'!B91,'reductions data'!$A:$A,P$72)</f>
        <v>0</v>
      </c>
      <c r="Q91" s="74">
        <f>SUMIFS('reductions data'!$H:$H,'reductions data'!$G:$G,'reasons for reduction division'!B91,'reductions data'!$A:$A,Q$72)</f>
        <v>0</v>
      </c>
      <c r="R91" s="118">
        <f>SUMIF('reductions data'!G:G,'reasons for reduction division'!B91,'reductions data'!H:H)</f>
        <v>0</v>
      </c>
    </row>
    <row r="92" spans="2:18" x14ac:dyDescent="0.15">
      <c r="B92" s="126" t="s">
        <v>1093</v>
      </c>
      <c r="C92" s="74">
        <f>SUMIFS('reductions data'!H:H,'reductions data'!G:G,'reasons for reduction division'!B92,'reductions data'!A:A,$C$72)</f>
        <v>0</v>
      </c>
      <c r="D92" s="74">
        <f>SUMIFS('reductions data'!H:H,'reductions data'!G:G,'reasons for reduction division'!B92,'reductions data'!A:A,$D$72)</f>
        <v>0</v>
      </c>
      <c r="E92" s="74">
        <f>SUMIFS('reductions data'!H:H,'reductions data'!G:G,'reasons for reduction division'!B92,'reductions data'!A:A,$E$72)</f>
        <v>0</v>
      </c>
      <c r="F92" s="74">
        <f>SUMIFS('reductions data'!H:H,'reductions data'!G:G,'reasons for reduction division'!B92,'reductions data'!A:A,$F$72)</f>
        <v>0</v>
      </c>
      <c r="G92" s="74">
        <f>SUMIFS('reductions data'!H:H,'reductions data'!G:G,'reasons for reduction division'!B92,'reductions data'!A:A,$G$72)</f>
        <v>0</v>
      </c>
      <c r="H92" s="74">
        <f>SUMIFS('reductions data'!H:H,'reductions data'!G:G,'reasons for reduction division'!B92,'reductions data'!A:A,$H$72)</f>
        <v>0</v>
      </c>
      <c r="I92" s="74">
        <f>SUMIFS('reductions data'!H:H,'reductions data'!G:G,'reasons for reduction division'!B92,'reductions data'!A:A,$I$72)</f>
        <v>0</v>
      </c>
      <c r="J92" s="74">
        <f>SUMIFS('reductions data'!H:H,'reductions data'!G:G,'reasons for reduction division'!B92,'reductions data'!A:A,$J$72)</f>
        <v>0</v>
      </c>
      <c r="K92" s="74">
        <f>SUMIFS('reductions data'!H:H,'reductions data'!G:G,'reasons for reduction division'!B92,'reductions data'!A:A,$K$72)</f>
        <v>0</v>
      </c>
      <c r="L92" s="74">
        <f>SUMIFS('reductions data'!H:H,'reductions data'!G:G,'reasons for reduction division'!B92,'reductions data'!A:A,$L$72)</f>
        <v>0</v>
      </c>
      <c r="M92" s="74">
        <f>SUMIFS('reductions data'!H:H,'reductions data'!G:G,'reasons for reduction division'!B92,'reductions data'!A:A,$M$72)</f>
        <v>0</v>
      </c>
      <c r="N92" s="74">
        <f>SUMIFS('reductions data'!H:H,'reductions data'!G:G,'reasons for reduction division'!B92,'reductions data'!A:A,$N$72)</f>
        <v>0</v>
      </c>
      <c r="O92" s="74">
        <f>SUMIFS('reductions data'!$H:$H,'reductions data'!$G:$G,'reasons for reduction division'!B92,'reductions data'!$A:$A,O$72)</f>
        <v>0</v>
      </c>
      <c r="P92" s="74">
        <f>SUMIFS('reductions data'!$H:$H,'reductions data'!$G:$G,'reasons for reduction division'!B92,'reductions data'!$A:$A,P$72)</f>
        <v>0</v>
      </c>
      <c r="Q92" s="74">
        <f>SUMIFS('reductions data'!$H:$H,'reductions data'!$G:$G,'reasons for reduction division'!B92,'reductions data'!$A:$A,Q$72)</f>
        <v>0</v>
      </c>
      <c r="R92" s="118">
        <f>SUMIF('reductions data'!G:G,'reasons for reduction division'!B92,'reductions data'!H:H)</f>
        <v>0</v>
      </c>
    </row>
    <row r="93" spans="2:18" x14ac:dyDescent="0.15">
      <c r="B93" s="126" t="s">
        <v>1123</v>
      </c>
      <c r="C93" s="74">
        <f>SUMIFS('reductions data'!H:H,'reductions data'!G:G,'reasons for reduction division'!B93,'reductions data'!A:A,$C$72)</f>
        <v>0</v>
      </c>
      <c r="D93" s="74">
        <f>SUMIFS('reductions data'!H:H,'reductions data'!G:G,'reasons for reduction division'!B93,'reductions data'!A:A,$D$72)</f>
        <v>0</v>
      </c>
      <c r="E93" s="74">
        <f>SUMIFS('reductions data'!H:H,'reductions data'!G:G,'reasons for reduction division'!B93,'reductions data'!A:A,$E$72)</f>
        <v>0</v>
      </c>
      <c r="F93" s="74">
        <f>SUMIFS('reductions data'!H:H,'reductions data'!G:G,'reasons for reduction division'!B93,'reductions data'!A:A,$F$72)</f>
        <v>0</v>
      </c>
      <c r="G93" s="74">
        <f>SUMIFS('reductions data'!H:H,'reductions data'!G:G,'reasons for reduction division'!B93,'reductions data'!A:A,$G$72)</f>
        <v>0</v>
      </c>
      <c r="H93" s="74">
        <f>SUMIFS('reductions data'!H:H,'reductions data'!G:G,'reasons for reduction division'!B93,'reductions data'!A:A,$H$72)</f>
        <v>0</v>
      </c>
      <c r="I93" s="74">
        <f>SUMIFS('reductions data'!H:H,'reductions data'!G:G,'reasons for reduction division'!B93,'reductions data'!A:A,$I$72)</f>
        <v>0</v>
      </c>
      <c r="J93" s="74">
        <f>SUMIFS('reductions data'!H:H,'reductions data'!G:G,'reasons for reduction division'!B93,'reductions data'!A:A,$J$72)</f>
        <v>0</v>
      </c>
      <c r="K93" s="74">
        <f>SUMIFS('reductions data'!H:H,'reductions data'!G:G,'reasons for reduction division'!B93,'reductions data'!A:A,$K$72)</f>
        <v>0</v>
      </c>
      <c r="L93" s="74">
        <f>SUMIFS('reductions data'!H:H,'reductions data'!G:G,'reasons for reduction division'!B93,'reductions data'!A:A,$L$72)</f>
        <v>0</v>
      </c>
      <c r="M93" s="74">
        <f>SUMIFS('reductions data'!H:H,'reductions data'!G:G,'reasons for reduction division'!B93,'reductions data'!A:A,$M$72)</f>
        <v>0</v>
      </c>
      <c r="N93" s="74">
        <f>SUMIFS('reductions data'!H:H,'reductions data'!G:G,'reasons for reduction division'!B93,'reductions data'!A:A,$N$72)</f>
        <v>0</v>
      </c>
      <c r="O93" s="74">
        <f>SUMIFS('reductions data'!$H:$H,'reductions data'!$G:$G,'reasons for reduction division'!B93,'reductions data'!$A:$A,O$72)</f>
        <v>0</v>
      </c>
      <c r="P93" s="74">
        <f>SUMIFS('reductions data'!$H:$H,'reductions data'!$G:$G,'reasons for reduction division'!B93,'reductions data'!$A:$A,P$72)</f>
        <v>0</v>
      </c>
      <c r="Q93" s="74">
        <f>SUMIFS('reductions data'!$H:$H,'reductions data'!$G:$G,'reasons for reduction division'!B93,'reductions data'!$A:$A,Q$72)</f>
        <v>0</v>
      </c>
      <c r="R93" s="118">
        <f>SUMIF('reductions data'!G:G,'reasons for reduction division'!B93,'reductions data'!H:H)</f>
        <v>0</v>
      </c>
    </row>
    <row r="94" spans="2:18" x14ac:dyDescent="0.15">
      <c r="B94" s="126" t="s">
        <v>1124</v>
      </c>
      <c r="C94" s="74">
        <f>SUMIFS('reductions data'!H:H,'reductions data'!G:G,'reasons for reduction division'!B94,'reductions data'!A:A,$C$72)</f>
        <v>0</v>
      </c>
      <c r="D94" s="74">
        <f>SUMIFS('reductions data'!H:H,'reductions data'!G:G,'reasons for reduction division'!B94,'reductions data'!A:A,$D$72)</f>
        <v>0</v>
      </c>
      <c r="E94" s="74">
        <f>SUMIFS('reductions data'!H:H,'reductions data'!G:G,'reasons for reduction division'!B94,'reductions data'!A:A,$E$72)</f>
        <v>0</v>
      </c>
      <c r="F94" s="74">
        <f>SUMIFS('reductions data'!H:H,'reductions data'!G:G,'reasons for reduction division'!B94,'reductions data'!A:A,$F$72)</f>
        <v>0</v>
      </c>
      <c r="G94" s="74">
        <f>SUMIFS('reductions data'!H:H,'reductions data'!G:G,'reasons for reduction division'!B94,'reductions data'!A:A,$G$72)</f>
        <v>0</v>
      </c>
      <c r="H94" s="74">
        <f>SUMIFS('reductions data'!H:H,'reductions data'!G:G,'reasons for reduction division'!B94,'reductions data'!A:A,$H$72)</f>
        <v>0</v>
      </c>
      <c r="I94" s="74">
        <f>SUMIFS('reductions data'!H:H,'reductions data'!G:G,'reasons for reduction division'!B94,'reductions data'!A:A,$I$72)</f>
        <v>0</v>
      </c>
      <c r="J94" s="74">
        <f>SUMIFS('reductions data'!H:H,'reductions data'!G:G,'reasons for reduction division'!B94,'reductions data'!A:A,$J$72)</f>
        <v>0</v>
      </c>
      <c r="K94" s="74">
        <f>SUMIFS('reductions data'!H:H,'reductions data'!G:G,'reasons for reduction division'!B94,'reductions data'!A:A,$K$72)</f>
        <v>0</v>
      </c>
      <c r="L94" s="74">
        <f>SUMIFS('reductions data'!H:H,'reductions data'!G:G,'reasons for reduction division'!B94,'reductions data'!A:A,$L$72)</f>
        <v>0</v>
      </c>
      <c r="M94" s="74">
        <f>SUMIFS('reductions data'!H:H,'reductions data'!G:G,'reasons for reduction division'!B94,'reductions data'!A:A,$M$72)</f>
        <v>0</v>
      </c>
      <c r="N94" s="74">
        <f>SUMIFS('reductions data'!H:H,'reductions data'!G:G,'reasons for reduction division'!B94,'reductions data'!A:A,$N$72)</f>
        <v>0</v>
      </c>
      <c r="O94" s="74">
        <f>SUMIFS('reductions data'!$H:$H,'reductions data'!$G:$G,'reasons for reduction division'!B94,'reductions data'!$A:$A,O$72)</f>
        <v>0</v>
      </c>
      <c r="P94" s="74">
        <f>SUMIFS('reductions data'!$H:$H,'reductions data'!$G:$G,'reasons for reduction division'!B94,'reductions data'!$A:$A,P$72)</f>
        <v>0</v>
      </c>
      <c r="Q94" s="74">
        <f>SUMIFS('reductions data'!$H:$H,'reductions data'!$G:$G,'reasons for reduction division'!B94,'reductions data'!$A:$A,Q$72)</f>
        <v>0</v>
      </c>
      <c r="R94" s="118">
        <f>SUMIF('reductions data'!G:G,'reasons for reduction division'!B94,'reductions data'!H:H)</f>
        <v>0</v>
      </c>
    </row>
    <row r="95" spans="2:18" x14ac:dyDescent="0.15">
      <c r="B95" s="126" t="s">
        <v>1088</v>
      </c>
      <c r="C95" s="74">
        <f>SUMIFS('reductions data'!H:H,'reductions data'!G:G,'reasons for reduction division'!B95,'reductions data'!A:A,$C$72)</f>
        <v>0</v>
      </c>
      <c r="D95" s="74">
        <f>SUMIFS('reductions data'!H:H,'reductions data'!G:G,'reasons for reduction division'!B95,'reductions data'!A:A,$D$72)</f>
        <v>0</v>
      </c>
      <c r="E95" s="74">
        <f>SUMIFS('reductions data'!H:H,'reductions data'!G:G,'reasons for reduction division'!B95,'reductions data'!A:A,$E$72)</f>
        <v>0</v>
      </c>
      <c r="F95" s="74">
        <f>SUMIFS('reductions data'!H:H,'reductions data'!G:G,'reasons for reduction division'!B95,'reductions data'!A:A,$F$72)</f>
        <v>0</v>
      </c>
      <c r="G95" s="74">
        <f>SUMIFS('reductions data'!H:H,'reductions data'!G:G,'reasons for reduction division'!B95,'reductions data'!A:A,$G$72)</f>
        <v>0</v>
      </c>
      <c r="H95" s="74">
        <f>SUMIFS('reductions data'!H:H,'reductions data'!G:G,'reasons for reduction division'!B95,'reductions data'!A:A,$H$72)</f>
        <v>0</v>
      </c>
      <c r="I95" s="74">
        <f>SUMIFS('reductions data'!H:H,'reductions data'!G:G,'reasons for reduction division'!B95,'reductions data'!A:A,$I$72)</f>
        <v>0</v>
      </c>
      <c r="J95" s="74">
        <f>SUMIFS('reductions data'!H:H,'reductions data'!G:G,'reasons for reduction division'!B95,'reductions data'!A:A,$J$72)</f>
        <v>0</v>
      </c>
      <c r="K95" s="74">
        <f>SUMIFS('reductions data'!H:H,'reductions data'!G:G,'reasons for reduction division'!B95,'reductions data'!A:A,$K$72)</f>
        <v>0</v>
      </c>
      <c r="L95" s="74">
        <f>SUMIFS('reductions data'!H:H,'reductions data'!G:G,'reasons for reduction division'!B95,'reductions data'!A:A,$L$72)</f>
        <v>0</v>
      </c>
      <c r="M95" s="74">
        <f>SUMIFS('reductions data'!H:H,'reductions data'!G:G,'reasons for reduction division'!B95,'reductions data'!A:A,$M$72)</f>
        <v>0</v>
      </c>
      <c r="N95" s="74">
        <f>SUMIFS('reductions data'!H:H,'reductions data'!G:G,'reasons for reduction division'!B95,'reductions data'!A:A,$N$72)</f>
        <v>0</v>
      </c>
      <c r="O95" s="74">
        <f>SUMIFS('reductions data'!$H:$H,'reductions data'!$G:$G,'reasons for reduction division'!B95,'reductions data'!$A:$A,O$72)</f>
        <v>0</v>
      </c>
      <c r="P95" s="74">
        <f>SUMIFS('reductions data'!$H:$H,'reductions data'!$G:$G,'reasons for reduction division'!B95,'reductions data'!$A:$A,P$72)</f>
        <v>0</v>
      </c>
      <c r="Q95" s="74">
        <f>SUMIFS('reductions data'!$H:$H,'reductions data'!$G:$G,'reasons for reduction division'!B95,'reductions data'!$A:$A,Q$72)</f>
        <v>0</v>
      </c>
      <c r="R95" s="118">
        <f>SUMIF('reductions data'!G:G,'reasons for reduction division'!B95,'reductions data'!H:H)</f>
        <v>0</v>
      </c>
    </row>
    <row r="96" spans="2:18" ht="15.75" customHeight="1" x14ac:dyDescent="0.15">
      <c r="B96" s="216" t="s">
        <v>1188</v>
      </c>
      <c r="C96" s="74">
        <f>SUMIFS('reductions data'!H:H,'reductions data'!G:G,'reasons for reduction division'!B96,'reductions data'!A:A,$C$72)</f>
        <v>0</v>
      </c>
      <c r="D96" s="74">
        <f>SUMIFS('reductions data'!H:H,'reductions data'!G:G,'reasons for reduction division'!B96,'reductions data'!A:A,$D$72)</f>
        <v>0</v>
      </c>
      <c r="E96" s="74">
        <f>SUMIFS('reductions data'!H:H,'reductions data'!G:G,'reasons for reduction division'!B96,'reductions data'!A:A,$E$72)</f>
        <v>0</v>
      </c>
      <c r="F96" s="74">
        <f>SUMIFS('reductions data'!H:H,'reductions data'!G:G,'reasons for reduction division'!B96,'reductions data'!A:A,$F$72)</f>
        <v>0</v>
      </c>
      <c r="G96" s="74">
        <f>SUMIFS('reductions data'!H:H,'reductions data'!G:G,'reasons for reduction division'!B96,'reductions data'!A:A,$G$72)</f>
        <v>0</v>
      </c>
      <c r="H96" s="74">
        <f>SUMIFS('reductions data'!H:H,'reductions data'!G:G,'reasons for reduction division'!B96,'reductions data'!A:A,$H$72)</f>
        <v>0</v>
      </c>
      <c r="I96" s="74">
        <f>SUMIFS('reductions data'!H:H,'reductions data'!G:G,'reasons for reduction division'!B96,'reductions data'!A:A,$I$72)</f>
        <v>0</v>
      </c>
      <c r="J96" s="74">
        <f>SUMIFS('reductions data'!H:H,'reductions data'!G:G,'reasons for reduction division'!B96,'reductions data'!A:A,$J$72)</f>
        <v>0</v>
      </c>
      <c r="K96" s="74">
        <f>SUMIFS('reductions data'!H:H,'reductions data'!G:G,'reasons for reduction division'!B96,'reductions data'!A:A,$K$72)</f>
        <v>0</v>
      </c>
      <c r="L96" s="74">
        <f>SUMIFS('reductions data'!H:H,'reductions data'!G:G,'reasons for reduction division'!B96,'reductions data'!A:A,$L$72)</f>
        <v>0</v>
      </c>
      <c r="M96" s="74">
        <f>SUMIFS('reductions data'!H:H,'reductions data'!G:G,'reasons for reduction division'!B96,'reductions data'!A:A,$M$72)</f>
        <v>0</v>
      </c>
      <c r="N96" s="74">
        <f>SUMIFS('reductions data'!H:H,'reductions data'!G:G,'reasons for reduction division'!B96,'reductions data'!A:A,$N$72)</f>
        <v>0</v>
      </c>
      <c r="O96" s="74">
        <f>SUMIFS('reductions data'!$H:$H,'reductions data'!$G:$G,'reasons for reduction division'!B96,'reductions data'!$A:$A,O$72)</f>
        <v>0</v>
      </c>
      <c r="P96" s="74">
        <f>SUMIFS('reductions data'!$H:$H,'reductions data'!$G:$G,'reasons for reduction division'!B96,'reductions data'!$A:$A,P$72)</f>
        <v>0</v>
      </c>
      <c r="Q96" s="74">
        <f>SUMIFS('reductions data'!$H:$H,'reductions data'!$G:$G,'reasons for reduction division'!B96,'reductions data'!$A:$A,Q$72)</f>
        <v>0</v>
      </c>
      <c r="R96" s="118">
        <f>SUMIF('reductions data'!G:G,'reasons for reduction division'!B96,'reductions data'!H:H)</f>
        <v>0</v>
      </c>
    </row>
    <row r="97" spans="2:18" x14ac:dyDescent="0.15">
      <c r="B97" s="126" t="s">
        <v>1107</v>
      </c>
      <c r="C97" s="74">
        <f>SUMIFS('reductions data'!H:H,'reductions data'!G:G,'reasons for reduction division'!B97,'reductions data'!A:A,$C$72)</f>
        <v>0</v>
      </c>
      <c r="D97" s="74">
        <f>SUMIFS('reductions data'!H:H,'reductions data'!G:G,'reasons for reduction division'!B97,'reductions data'!A:A,$D$72)</f>
        <v>0</v>
      </c>
      <c r="E97" s="74">
        <f>SUMIFS('reductions data'!H:H,'reductions data'!G:G,'reasons for reduction division'!B97,'reductions data'!A:A,$E$72)</f>
        <v>0</v>
      </c>
      <c r="F97" s="74">
        <f>SUMIFS('reductions data'!H:H,'reductions data'!G:G,'reasons for reduction division'!B97,'reductions data'!A:A,$F$72)</f>
        <v>0</v>
      </c>
      <c r="G97" s="74">
        <f>SUMIFS('reductions data'!H:H,'reductions data'!G:G,'reasons for reduction division'!B97,'reductions data'!A:A,$G$72)</f>
        <v>0</v>
      </c>
      <c r="H97" s="74">
        <f>SUMIFS('reductions data'!H:H,'reductions data'!G:G,'reasons for reduction division'!B97,'reductions data'!A:A,$H$72)</f>
        <v>0</v>
      </c>
      <c r="I97" s="74">
        <f>SUMIFS('reductions data'!H:H,'reductions data'!G:G,'reasons for reduction division'!B97,'reductions data'!A:A,$I$72)</f>
        <v>0</v>
      </c>
      <c r="J97" s="74">
        <f>SUMIFS('reductions data'!H:H,'reductions data'!G:G,'reasons for reduction division'!B97,'reductions data'!A:A,$J$72)</f>
        <v>0</v>
      </c>
      <c r="K97" s="74">
        <f>SUMIFS('reductions data'!H:H,'reductions data'!G:G,'reasons for reduction division'!B97,'reductions data'!A:A,$K$72)</f>
        <v>0</v>
      </c>
      <c r="L97" s="74">
        <f>SUMIFS('reductions data'!H:H,'reductions data'!G:G,'reasons for reduction division'!B97,'reductions data'!A:A,$L$72)</f>
        <v>0</v>
      </c>
      <c r="M97" s="74">
        <f>SUMIFS('reductions data'!H:H,'reductions data'!G:G,'reasons for reduction division'!B97,'reductions data'!A:A,$M$72)</f>
        <v>0</v>
      </c>
      <c r="N97" s="74">
        <f>SUMIFS('reductions data'!H:H,'reductions data'!G:G,'reasons for reduction division'!B97,'reductions data'!A:A,$N$72)</f>
        <v>0</v>
      </c>
      <c r="O97" s="74">
        <f>SUMIFS('reductions data'!$H:$H,'reductions data'!$G:$G,'reasons for reduction division'!B97,'reductions data'!$A:$A,O$72)</f>
        <v>0</v>
      </c>
      <c r="P97" s="74">
        <f>SUMIFS('reductions data'!$H:$H,'reductions data'!$G:$G,'reasons for reduction division'!B97,'reductions data'!$A:$A,P$72)</f>
        <v>0</v>
      </c>
      <c r="Q97" s="74">
        <f>SUMIFS('reductions data'!$H:$H,'reductions data'!$G:$G,'reasons for reduction division'!B97,'reductions data'!$A:$A,Q$72)</f>
        <v>0</v>
      </c>
      <c r="R97" s="118">
        <f>SUMIF('reductions data'!G:G,'reasons for reduction division'!B97,'reductions data'!H:H)</f>
        <v>0</v>
      </c>
    </row>
    <row r="98" spans="2:18" x14ac:dyDescent="0.15">
      <c r="B98" s="126" t="s">
        <v>1099</v>
      </c>
      <c r="C98" s="74">
        <f>SUMIFS('reductions data'!H:H,'reductions data'!G:G,'reasons for reduction division'!B98,'reductions data'!A:A,$C$72)</f>
        <v>0</v>
      </c>
      <c r="D98" s="74">
        <f>SUMIFS('reductions data'!H:H,'reductions data'!G:G,'reasons for reduction division'!B98,'reductions data'!A:A,$D$72)</f>
        <v>0</v>
      </c>
      <c r="E98" s="74">
        <f>SUMIFS('reductions data'!H:H,'reductions data'!G:G,'reasons for reduction division'!B98,'reductions data'!A:A,$E$72)</f>
        <v>0</v>
      </c>
      <c r="F98" s="74">
        <f>SUMIFS('reductions data'!H:H,'reductions data'!G:G,'reasons for reduction division'!B98,'reductions data'!A:A,$F$72)</f>
        <v>0</v>
      </c>
      <c r="G98" s="74">
        <f>SUMIFS('reductions data'!H:H,'reductions data'!G:G,'reasons for reduction division'!B98,'reductions data'!A:A,$G$72)</f>
        <v>0</v>
      </c>
      <c r="H98" s="74">
        <f>SUMIFS('reductions data'!H:H,'reductions data'!G:G,'reasons for reduction division'!B98,'reductions data'!A:A,$H$72)</f>
        <v>0</v>
      </c>
      <c r="I98" s="74">
        <f>SUMIFS('reductions data'!H:H,'reductions data'!G:G,'reasons for reduction division'!B98,'reductions data'!A:A,$I$72)</f>
        <v>0</v>
      </c>
      <c r="J98" s="74">
        <f>SUMIFS('reductions data'!H:H,'reductions data'!G:G,'reasons for reduction division'!B98,'reductions data'!A:A,$J$72)</f>
        <v>0</v>
      </c>
      <c r="K98" s="74">
        <f>SUMIFS('reductions data'!H:H,'reductions data'!G:G,'reasons for reduction division'!B98,'reductions data'!A:A,$K$72)</f>
        <v>0</v>
      </c>
      <c r="L98" s="74">
        <f>SUMIFS('reductions data'!H:H,'reductions data'!G:G,'reasons for reduction division'!B98,'reductions data'!A:A,$L$72)</f>
        <v>0</v>
      </c>
      <c r="M98" s="74">
        <f>SUMIFS('reductions data'!H:H,'reductions data'!G:G,'reasons for reduction division'!B98,'reductions data'!A:A,$M$72)</f>
        <v>0</v>
      </c>
      <c r="N98" s="74">
        <f>SUMIFS('reductions data'!H:H,'reductions data'!G:G,'reasons for reduction division'!B98,'reductions data'!A:A,$N$72)</f>
        <v>0</v>
      </c>
      <c r="O98" s="74">
        <f>SUMIFS('reductions data'!$H:$H,'reductions data'!$G:$G,'reasons for reduction division'!B98,'reductions data'!$A:$A,O$72)</f>
        <v>0</v>
      </c>
      <c r="P98" s="74">
        <f>SUMIFS('reductions data'!$H:$H,'reductions data'!$G:$G,'reasons for reduction division'!B98,'reductions data'!$A:$A,P$72)</f>
        <v>0</v>
      </c>
      <c r="Q98" s="74">
        <f>SUMIFS('reductions data'!$H:$H,'reductions data'!$G:$G,'reasons for reduction division'!B98,'reductions data'!$A:$A,Q$72)</f>
        <v>0</v>
      </c>
      <c r="R98" s="118">
        <f>SUMIF('reductions data'!G:G,'reasons for reduction division'!B98,'reductions data'!H:H)</f>
        <v>0</v>
      </c>
    </row>
    <row r="99" spans="2:18" x14ac:dyDescent="0.15">
      <c r="B99" s="126" t="s">
        <v>1082</v>
      </c>
      <c r="C99" s="74">
        <f>SUMIFS('reductions data'!H:H,'reductions data'!G:G,'reasons for reduction division'!B99,'reductions data'!A:A,$C$72)</f>
        <v>0</v>
      </c>
      <c r="D99" s="74">
        <f>SUMIFS('reductions data'!H:H,'reductions data'!G:G,'reasons for reduction division'!B99,'reductions data'!A:A,$D$72)</f>
        <v>0</v>
      </c>
      <c r="E99" s="74">
        <f>SUMIFS('reductions data'!H:H,'reductions data'!G:G,'reasons for reduction division'!B99,'reductions data'!A:A,$E$72)</f>
        <v>0</v>
      </c>
      <c r="F99" s="74">
        <f>SUMIFS('reductions data'!H:H,'reductions data'!G:G,'reasons for reduction division'!B99,'reductions data'!A:A,$F$72)</f>
        <v>0</v>
      </c>
      <c r="G99" s="74">
        <f>SUMIFS('reductions data'!H:H,'reductions data'!G:G,'reasons for reduction division'!B99,'reductions data'!A:A,$G$72)</f>
        <v>0</v>
      </c>
      <c r="H99" s="74">
        <f>SUMIFS('reductions data'!H:H,'reductions data'!G:G,'reasons for reduction division'!B99,'reductions data'!A:A,$H$72)</f>
        <v>0</v>
      </c>
      <c r="I99" s="74">
        <f>SUMIFS('reductions data'!H:H,'reductions data'!G:G,'reasons for reduction division'!B99,'reductions data'!A:A,$I$72)</f>
        <v>0</v>
      </c>
      <c r="J99" s="74">
        <f>SUMIFS('reductions data'!H:H,'reductions data'!G:G,'reasons for reduction division'!B99,'reductions data'!A:A,$J$72)</f>
        <v>0</v>
      </c>
      <c r="K99" s="74">
        <f>SUMIFS('reductions data'!H:H,'reductions data'!G:G,'reasons for reduction division'!B99,'reductions data'!A:A,$K$72)</f>
        <v>0</v>
      </c>
      <c r="L99" s="74">
        <f>SUMIFS('reductions data'!H:H,'reductions data'!G:G,'reasons for reduction division'!B99,'reductions data'!A:A,$L$72)</f>
        <v>0</v>
      </c>
      <c r="M99" s="74">
        <f>SUMIFS('reductions data'!H:H,'reductions data'!G:G,'reasons for reduction division'!B99,'reductions data'!A:A,$M$72)</f>
        <v>0</v>
      </c>
      <c r="N99" s="74">
        <f>SUMIFS('reductions data'!H:H,'reductions data'!G:G,'reasons for reduction division'!B99,'reductions data'!A:A,$N$72)</f>
        <v>0</v>
      </c>
      <c r="O99" s="74">
        <f>SUMIFS('reductions data'!$H:$H,'reductions data'!$G:$G,'reasons for reduction division'!B99,'reductions data'!$A:$A,O$72)</f>
        <v>0</v>
      </c>
      <c r="P99" s="74">
        <f>SUMIFS('reductions data'!$H:$H,'reductions data'!$G:$G,'reasons for reduction division'!B99,'reductions data'!$A:$A,P$72)</f>
        <v>0</v>
      </c>
      <c r="Q99" s="74">
        <f>SUMIFS('reductions data'!$H:$H,'reductions data'!$G:$G,'reasons for reduction division'!B99,'reductions data'!$A:$A,Q$72)</f>
        <v>0</v>
      </c>
      <c r="R99" s="118">
        <f>SUMIF('reductions data'!G:G,'reasons for reduction division'!B99,'reductions data'!H:H)</f>
        <v>0</v>
      </c>
    </row>
    <row r="100" spans="2:18" x14ac:dyDescent="0.15">
      <c r="B100" s="126" t="s">
        <v>1090</v>
      </c>
      <c r="C100" s="74">
        <f>SUMIFS('reductions data'!H:H,'reductions data'!G:G,'reasons for reduction division'!B100,'reductions data'!A:A,$C$72)</f>
        <v>0</v>
      </c>
      <c r="D100" s="74">
        <f>SUMIFS('reductions data'!H:H,'reductions data'!G:G,'reasons for reduction division'!B100,'reductions data'!A:A,$D$72)</f>
        <v>0</v>
      </c>
      <c r="E100" s="74">
        <f>SUMIFS('reductions data'!H:H,'reductions data'!G:G,'reasons for reduction division'!B100,'reductions data'!A:A,$E$72)</f>
        <v>0</v>
      </c>
      <c r="F100" s="74">
        <f>SUMIFS('reductions data'!H:H,'reductions data'!G:G,'reasons for reduction division'!B100,'reductions data'!A:A,$F$72)</f>
        <v>0</v>
      </c>
      <c r="G100" s="74">
        <f>SUMIFS('reductions data'!H:H,'reductions data'!G:G,'reasons for reduction division'!B100,'reductions data'!A:A,$G$72)</f>
        <v>0</v>
      </c>
      <c r="H100" s="74">
        <f>SUMIFS('reductions data'!H:H,'reductions data'!G:G,'reasons for reduction division'!B100,'reductions data'!A:A,$H$72)</f>
        <v>0</v>
      </c>
      <c r="I100" s="74">
        <f>SUMIFS('reductions data'!H:H,'reductions data'!G:G,'reasons for reduction division'!B100,'reductions data'!A:A,$I$72)</f>
        <v>0</v>
      </c>
      <c r="J100" s="74">
        <f>SUMIFS('reductions data'!H:H,'reductions data'!G:G,'reasons for reduction division'!B100,'reductions data'!A:A,$J$72)</f>
        <v>0</v>
      </c>
      <c r="K100" s="74">
        <f>SUMIFS('reductions data'!H:H,'reductions data'!G:G,'reasons for reduction division'!B100,'reductions data'!A:A,$K$72)</f>
        <v>0</v>
      </c>
      <c r="L100" s="74">
        <f>SUMIFS('reductions data'!H:H,'reductions data'!G:G,'reasons for reduction division'!B100,'reductions data'!A:A,$L$72)</f>
        <v>0</v>
      </c>
      <c r="M100" s="74">
        <f>SUMIFS('reductions data'!H:H,'reductions data'!G:G,'reasons for reduction division'!B100,'reductions data'!A:A,$M$72)</f>
        <v>0</v>
      </c>
      <c r="N100" s="74">
        <f>SUMIFS('reductions data'!H:H,'reductions data'!G:G,'reasons for reduction division'!B100,'reductions data'!A:A,$N$72)</f>
        <v>0</v>
      </c>
      <c r="O100" s="74">
        <f>SUMIFS('reductions data'!$H:$H,'reductions data'!$G:$G,'reasons for reduction division'!B100,'reductions data'!$A:$A,O$72)</f>
        <v>0</v>
      </c>
      <c r="P100" s="74">
        <f>SUMIFS('reductions data'!$H:$H,'reductions data'!$G:$G,'reasons for reduction division'!B100,'reductions data'!$A:$A,P$72)</f>
        <v>0</v>
      </c>
      <c r="Q100" s="74">
        <f>SUMIFS('reductions data'!$H:$H,'reductions data'!$G:$G,'reasons for reduction division'!B100,'reductions data'!$A:$A,Q$72)</f>
        <v>0</v>
      </c>
      <c r="R100" s="118">
        <f>SUMIF('reductions data'!G:G,'reasons for reduction division'!B100,'reductions data'!H:H)</f>
        <v>0</v>
      </c>
    </row>
    <row r="101" spans="2:18" x14ac:dyDescent="0.15">
      <c r="B101" s="126" t="s">
        <v>1105</v>
      </c>
      <c r="C101" s="74">
        <f>SUMIFS('reductions data'!H:H,'reductions data'!G:G,'reasons for reduction division'!B101,'reductions data'!A:A,$C$72)</f>
        <v>0</v>
      </c>
      <c r="D101" s="74">
        <f>SUMIFS('reductions data'!H:H,'reductions data'!G:G,'reasons for reduction division'!B101,'reductions data'!A:A,$D$72)</f>
        <v>0</v>
      </c>
      <c r="E101" s="74">
        <f>SUMIFS('reductions data'!H:H,'reductions data'!G:G,'reasons for reduction division'!B101,'reductions data'!A:A,$E$72)</f>
        <v>0</v>
      </c>
      <c r="F101" s="74">
        <f>SUMIFS('reductions data'!H:H,'reductions data'!G:G,'reasons for reduction division'!B101,'reductions data'!A:A,$F$72)</f>
        <v>0</v>
      </c>
      <c r="G101" s="74">
        <f>SUMIFS('reductions data'!H:H,'reductions data'!G:G,'reasons for reduction division'!B101,'reductions data'!A:A,$G$72)</f>
        <v>0</v>
      </c>
      <c r="H101" s="74">
        <f>SUMIFS('reductions data'!H:H,'reductions data'!G:G,'reasons for reduction division'!B101,'reductions data'!A:A,$H$72)</f>
        <v>0</v>
      </c>
      <c r="I101" s="74">
        <f>SUMIFS('reductions data'!H:H,'reductions data'!G:G,'reasons for reduction division'!B101,'reductions data'!A:A,$I$72)</f>
        <v>0</v>
      </c>
      <c r="J101" s="74">
        <f>SUMIFS('reductions data'!H:H,'reductions data'!G:G,'reasons for reduction division'!B101,'reductions data'!A:A,$J$72)</f>
        <v>0</v>
      </c>
      <c r="K101" s="74">
        <f>SUMIFS('reductions data'!H:H,'reductions data'!G:G,'reasons for reduction division'!B101,'reductions data'!A:A,$K$72)</f>
        <v>0</v>
      </c>
      <c r="L101" s="74">
        <f>SUMIFS('reductions data'!H:H,'reductions data'!G:G,'reasons for reduction division'!B101,'reductions data'!A:A,$L$72)</f>
        <v>0</v>
      </c>
      <c r="M101" s="74">
        <f>SUMIFS('reductions data'!H:H,'reductions data'!G:G,'reasons for reduction division'!B101,'reductions data'!A:A,$M$72)</f>
        <v>0</v>
      </c>
      <c r="N101" s="74">
        <f>SUMIFS('reductions data'!H:H,'reductions data'!G:G,'reasons for reduction division'!B101,'reductions data'!A:A,$N$72)</f>
        <v>0</v>
      </c>
      <c r="O101" s="74">
        <f>SUMIFS('reductions data'!$H:$H,'reductions data'!$G:$G,'reasons for reduction division'!B101,'reductions data'!$A:$A,O$72)</f>
        <v>0</v>
      </c>
      <c r="P101" s="74">
        <f>SUMIFS('reductions data'!$H:$H,'reductions data'!$G:$G,'reasons for reduction division'!B101,'reductions data'!$A:$A,P$72)</f>
        <v>0</v>
      </c>
      <c r="Q101" s="74">
        <f>SUMIFS('reductions data'!$H:$H,'reductions data'!$G:$G,'reasons for reduction division'!B101,'reductions data'!$A:$A,Q$72)</f>
        <v>0</v>
      </c>
      <c r="R101" s="118">
        <f>SUMIF('reductions data'!G:G,'reasons for reduction division'!B101,'reductions data'!H:H)</f>
        <v>0</v>
      </c>
    </row>
    <row r="102" spans="2:18" x14ac:dyDescent="0.15">
      <c r="B102" s="126" t="s">
        <v>1087</v>
      </c>
      <c r="C102" s="74">
        <f>SUMIFS('reductions data'!H:H,'reductions data'!G:G,'reasons for reduction division'!B102,'reductions data'!A:A,$C$72)</f>
        <v>0</v>
      </c>
      <c r="D102" s="74">
        <f>SUMIFS('reductions data'!H:H,'reductions data'!G:G,'reasons for reduction division'!B102,'reductions data'!A:A,$D$72)</f>
        <v>0</v>
      </c>
      <c r="E102" s="74">
        <f>SUMIFS('reductions data'!H:H,'reductions data'!G:G,'reasons for reduction division'!B102,'reductions data'!A:A,$E$72)</f>
        <v>0</v>
      </c>
      <c r="F102" s="74">
        <f>SUMIFS('reductions data'!H:H,'reductions data'!G:G,'reasons for reduction division'!B102,'reductions data'!A:A,$F$72)</f>
        <v>0</v>
      </c>
      <c r="G102" s="74">
        <f>SUMIFS('reductions data'!H:H,'reductions data'!G:G,'reasons for reduction division'!B102,'reductions data'!A:A,$G$72)</f>
        <v>0</v>
      </c>
      <c r="H102" s="74">
        <f>SUMIFS('reductions data'!H:H,'reductions data'!G:G,'reasons for reduction division'!B102,'reductions data'!A:A,$H$72)</f>
        <v>0</v>
      </c>
      <c r="I102" s="74">
        <f>SUMIFS('reductions data'!H:H,'reductions data'!G:G,'reasons for reduction division'!B102,'reductions data'!A:A,$I$72)</f>
        <v>0</v>
      </c>
      <c r="J102" s="74">
        <f>SUMIFS('reductions data'!H:H,'reductions data'!G:G,'reasons for reduction division'!B102,'reductions data'!A:A,$J$72)</f>
        <v>0</v>
      </c>
      <c r="K102" s="74">
        <f>SUMIFS('reductions data'!H:H,'reductions data'!G:G,'reasons for reduction division'!B102,'reductions data'!A:A,$K$72)</f>
        <v>0</v>
      </c>
      <c r="L102" s="74">
        <f>SUMIFS('reductions data'!H:H,'reductions data'!G:G,'reasons for reduction division'!B102,'reductions data'!A:A,$L$72)</f>
        <v>0</v>
      </c>
      <c r="M102" s="74">
        <f>SUMIFS('reductions data'!H:H,'reductions data'!G:G,'reasons for reduction division'!B102,'reductions data'!A:A,$M$72)</f>
        <v>0</v>
      </c>
      <c r="N102" s="74">
        <f>SUMIFS('reductions data'!H:H,'reductions data'!G:G,'reasons for reduction division'!B102,'reductions data'!A:A,$N$72)</f>
        <v>0</v>
      </c>
      <c r="O102" s="74">
        <f>SUMIFS('reductions data'!$H:$H,'reductions data'!$G:$G,'reasons for reduction division'!B102,'reductions data'!$A:$A,O$72)</f>
        <v>0</v>
      </c>
      <c r="P102" s="74">
        <f>SUMIFS('reductions data'!$H:$H,'reductions data'!$G:$G,'reasons for reduction division'!B102,'reductions data'!$A:$A,P$72)</f>
        <v>0</v>
      </c>
      <c r="Q102" s="74">
        <f>SUMIFS('reductions data'!$H:$H,'reductions data'!$G:$G,'reasons for reduction division'!B102,'reductions data'!$A:$A,Q$72)</f>
        <v>0</v>
      </c>
      <c r="R102" s="118">
        <f>SUMIF('reductions data'!G:G,'reasons for reduction division'!B102,'reductions data'!H:H)</f>
        <v>0</v>
      </c>
    </row>
    <row r="103" spans="2:18" x14ac:dyDescent="0.15">
      <c r="B103" s="126" t="s">
        <v>1080</v>
      </c>
      <c r="C103" s="74">
        <f>SUMIFS('reductions data'!H:H,'reductions data'!G:G,'reasons for reduction division'!B103,'reductions data'!A:A,$C$72)</f>
        <v>0</v>
      </c>
      <c r="D103" s="74">
        <f>SUMIFS('reductions data'!H:H,'reductions data'!G:G,'reasons for reduction division'!B103,'reductions data'!A:A,$D$72)</f>
        <v>0</v>
      </c>
      <c r="E103" s="74">
        <f>SUMIFS('reductions data'!H:H,'reductions data'!G:G,'reasons for reduction division'!B103,'reductions data'!A:A,$E$72)</f>
        <v>0</v>
      </c>
      <c r="F103" s="74">
        <f>SUMIFS('reductions data'!H:H,'reductions data'!G:G,'reasons for reduction division'!B103,'reductions data'!A:A,$F$72)</f>
        <v>0</v>
      </c>
      <c r="G103" s="74">
        <f>SUMIFS('reductions data'!H:H,'reductions data'!G:G,'reasons for reduction division'!B103,'reductions data'!A:A,$G$72)</f>
        <v>0</v>
      </c>
      <c r="H103" s="74">
        <f>SUMIFS('reductions data'!H:H,'reductions data'!G:G,'reasons for reduction division'!B103,'reductions data'!A:A,$H$72)</f>
        <v>0</v>
      </c>
      <c r="I103" s="74">
        <f>SUMIFS('reductions data'!H:H,'reductions data'!G:G,'reasons for reduction division'!B103,'reductions data'!A:A,$I$72)</f>
        <v>0</v>
      </c>
      <c r="J103" s="74">
        <f>SUMIFS('reductions data'!H:H,'reductions data'!G:G,'reasons for reduction division'!B103,'reductions data'!A:A,$J$72)</f>
        <v>0</v>
      </c>
      <c r="K103" s="74">
        <f>SUMIFS('reductions data'!H:H,'reductions data'!G:G,'reasons for reduction division'!B103,'reductions data'!A:A,$K$72)</f>
        <v>0</v>
      </c>
      <c r="L103" s="74">
        <f>SUMIFS('reductions data'!H:H,'reductions data'!G:G,'reasons for reduction division'!B103,'reductions data'!A:A,$L$72)</f>
        <v>0</v>
      </c>
      <c r="M103" s="74">
        <f>SUMIFS('reductions data'!H:H,'reductions data'!G:G,'reasons for reduction division'!B103,'reductions data'!A:A,$M$72)</f>
        <v>0</v>
      </c>
      <c r="N103" s="74">
        <f>SUMIFS('reductions data'!H:H,'reductions data'!G:G,'reasons for reduction division'!B103,'reductions data'!A:A,$N$72)</f>
        <v>0</v>
      </c>
      <c r="O103" s="74">
        <f>SUMIFS('reductions data'!$H:$H,'reductions data'!$G:$G,'reasons for reduction division'!B103,'reductions data'!$A:$A,O$72)</f>
        <v>0</v>
      </c>
      <c r="P103" s="74">
        <f>SUMIFS('reductions data'!$H:$H,'reductions data'!$G:$G,'reasons for reduction division'!B103,'reductions data'!$A:$A,P$72)</f>
        <v>0</v>
      </c>
      <c r="Q103" s="74">
        <f>SUMIFS('reductions data'!$H:$H,'reductions data'!$G:$G,'reasons for reduction division'!B103,'reductions data'!$A:$A,Q$72)</f>
        <v>0</v>
      </c>
      <c r="R103" s="118">
        <f>SUMIF('reductions data'!G:G,'reasons for reduction division'!B103,'reductions data'!H:H)</f>
        <v>0</v>
      </c>
    </row>
    <row r="104" spans="2:18" x14ac:dyDescent="0.15">
      <c r="B104" s="126" t="s">
        <v>1100</v>
      </c>
      <c r="C104" s="74">
        <f>SUMIFS('reductions data'!H:H,'reductions data'!G:G,'reasons for reduction division'!B104,'reductions data'!A:A,$C$72)</f>
        <v>0</v>
      </c>
      <c r="D104" s="74">
        <f>SUMIFS('reductions data'!H:H,'reductions data'!G:G,'reasons for reduction division'!B104,'reductions data'!A:A,$D$72)</f>
        <v>0</v>
      </c>
      <c r="E104" s="74">
        <f>SUMIFS('reductions data'!H:H,'reductions data'!G:G,'reasons for reduction division'!B104,'reductions data'!A:A,$E$72)</f>
        <v>0</v>
      </c>
      <c r="F104" s="74">
        <f>SUMIFS('reductions data'!H:H,'reductions data'!G:G,'reasons for reduction division'!B104,'reductions data'!A:A,$F$72)</f>
        <v>0</v>
      </c>
      <c r="G104" s="74">
        <f>SUMIFS('reductions data'!H:H,'reductions data'!G:G,'reasons for reduction division'!B104,'reductions data'!A:A,$G$72)</f>
        <v>0</v>
      </c>
      <c r="H104" s="74">
        <f>SUMIFS('reductions data'!H:H,'reductions data'!G:G,'reasons for reduction division'!B104,'reductions data'!A:A,$H$72)</f>
        <v>0</v>
      </c>
      <c r="I104" s="74">
        <f>SUMIFS('reductions data'!H:H,'reductions data'!G:G,'reasons for reduction division'!B104,'reductions data'!A:A,$I$72)</f>
        <v>0</v>
      </c>
      <c r="J104" s="74">
        <f>SUMIFS('reductions data'!H:H,'reductions data'!G:G,'reasons for reduction division'!B104,'reductions data'!A:A,$J$72)</f>
        <v>0</v>
      </c>
      <c r="K104" s="74">
        <f>SUMIFS('reductions data'!H:H,'reductions data'!G:G,'reasons for reduction division'!B104,'reductions data'!A:A,$K$72)</f>
        <v>0</v>
      </c>
      <c r="L104" s="74">
        <f>SUMIFS('reductions data'!H:H,'reductions data'!G:G,'reasons for reduction division'!B104,'reductions data'!A:A,$L$72)</f>
        <v>0</v>
      </c>
      <c r="M104" s="74">
        <f>SUMIFS('reductions data'!H:H,'reductions data'!G:G,'reasons for reduction division'!B104,'reductions data'!A:A,$M$72)</f>
        <v>0</v>
      </c>
      <c r="N104" s="74">
        <f>SUMIFS('reductions data'!H:H,'reductions data'!G:G,'reasons for reduction division'!B104,'reductions data'!A:A,$N$72)</f>
        <v>0</v>
      </c>
      <c r="O104" s="74">
        <f>SUMIFS('reductions data'!$H:$H,'reductions data'!$G:$G,'reasons for reduction division'!B104,'reductions data'!$A:$A,O$72)</f>
        <v>0</v>
      </c>
      <c r="P104" s="74">
        <f>SUMIFS('reductions data'!$H:$H,'reductions data'!$G:$G,'reasons for reduction division'!B104,'reductions data'!$A:$A,P$72)</f>
        <v>0</v>
      </c>
      <c r="Q104" s="74">
        <f>SUMIFS('reductions data'!$H:$H,'reductions data'!$G:$G,'reasons for reduction division'!B104,'reductions data'!$A:$A,Q$72)</f>
        <v>0</v>
      </c>
      <c r="R104" s="118">
        <f>SUMIF('reductions data'!G:G,'reasons for reduction division'!B104,'reductions data'!H:H)</f>
        <v>0</v>
      </c>
    </row>
    <row r="105" spans="2:18" x14ac:dyDescent="0.15">
      <c r="B105" s="126" t="s">
        <v>1108</v>
      </c>
      <c r="C105" s="74">
        <f>SUMIFS('reductions data'!H:H,'reductions data'!G:G,'reasons for reduction division'!B105,'reductions data'!A:A,$C$72)</f>
        <v>0</v>
      </c>
      <c r="D105" s="74">
        <f>SUMIFS('reductions data'!H:H,'reductions data'!G:G,'reasons for reduction division'!B105,'reductions data'!A:A,$D$72)</f>
        <v>0</v>
      </c>
      <c r="E105" s="74">
        <f>SUMIFS('reductions data'!H:H,'reductions data'!G:G,'reasons for reduction division'!B105,'reductions data'!A:A,$E$72)</f>
        <v>0</v>
      </c>
      <c r="F105" s="74">
        <f>SUMIFS('reductions data'!H:H,'reductions data'!G:G,'reasons for reduction division'!B105,'reductions data'!A:A,$F$72)</f>
        <v>0</v>
      </c>
      <c r="G105" s="74">
        <f>SUMIFS('reductions data'!H:H,'reductions data'!G:G,'reasons for reduction division'!B105,'reductions data'!A:A,$G$72)</f>
        <v>0</v>
      </c>
      <c r="H105" s="74">
        <f>SUMIFS('reductions data'!H:H,'reductions data'!G:G,'reasons for reduction division'!B105,'reductions data'!A:A,$H$72)</f>
        <v>0</v>
      </c>
      <c r="I105" s="74">
        <f>SUMIFS('reductions data'!H:H,'reductions data'!G:G,'reasons for reduction division'!B105,'reductions data'!A:A,$I$72)</f>
        <v>0</v>
      </c>
      <c r="J105" s="74">
        <f>SUMIFS('reductions data'!H:H,'reductions data'!G:G,'reasons for reduction division'!B105,'reductions data'!A:A,$J$72)</f>
        <v>0</v>
      </c>
      <c r="K105" s="74">
        <f>SUMIFS('reductions data'!H:H,'reductions data'!G:G,'reasons for reduction division'!B105,'reductions data'!A:A,$K$72)</f>
        <v>0</v>
      </c>
      <c r="L105" s="74">
        <f>SUMIFS('reductions data'!H:H,'reductions data'!G:G,'reasons for reduction division'!B105,'reductions data'!A:A,$L$72)</f>
        <v>0</v>
      </c>
      <c r="M105" s="74">
        <f>SUMIFS('reductions data'!H:H,'reductions data'!G:G,'reasons for reduction division'!B105,'reductions data'!A:A,$M$72)</f>
        <v>0</v>
      </c>
      <c r="N105" s="74">
        <f>SUMIFS('reductions data'!H:H,'reductions data'!G:G,'reasons for reduction division'!B105,'reductions data'!A:A,$N$72)</f>
        <v>0</v>
      </c>
      <c r="O105" s="74">
        <f>SUMIFS('reductions data'!$H:$H,'reductions data'!$G:$G,'reasons for reduction division'!B105,'reductions data'!$A:$A,O$72)</f>
        <v>0</v>
      </c>
      <c r="P105" s="74">
        <f>SUMIFS('reductions data'!$H:$H,'reductions data'!$G:$G,'reasons for reduction division'!B105,'reductions data'!$A:$A,P$72)</f>
        <v>0</v>
      </c>
      <c r="Q105" s="74">
        <f>SUMIFS('reductions data'!$H:$H,'reductions data'!$G:$G,'reasons for reduction division'!B105,'reductions data'!$A:$A,Q$72)</f>
        <v>0</v>
      </c>
      <c r="R105" s="118">
        <f>SUMIF('reductions data'!G:G,'reasons for reduction division'!B105,'reductions data'!H:H)</f>
        <v>0</v>
      </c>
    </row>
    <row r="106" spans="2:18" x14ac:dyDescent="0.15">
      <c r="B106" s="126" t="s">
        <v>1106</v>
      </c>
      <c r="C106" s="74">
        <f>SUMIFS('reductions data'!H:H,'reductions data'!G:G,'reasons for reduction division'!B106,'reductions data'!A:A,$C$72)</f>
        <v>0</v>
      </c>
      <c r="D106" s="74">
        <f>SUMIFS('reductions data'!H:H,'reductions data'!G:G,'reasons for reduction division'!B106,'reductions data'!A:A,$D$72)</f>
        <v>0</v>
      </c>
      <c r="E106" s="74">
        <f>SUMIFS('reductions data'!H:H,'reductions data'!G:G,'reasons for reduction division'!B106,'reductions data'!A:A,$E$72)</f>
        <v>0</v>
      </c>
      <c r="F106" s="74">
        <f>SUMIFS('reductions data'!H:H,'reductions data'!G:G,'reasons for reduction division'!B106,'reductions data'!A:A,$F$72)</f>
        <v>0</v>
      </c>
      <c r="G106" s="74">
        <f>SUMIFS('reductions data'!H:H,'reductions data'!G:G,'reasons for reduction division'!B106,'reductions data'!A:A,$G$72)</f>
        <v>0</v>
      </c>
      <c r="H106" s="74">
        <f>SUMIFS('reductions data'!H:H,'reductions data'!G:G,'reasons for reduction division'!B106,'reductions data'!A:A,$H$72)</f>
        <v>0</v>
      </c>
      <c r="I106" s="74">
        <f>SUMIFS('reductions data'!H:H,'reductions data'!G:G,'reasons for reduction division'!B106,'reductions data'!A:A,$I$72)</f>
        <v>0</v>
      </c>
      <c r="J106" s="74">
        <f>SUMIFS('reductions data'!H:H,'reductions data'!G:G,'reasons for reduction division'!B106,'reductions data'!A:A,$J$72)</f>
        <v>0</v>
      </c>
      <c r="K106" s="74">
        <f>SUMIFS('reductions data'!H:H,'reductions data'!G:G,'reasons for reduction division'!B106,'reductions data'!A:A,$K$72)</f>
        <v>0</v>
      </c>
      <c r="L106" s="74">
        <f>SUMIFS('reductions data'!H:H,'reductions data'!G:G,'reasons for reduction division'!B106,'reductions data'!A:A,$L$72)</f>
        <v>0</v>
      </c>
      <c r="M106" s="74">
        <f>SUMIFS('reductions data'!H:H,'reductions data'!G:G,'reasons for reduction division'!B106,'reductions data'!A:A,$M$72)</f>
        <v>0</v>
      </c>
      <c r="N106" s="74">
        <f>SUMIFS('reductions data'!H:H,'reductions data'!G:G,'reasons for reduction division'!B106,'reductions data'!A:A,$N$72)</f>
        <v>0</v>
      </c>
      <c r="O106" s="74">
        <f>SUMIFS('reductions data'!$H:$H,'reductions data'!$G:$G,'reasons for reduction division'!B106,'reductions data'!$A:$A,O$72)</f>
        <v>0</v>
      </c>
      <c r="P106" s="74">
        <f>SUMIFS('reductions data'!$H:$H,'reductions data'!$G:$G,'reasons for reduction division'!B106,'reductions data'!$A:$A,P$72)</f>
        <v>0</v>
      </c>
      <c r="Q106" s="74">
        <f>SUMIFS('reductions data'!$H:$H,'reductions data'!$G:$G,'reasons for reduction division'!B106,'reductions data'!$A:$A,Q$72)</f>
        <v>0</v>
      </c>
      <c r="R106" s="118">
        <f>SUMIF('reductions data'!G:G,'reasons for reduction division'!B106,'reductions data'!H:H)</f>
        <v>0</v>
      </c>
    </row>
    <row r="107" spans="2:18" x14ac:dyDescent="0.15">
      <c r="B107" s="126" t="s">
        <v>1095</v>
      </c>
      <c r="C107" s="74">
        <f>SUMIFS('reductions data'!H:H,'reductions data'!G:G,'reasons for reduction division'!B107,'reductions data'!A:A,$C$72)</f>
        <v>0</v>
      </c>
      <c r="D107" s="74">
        <f>SUMIFS('reductions data'!H:H,'reductions data'!G:G,'reasons for reduction division'!B107,'reductions data'!A:A,$D$72)</f>
        <v>0</v>
      </c>
      <c r="E107" s="74">
        <f>SUMIFS('reductions data'!H:H,'reductions data'!G:G,'reasons for reduction division'!B107,'reductions data'!A:A,$E$72)</f>
        <v>0</v>
      </c>
      <c r="F107" s="74">
        <f>SUMIFS('reductions data'!H:H,'reductions data'!G:G,'reasons for reduction division'!B107,'reductions data'!A:A,$F$72)</f>
        <v>0</v>
      </c>
      <c r="G107" s="74">
        <f>SUMIFS('reductions data'!H:H,'reductions data'!G:G,'reasons for reduction division'!B107,'reductions data'!A:A,$G$72)</f>
        <v>0</v>
      </c>
      <c r="H107" s="74">
        <f>SUMIFS('reductions data'!H:H,'reductions data'!G:G,'reasons for reduction division'!B107,'reductions data'!A:A,$H$72)</f>
        <v>0</v>
      </c>
      <c r="I107" s="74">
        <f>SUMIFS('reductions data'!H:H,'reductions data'!G:G,'reasons for reduction division'!B107,'reductions data'!A:A,$I$72)</f>
        <v>0</v>
      </c>
      <c r="J107" s="74">
        <f>SUMIFS('reductions data'!H:H,'reductions data'!G:G,'reasons for reduction division'!B107,'reductions data'!A:A,$J$72)</f>
        <v>0</v>
      </c>
      <c r="K107" s="74">
        <f>SUMIFS('reductions data'!H:H,'reductions data'!G:G,'reasons for reduction division'!B107,'reductions data'!A:A,$K$72)</f>
        <v>0</v>
      </c>
      <c r="L107" s="74">
        <f>SUMIFS('reductions data'!H:H,'reductions data'!G:G,'reasons for reduction division'!B107,'reductions data'!A:A,$L$72)</f>
        <v>0</v>
      </c>
      <c r="M107" s="74">
        <f>SUMIFS('reductions data'!H:H,'reductions data'!G:G,'reasons for reduction division'!B107,'reductions data'!A:A,$M$72)</f>
        <v>0</v>
      </c>
      <c r="N107" s="74">
        <f>SUMIFS('reductions data'!H:H,'reductions data'!G:G,'reasons for reduction division'!B107,'reductions data'!A:A,$N$72)</f>
        <v>0</v>
      </c>
      <c r="O107" s="74">
        <f>SUMIFS('reductions data'!$H:$H,'reductions data'!$G:$G,'reasons for reduction division'!B107,'reductions data'!$A:$A,O$72)</f>
        <v>0</v>
      </c>
      <c r="P107" s="74">
        <f>SUMIFS('reductions data'!$H:$H,'reductions data'!$G:$G,'reasons for reduction division'!B107,'reductions data'!$A:$A,P$72)</f>
        <v>0</v>
      </c>
      <c r="Q107" s="74">
        <f>SUMIFS('reductions data'!$H:$H,'reductions data'!$G:$G,'reasons for reduction division'!B107,'reductions data'!$A:$A,Q$72)</f>
        <v>0</v>
      </c>
      <c r="R107" s="118">
        <f>SUMIF('reductions data'!G:G,'reasons for reduction division'!B107,'reductions data'!H:H)</f>
        <v>0</v>
      </c>
    </row>
    <row r="108" spans="2:18" x14ac:dyDescent="0.15">
      <c r="B108" s="126" t="s">
        <v>1127</v>
      </c>
      <c r="C108" s="74">
        <f>SUMIFS('reductions data'!H:H,'reductions data'!G:G,'reasons for reduction division'!B108,'reductions data'!A:A,$C$72)</f>
        <v>0</v>
      </c>
      <c r="D108" s="74">
        <f>SUMIFS('reductions data'!H:H,'reductions data'!G:G,'reasons for reduction division'!B108,'reductions data'!A:A,$D$72)</f>
        <v>0</v>
      </c>
      <c r="E108" s="74">
        <f>SUMIFS('reductions data'!H:H,'reductions data'!G:G,'reasons for reduction division'!B108,'reductions data'!A:A,$E$72)</f>
        <v>0</v>
      </c>
      <c r="F108" s="74">
        <f>SUMIFS('reductions data'!H:H,'reductions data'!G:G,'reasons for reduction division'!B108,'reductions data'!A:A,$F$72)</f>
        <v>0</v>
      </c>
      <c r="G108" s="74">
        <f>SUMIFS('reductions data'!H:H,'reductions data'!G:G,'reasons for reduction division'!B108,'reductions data'!A:A,$G$72)</f>
        <v>0</v>
      </c>
      <c r="H108" s="74">
        <f>SUMIFS('reductions data'!H:H,'reductions data'!G:G,'reasons for reduction division'!B108,'reductions data'!A:A,$H$72)</f>
        <v>0</v>
      </c>
      <c r="I108" s="74">
        <f>SUMIFS('reductions data'!H:H,'reductions data'!G:G,'reasons for reduction division'!B108,'reductions data'!A:A,$I$72)</f>
        <v>0</v>
      </c>
      <c r="J108" s="74">
        <f>SUMIFS('reductions data'!H:H,'reductions data'!G:G,'reasons for reduction division'!B108,'reductions data'!A:A,$J$72)</f>
        <v>0</v>
      </c>
      <c r="K108" s="74">
        <f>SUMIFS('reductions data'!H:H,'reductions data'!G:G,'reasons for reduction division'!B108,'reductions data'!A:A,$K$72)</f>
        <v>0</v>
      </c>
      <c r="L108" s="74">
        <f>SUMIFS('reductions data'!H:H,'reductions data'!G:G,'reasons for reduction division'!B108,'reductions data'!A:A,$L$72)</f>
        <v>0</v>
      </c>
      <c r="M108" s="74">
        <f>SUMIFS('reductions data'!H:H,'reductions data'!G:G,'reasons for reduction division'!B108,'reductions data'!A:A,$M$72)</f>
        <v>0</v>
      </c>
      <c r="N108" s="74">
        <f>SUMIFS('reductions data'!H:H,'reductions data'!G:G,'reasons for reduction division'!B108,'reductions data'!A:A,$N$72)</f>
        <v>0</v>
      </c>
      <c r="O108" s="74">
        <f>SUMIFS('reductions data'!$H:$H,'reductions data'!$G:$G,'reasons for reduction division'!B108,'reductions data'!$A:$A,O$72)</f>
        <v>0</v>
      </c>
      <c r="P108" s="74">
        <f>SUMIFS('reductions data'!$H:$H,'reductions data'!$G:$G,'reasons for reduction division'!B108,'reductions data'!$A:$A,P$72)</f>
        <v>0</v>
      </c>
      <c r="Q108" s="74">
        <f>SUMIFS('reductions data'!$H:$H,'reductions data'!$G:$G,'reasons for reduction division'!B108,'reductions data'!$A:$A,Q$72)</f>
        <v>0</v>
      </c>
      <c r="R108" s="118">
        <f>SUMIF('reductions data'!G:G,'reasons for reduction division'!B108,'reductions data'!H:H)</f>
        <v>0</v>
      </c>
    </row>
    <row r="109" spans="2:18" x14ac:dyDescent="0.15">
      <c r="B109" s="126" t="s">
        <v>1097</v>
      </c>
      <c r="C109" s="74">
        <f>SUMIFS('reductions data'!H:H,'reductions data'!G:G,'reasons for reduction division'!B109,'reductions data'!A:A,$C$72)</f>
        <v>0</v>
      </c>
      <c r="D109" s="74">
        <f>SUMIFS('reductions data'!H:H,'reductions data'!G:G,'reasons for reduction division'!B109,'reductions data'!A:A,$D$72)</f>
        <v>0</v>
      </c>
      <c r="E109" s="74">
        <f>SUMIFS('reductions data'!H:H,'reductions data'!G:G,'reasons for reduction division'!B109,'reductions data'!A:A,$E$72)</f>
        <v>0</v>
      </c>
      <c r="F109" s="74">
        <f>SUMIFS('reductions data'!H:H,'reductions data'!G:G,'reasons for reduction division'!B109,'reductions data'!A:A,$F$72)</f>
        <v>0</v>
      </c>
      <c r="G109" s="74">
        <f>SUMIFS('reductions data'!H:H,'reductions data'!G:G,'reasons for reduction division'!B109,'reductions data'!A:A,$G$72)</f>
        <v>0</v>
      </c>
      <c r="H109" s="74">
        <f>SUMIFS('reductions data'!H:H,'reductions data'!G:G,'reasons for reduction division'!B109,'reductions data'!A:A,$H$72)</f>
        <v>0</v>
      </c>
      <c r="I109" s="74">
        <f>SUMIFS('reductions data'!H:H,'reductions data'!G:G,'reasons for reduction division'!B109,'reductions data'!A:A,$I$72)</f>
        <v>0</v>
      </c>
      <c r="J109" s="74">
        <f>SUMIFS('reductions data'!H:H,'reductions data'!G:G,'reasons for reduction division'!B109,'reductions data'!A:A,$J$72)</f>
        <v>0</v>
      </c>
      <c r="K109" s="74">
        <f>SUMIFS('reductions data'!H:H,'reductions data'!G:G,'reasons for reduction division'!B109,'reductions data'!A:A,$K$72)</f>
        <v>0</v>
      </c>
      <c r="L109" s="74">
        <f>SUMIFS('reductions data'!H:H,'reductions data'!G:G,'reasons for reduction division'!B109,'reductions data'!A:A,$L$72)</f>
        <v>0</v>
      </c>
      <c r="M109" s="74">
        <f>SUMIFS('reductions data'!H:H,'reductions data'!G:G,'reasons for reduction division'!B109,'reductions data'!A:A,$M$72)</f>
        <v>0</v>
      </c>
      <c r="N109" s="74">
        <f>SUMIFS('reductions data'!H:H,'reductions data'!G:G,'reasons for reduction division'!B109,'reductions data'!A:A,$N$72)</f>
        <v>0</v>
      </c>
      <c r="O109" s="74">
        <f>SUMIFS('reductions data'!$H:$H,'reductions data'!$G:$G,'reasons for reduction division'!B109,'reductions data'!$A:$A,O$72)</f>
        <v>0</v>
      </c>
      <c r="P109" s="74">
        <f>SUMIFS('reductions data'!$H:$H,'reductions data'!$G:$G,'reasons for reduction division'!B109,'reductions data'!$A:$A,P$72)</f>
        <v>0</v>
      </c>
      <c r="Q109" s="74">
        <f>SUMIFS('reductions data'!$H:$H,'reductions data'!$G:$G,'reasons for reduction division'!B109,'reductions data'!$A:$A,Q$72)</f>
        <v>0</v>
      </c>
      <c r="R109" s="118">
        <f>SUMIF('reductions data'!G:G,'reasons for reduction division'!B109,'reductions data'!H:H)</f>
        <v>0</v>
      </c>
    </row>
    <row r="110" spans="2:18" x14ac:dyDescent="0.15">
      <c r="B110" s="126" t="s">
        <v>1128</v>
      </c>
      <c r="C110" s="74">
        <f>SUMIFS('reductions data'!H:H,'reductions data'!G:G,'reasons for reduction division'!B110,'reductions data'!A:A,$C$72)</f>
        <v>0</v>
      </c>
      <c r="D110" s="74">
        <f>SUMIFS('reductions data'!H:H,'reductions data'!G:G,'reasons for reduction division'!B110,'reductions data'!A:A,$D$72)</f>
        <v>0</v>
      </c>
      <c r="E110" s="74">
        <f>SUMIFS('reductions data'!H:H,'reductions data'!G:G,'reasons for reduction division'!B110,'reductions data'!A:A,$E$72)</f>
        <v>0</v>
      </c>
      <c r="F110" s="74">
        <f>SUMIFS('reductions data'!H:H,'reductions data'!G:G,'reasons for reduction division'!B110,'reductions data'!A:A,$F$72)</f>
        <v>0</v>
      </c>
      <c r="G110" s="74">
        <f>SUMIFS('reductions data'!H:H,'reductions data'!G:G,'reasons for reduction division'!B110,'reductions data'!A:A,$G$72)</f>
        <v>0</v>
      </c>
      <c r="H110" s="74">
        <f>SUMIFS('reductions data'!H:H,'reductions data'!G:G,'reasons for reduction division'!B110,'reductions data'!A:A,$H$72)</f>
        <v>0</v>
      </c>
      <c r="I110" s="74">
        <f>SUMIFS('reductions data'!H:H,'reductions data'!G:G,'reasons for reduction division'!B110,'reductions data'!A:A,$I$72)</f>
        <v>0</v>
      </c>
      <c r="J110" s="74">
        <f>SUMIFS('reductions data'!H:H,'reductions data'!G:G,'reasons for reduction division'!B110,'reductions data'!A:A,$J$72)</f>
        <v>0</v>
      </c>
      <c r="K110" s="74">
        <f>SUMIFS('reductions data'!H:H,'reductions data'!G:G,'reasons for reduction division'!B110,'reductions data'!A:A,$K$72)</f>
        <v>0</v>
      </c>
      <c r="L110" s="74">
        <f>SUMIFS('reductions data'!H:H,'reductions data'!G:G,'reasons for reduction division'!B110,'reductions data'!A:A,$L$72)</f>
        <v>0</v>
      </c>
      <c r="M110" s="74">
        <f>SUMIFS('reductions data'!H:H,'reductions data'!G:G,'reasons for reduction division'!B110,'reductions data'!A:A,$M$72)</f>
        <v>0</v>
      </c>
      <c r="N110" s="74">
        <f>SUMIFS('reductions data'!H:H,'reductions data'!G:G,'reasons for reduction division'!B110,'reductions data'!A:A,$N$72)</f>
        <v>0</v>
      </c>
      <c r="O110" s="74">
        <f>SUMIFS('reductions data'!$H:$H,'reductions data'!$G:$G,'reasons for reduction division'!B110,'reductions data'!$A:$A,O$72)</f>
        <v>0</v>
      </c>
      <c r="P110" s="74">
        <f>SUMIFS('reductions data'!$H:$H,'reductions data'!$G:$G,'reasons for reduction division'!B110,'reductions data'!$A:$A,P$72)</f>
        <v>0</v>
      </c>
      <c r="Q110" s="74">
        <f>SUMIFS('reductions data'!$H:$H,'reductions data'!$G:$G,'reasons for reduction division'!B110,'reductions data'!$A:$A,Q$72)</f>
        <v>0</v>
      </c>
      <c r="R110" s="118">
        <f>SUMIF('reductions data'!G:G,'reasons for reduction division'!B110,'reductions data'!H:H)</f>
        <v>0</v>
      </c>
    </row>
    <row r="111" spans="2:18" x14ac:dyDescent="0.15">
      <c r="B111" s="126" t="s">
        <v>1083</v>
      </c>
      <c r="C111" s="74">
        <f>SUMIFS('reductions data'!H:H,'reductions data'!G:G,'reasons for reduction division'!B111,'reductions data'!A:A,$C$72)</f>
        <v>0</v>
      </c>
      <c r="D111" s="74">
        <f>SUMIFS('reductions data'!H:H,'reductions data'!G:G,'reasons for reduction division'!B111,'reductions data'!A:A,$D$72)</f>
        <v>0</v>
      </c>
      <c r="E111" s="74">
        <f>SUMIFS('reductions data'!H:H,'reductions data'!G:G,'reasons for reduction division'!B111,'reductions data'!A:A,$E$72)</f>
        <v>0</v>
      </c>
      <c r="F111" s="74">
        <f>SUMIFS('reductions data'!H:H,'reductions data'!G:G,'reasons for reduction division'!B111,'reductions data'!A:A,$F$72)</f>
        <v>0</v>
      </c>
      <c r="G111" s="74">
        <f>SUMIFS('reductions data'!H:H,'reductions data'!G:G,'reasons for reduction division'!B111,'reductions data'!A:A,$G$72)</f>
        <v>0</v>
      </c>
      <c r="H111" s="74">
        <f>SUMIFS('reductions data'!H:H,'reductions data'!G:G,'reasons for reduction division'!B111,'reductions data'!A:A,$H$72)</f>
        <v>0</v>
      </c>
      <c r="I111" s="74">
        <f>SUMIFS('reductions data'!H:H,'reductions data'!G:G,'reasons for reduction division'!B111,'reductions data'!A:A,$I$72)</f>
        <v>0</v>
      </c>
      <c r="J111" s="74">
        <f>SUMIFS('reductions data'!H:H,'reductions data'!G:G,'reasons for reduction division'!B111,'reductions data'!A:A,$J$72)</f>
        <v>0</v>
      </c>
      <c r="K111" s="74">
        <f>SUMIFS('reductions data'!H:H,'reductions data'!G:G,'reasons for reduction division'!B111,'reductions data'!A:A,$K$72)</f>
        <v>0</v>
      </c>
      <c r="L111" s="74">
        <f>SUMIFS('reductions data'!H:H,'reductions data'!G:G,'reasons for reduction division'!B111,'reductions data'!A:A,$L$72)</f>
        <v>0</v>
      </c>
      <c r="M111" s="74">
        <f>SUMIFS('reductions data'!H:H,'reductions data'!G:G,'reasons for reduction division'!B111,'reductions data'!A:A,$M$72)</f>
        <v>0</v>
      </c>
      <c r="N111" s="74">
        <f>SUMIFS('reductions data'!H:H,'reductions data'!G:G,'reasons for reduction division'!B111,'reductions data'!A:A,$N$72)</f>
        <v>0</v>
      </c>
      <c r="O111" s="74">
        <f>SUMIFS('reductions data'!$H:$H,'reductions data'!$G:$G,'reasons for reduction division'!B111,'reductions data'!$A:$A,O$72)</f>
        <v>0</v>
      </c>
      <c r="P111" s="74">
        <f>SUMIFS('reductions data'!$H:$H,'reductions data'!$G:$G,'reasons for reduction division'!B111,'reductions data'!$A:$A,P$72)</f>
        <v>0</v>
      </c>
      <c r="Q111" s="74">
        <f>SUMIFS('reductions data'!$H:$H,'reductions data'!$G:$G,'reasons for reduction division'!B111,'reductions data'!$A:$A,Q$72)</f>
        <v>0</v>
      </c>
      <c r="R111" s="118">
        <f>SUMIF('reductions data'!G:G,'reasons for reduction division'!B111,'reductions data'!H:H)</f>
        <v>0</v>
      </c>
    </row>
    <row r="112" spans="2:18" x14ac:dyDescent="0.15">
      <c r="B112" s="126" t="s">
        <v>1084</v>
      </c>
      <c r="C112" s="74">
        <f>SUMIFS('reductions data'!H:H,'reductions data'!G:G,'reasons for reduction division'!B112,'reductions data'!A:A,$C$72)</f>
        <v>0</v>
      </c>
      <c r="D112" s="74">
        <f>SUMIFS('reductions data'!H:H,'reductions data'!G:G,'reasons for reduction division'!B112,'reductions data'!A:A,$D$72)</f>
        <v>0</v>
      </c>
      <c r="E112" s="74">
        <f>SUMIFS('reductions data'!H:H,'reductions data'!G:G,'reasons for reduction division'!B112,'reductions data'!A:A,$E$72)</f>
        <v>0</v>
      </c>
      <c r="F112" s="74">
        <f>SUMIFS('reductions data'!H:H,'reductions data'!G:G,'reasons for reduction division'!B112,'reductions data'!A:A,$F$72)</f>
        <v>0</v>
      </c>
      <c r="G112" s="74">
        <f>SUMIFS('reductions data'!H:H,'reductions data'!G:G,'reasons for reduction division'!B112,'reductions data'!A:A,$G$72)</f>
        <v>0</v>
      </c>
      <c r="H112" s="74">
        <f>SUMIFS('reductions data'!H:H,'reductions data'!G:G,'reasons for reduction division'!B112,'reductions data'!A:A,$H$72)</f>
        <v>0</v>
      </c>
      <c r="I112" s="74">
        <f>SUMIFS('reductions data'!H:H,'reductions data'!G:G,'reasons for reduction division'!B112,'reductions data'!A:A,$I$72)</f>
        <v>0</v>
      </c>
      <c r="J112" s="74">
        <f>SUMIFS('reductions data'!H:H,'reductions data'!G:G,'reasons for reduction division'!B112,'reductions data'!A:A,$J$72)</f>
        <v>0</v>
      </c>
      <c r="K112" s="74">
        <f>SUMIFS('reductions data'!H:H,'reductions data'!G:G,'reasons for reduction division'!B112,'reductions data'!A:A,$K$72)</f>
        <v>0</v>
      </c>
      <c r="L112" s="74">
        <f>SUMIFS('reductions data'!H:H,'reductions data'!G:G,'reasons for reduction division'!B112,'reductions data'!A:A,$L$72)</f>
        <v>0</v>
      </c>
      <c r="M112" s="74">
        <f>SUMIFS('reductions data'!H:H,'reductions data'!G:G,'reasons for reduction division'!B112,'reductions data'!A:A,$M$72)</f>
        <v>0</v>
      </c>
      <c r="N112" s="74">
        <f>SUMIFS('reductions data'!H:H,'reductions data'!G:G,'reasons for reduction division'!B112,'reductions data'!A:A,$N$72)</f>
        <v>0</v>
      </c>
      <c r="O112" s="74">
        <f>SUMIFS('reductions data'!$H:$H,'reductions data'!$G:$G,'reasons for reduction division'!B112,'reductions data'!$A:$A,O$72)</f>
        <v>0</v>
      </c>
      <c r="P112" s="74">
        <f>SUMIFS('reductions data'!$H:$H,'reductions data'!$G:$G,'reasons for reduction division'!B112,'reductions data'!$A:$A,P$72)</f>
        <v>0</v>
      </c>
      <c r="Q112" s="74">
        <f>SUMIFS('reductions data'!$H:$H,'reductions data'!$G:$G,'reasons for reduction division'!B112,'reductions data'!$A:$A,Q$72)</f>
        <v>0</v>
      </c>
      <c r="R112" s="118">
        <f>SUMIF('reductions data'!G:G,'reasons for reduction division'!B112,'reductions data'!H:H)</f>
        <v>0</v>
      </c>
    </row>
    <row r="113" spans="2:18" x14ac:dyDescent="0.15">
      <c r="B113" s="126" t="s">
        <v>1110</v>
      </c>
      <c r="C113" s="74">
        <f>SUMIFS('reductions data'!H:H,'reductions data'!G:G,'reasons for reduction division'!B113,'reductions data'!A:A,$C$72)</f>
        <v>0</v>
      </c>
      <c r="D113" s="74">
        <f>SUMIFS('reductions data'!H:H,'reductions data'!G:G,'reasons for reduction division'!B113,'reductions data'!A:A,$D$72)</f>
        <v>0</v>
      </c>
      <c r="E113" s="74">
        <f>SUMIFS('reductions data'!H:H,'reductions data'!G:G,'reasons for reduction division'!B113,'reductions data'!A:A,$E$72)</f>
        <v>0</v>
      </c>
      <c r="F113" s="74">
        <f>SUMIFS('reductions data'!H:H,'reductions data'!G:G,'reasons for reduction division'!B113,'reductions data'!A:A,$F$72)</f>
        <v>0</v>
      </c>
      <c r="G113" s="74">
        <f>SUMIFS('reductions data'!H:H,'reductions data'!G:G,'reasons for reduction division'!B113,'reductions data'!A:A,$G$72)</f>
        <v>0</v>
      </c>
      <c r="H113" s="74">
        <f>SUMIFS('reductions data'!H:H,'reductions data'!G:G,'reasons for reduction division'!B113,'reductions data'!A:A,$H$72)</f>
        <v>0</v>
      </c>
      <c r="I113" s="74">
        <f>SUMIFS('reductions data'!H:H,'reductions data'!G:G,'reasons for reduction division'!B113,'reductions data'!A:A,$I$72)</f>
        <v>0</v>
      </c>
      <c r="J113" s="74">
        <f>SUMIFS('reductions data'!H:H,'reductions data'!G:G,'reasons for reduction division'!B113,'reductions data'!A:A,$J$72)</f>
        <v>0</v>
      </c>
      <c r="K113" s="74">
        <f>SUMIFS('reductions data'!H:H,'reductions data'!G:G,'reasons for reduction division'!B113,'reductions data'!A:A,$K$72)</f>
        <v>0</v>
      </c>
      <c r="L113" s="74">
        <f>SUMIFS('reductions data'!H:H,'reductions data'!G:G,'reasons for reduction division'!B113,'reductions data'!A:A,$L$72)</f>
        <v>0</v>
      </c>
      <c r="M113" s="74">
        <f>SUMIFS('reductions data'!H:H,'reductions data'!G:G,'reasons for reduction division'!B113,'reductions data'!A:A,$M$72)</f>
        <v>0</v>
      </c>
      <c r="N113" s="74">
        <f>SUMIFS('reductions data'!H:H,'reductions data'!G:G,'reasons for reduction division'!B113,'reductions data'!A:A,$N$72)</f>
        <v>0</v>
      </c>
      <c r="O113" s="74">
        <f>SUMIFS('reductions data'!$H:$H,'reductions data'!$G:$G,'reasons for reduction division'!B113,'reductions data'!$A:$A,O$72)</f>
        <v>0</v>
      </c>
      <c r="P113" s="74">
        <f>SUMIFS('reductions data'!$H:$H,'reductions data'!$G:$G,'reasons for reduction division'!B113,'reductions data'!$A:$A,P$72)</f>
        <v>0</v>
      </c>
      <c r="Q113" s="74">
        <f>SUMIFS('reductions data'!$H:$H,'reductions data'!$G:$G,'reasons for reduction division'!B113,'reductions data'!$A:$A,Q$72)</f>
        <v>0</v>
      </c>
      <c r="R113" s="118">
        <f>SUMIF('reductions data'!G:G,'reasons for reduction division'!B113,'reductions data'!H:H)</f>
        <v>0</v>
      </c>
    </row>
    <row r="114" spans="2:18" x14ac:dyDescent="0.15">
      <c r="B114" s="126" t="s">
        <v>1103</v>
      </c>
      <c r="C114" s="74">
        <f>SUMIFS('reductions data'!H:H,'reductions data'!G:G,'reasons for reduction division'!B114,'reductions data'!A:A,$C$72)</f>
        <v>0</v>
      </c>
      <c r="D114" s="74">
        <f>SUMIFS('reductions data'!H:H,'reductions data'!G:G,'reasons for reduction division'!B114,'reductions data'!A:A,$D$72)</f>
        <v>0</v>
      </c>
      <c r="E114" s="74">
        <f>SUMIFS('reductions data'!H:H,'reductions data'!G:G,'reasons for reduction division'!B114,'reductions data'!A:A,$E$72)</f>
        <v>0</v>
      </c>
      <c r="F114" s="74">
        <f>SUMIFS('reductions data'!H:H,'reductions data'!G:G,'reasons for reduction division'!B114,'reductions data'!A:A,$F$72)</f>
        <v>0</v>
      </c>
      <c r="G114" s="74">
        <f>SUMIFS('reductions data'!H:H,'reductions data'!G:G,'reasons for reduction division'!B114,'reductions data'!A:A,$G$72)</f>
        <v>0</v>
      </c>
      <c r="H114" s="74">
        <f>SUMIFS('reductions data'!H:H,'reductions data'!G:G,'reasons for reduction division'!B114,'reductions data'!A:A,$H$72)</f>
        <v>0</v>
      </c>
      <c r="I114" s="74">
        <f>SUMIFS('reductions data'!H:H,'reductions data'!G:G,'reasons for reduction division'!B114,'reductions data'!A:A,$I$72)</f>
        <v>0</v>
      </c>
      <c r="J114" s="74">
        <f>SUMIFS('reductions data'!H:H,'reductions data'!G:G,'reasons for reduction division'!B114,'reductions data'!A:A,$J$72)</f>
        <v>0</v>
      </c>
      <c r="K114" s="74">
        <f>SUMIFS('reductions data'!H:H,'reductions data'!G:G,'reasons for reduction division'!B114,'reductions data'!A:A,$K$72)</f>
        <v>0</v>
      </c>
      <c r="L114" s="74">
        <f>SUMIFS('reductions data'!H:H,'reductions data'!G:G,'reasons for reduction division'!B114,'reductions data'!A:A,$L$72)</f>
        <v>0</v>
      </c>
      <c r="M114" s="74">
        <f>SUMIFS('reductions data'!H:H,'reductions data'!G:G,'reasons for reduction division'!B114,'reductions data'!A:A,$M$72)</f>
        <v>0</v>
      </c>
      <c r="N114" s="74">
        <f>SUMIFS('reductions data'!H:H,'reductions data'!G:G,'reasons for reduction division'!B114,'reductions data'!A:A,$N$72)</f>
        <v>0</v>
      </c>
      <c r="O114" s="74">
        <f>SUMIFS('reductions data'!$H:$H,'reductions data'!$G:$G,'reasons for reduction division'!B114,'reductions data'!$A:$A,O$72)</f>
        <v>0</v>
      </c>
      <c r="P114" s="74">
        <f>SUMIFS('reductions data'!$H:$H,'reductions data'!$G:$G,'reasons for reduction division'!B114,'reductions data'!$A:$A,P$72)</f>
        <v>0</v>
      </c>
      <c r="Q114" s="74">
        <f>SUMIFS('reductions data'!$H:$H,'reductions data'!$G:$G,'reasons for reduction division'!B114,'reductions data'!$A:$A,Q$72)</f>
        <v>0</v>
      </c>
      <c r="R114" s="118">
        <f>SUMIF('reductions data'!G:G,'reasons for reduction division'!B114,'reductions data'!H:H)</f>
        <v>0</v>
      </c>
    </row>
    <row r="115" spans="2:18" x14ac:dyDescent="0.15">
      <c r="B115" s="243" t="s">
        <v>1240</v>
      </c>
      <c r="C115" s="193">
        <f>SUMIF('reductions data'!A:A,$C$72,'reductions data'!H:H)</f>
        <v>0</v>
      </c>
      <c r="D115" s="193">
        <f>SUMIF('reductions data'!A:A,$D$72,'reductions data'!H:H)</f>
        <v>0</v>
      </c>
      <c r="E115" s="193">
        <f>SUMIF('reductions data'!A:A,$E$72,'reductions data'!H:H)</f>
        <v>0</v>
      </c>
      <c r="F115" s="193">
        <f>SUMIF('reductions data'!A:A,$F$72,'reductions data'!H:H)</f>
        <v>0</v>
      </c>
      <c r="G115" s="193">
        <f>SUMIF('reductions data'!A:A,$G$72,'reductions data'!H:H)</f>
        <v>0</v>
      </c>
      <c r="H115" s="193">
        <f>SUMIF('reductions data'!A:A,$H$72,'reductions data'!H:H)</f>
        <v>0</v>
      </c>
      <c r="I115" s="193">
        <f>SUMIF('reductions data'!A:A,$I$72,'reductions data'!H:H)</f>
        <v>0</v>
      </c>
      <c r="J115" s="193">
        <f>SUMIF('reductions data'!A:A,$J$72,'reductions data'!H:H)</f>
        <v>0</v>
      </c>
      <c r="K115" s="193">
        <f>SUMIF('reductions data'!A:A,$K$72,'reductions data'!H:H)</f>
        <v>0</v>
      </c>
      <c r="L115" s="193">
        <f>SUMIF('reductions data'!A:A,$L$72,'reductions data'!H:H)</f>
        <v>0</v>
      </c>
      <c r="M115" s="193">
        <f>SUMIF('reductions data'!A:A,$M$72,'reductions data'!H:H)</f>
        <v>0</v>
      </c>
      <c r="N115" s="193">
        <f>SUMIF('reductions data'!$A:$A,N72,'reductions data'!$H:$H)</f>
        <v>0</v>
      </c>
      <c r="O115" s="193">
        <f>SUMIF('reductions data'!$A:$A,O72,'reductions data'!$H:$H)</f>
        <v>0</v>
      </c>
      <c r="P115" s="193">
        <f>SUMIF('reductions data'!$A:$A,P72,'reductions data'!$H:$H)</f>
        <v>0</v>
      </c>
      <c r="Q115" s="193">
        <f>SUMIF('reductions data'!$A:$A,Q72,'reductions data'!$H:$H)</f>
        <v>0</v>
      </c>
      <c r="R115" s="203">
        <f>SUM('reductions data'!H:H)</f>
        <v>0</v>
      </c>
    </row>
    <row r="116" spans="2:18" x14ac:dyDescent="0.15">
      <c r="B116" s="193" t="s">
        <v>1342</v>
      </c>
      <c r="C116" s="193">
        <f>SUMIF('capacity data'!A:A,$C$72,'capacity data'!I:I)</f>
        <v>0</v>
      </c>
      <c r="D116" s="193">
        <f>SUMIF('capacity data'!A:A,$D$72,'capacity data'!I:I)</f>
        <v>0</v>
      </c>
      <c r="E116" s="193">
        <f>SUMIF('capacity data'!A:A,$E$72,'capacity data'!I:I)</f>
        <v>0</v>
      </c>
      <c r="F116" s="193">
        <f>SUMIF('capacity data'!A:A,$F$72,'capacity data'!I:I)</f>
        <v>0</v>
      </c>
      <c r="G116" s="193">
        <f>SUMIF('capacity data'!A:A,$G$72,'capacity data'!I:I)</f>
        <v>0</v>
      </c>
      <c r="H116" s="193">
        <f>SUMIF('capacity data'!A:A,$H$72,'capacity data'!I:I)</f>
        <v>0</v>
      </c>
      <c r="I116" s="193">
        <f>SUMIF('capacity data'!A:A,$I$72,'capacity data'!I:I)</f>
        <v>0</v>
      </c>
      <c r="J116" s="193">
        <f>SUMIF('capacity data'!A:A,$J$72,'capacity data'!I:I)</f>
        <v>0</v>
      </c>
      <c r="K116" s="193">
        <f>SUMIF('capacity data'!A:A,$K$72,'capacity data'!I:I)</f>
        <v>0</v>
      </c>
      <c r="L116" s="193">
        <f>SUMIF('capacity data'!A:A,$L$72,'capacity data'!I:I)</f>
        <v>0</v>
      </c>
      <c r="M116" s="193">
        <f>SUMIF('capacity data'!$A:$A,M$72,'capacity data'!$I:$I)</f>
        <v>0</v>
      </c>
      <c r="N116" s="193">
        <f>SUMIF('capacity data'!$A:$A,N$72,'capacity data'!$I:$I)</f>
        <v>0</v>
      </c>
      <c r="O116" s="193">
        <f>SUMIF('capacity data'!$A:$A,O$72,'capacity data'!$I:$I)</f>
        <v>0</v>
      </c>
      <c r="P116" s="193">
        <f>SUMIF('capacity data'!$A:$A,P$72,'capacity data'!$I:$I)</f>
        <v>0</v>
      </c>
      <c r="Q116" s="193">
        <f>SUMIF('capacity data'!$A:$A,Q$72,'capacity data'!$I:$I)</f>
        <v>0</v>
      </c>
      <c r="R116" s="193">
        <f>SUM(C116:Q116)</f>
        <v>0</v>
      </c>
    </row>
    <row r="117" spans="2:18" x14ac:dyDescent="0.15">
      <c r="B117" s="242" t="s">
        <v>1343</v>
      </c>
      <c r="C117" s="204" t="e">
        <f t="shared" ref="C117:Q117" si="0">C115/C116</f>
        <v>#DIV/0!</v>
      </c>
      <c r="D117" s="204" t="e">
        <f t="shared" si="0"/>
        <v>#DIV/0!</v>
      </c>
      <c r="E117" s="204" t="e">
        <f t="shared" si="0"/>
        <v>#DIV/0!</v>
      </c>
      <c r="F117" s="204" t="e">
        <f t="shared" si="0"/>
        <v>#DIV/0!</v>
      </c>
      <c r="G117" s="204" t="e">
        <f t="shared" si="0"/>
        <v>#DIV/0!</v>
      </c>
      <c r="H117" s="204" t="e">
        <f t="shared" si="0"/>
        <v>#DIV/0!</v>
      </c>
      <c r="I117" s="204" t="e">
        <f t="shared" si="0"/>
        <v>#DIV/0!</v>
      </c>
      <c r="J117" s="204" t="e">
        <f t="shared" si="0"/>
        <v>#DIV/0!</v>
      </c>
      <c r="K117" s="204" t="e">
        <f t="shared" si="0"/>
        <v>#DIV/0!</v>
      </c>
      <c r="L117" s="204" t="e">
        <f t="shared" si="0"/>
        <v>#DIV/0!</v>
      </c>
      <c r="M117" s="204" t="e">
        <f t="shared" si="0"/>
        <v>#DIV/0!</v>
      </c>
      <c r="N117" s="204" t="e">
        <f t="shared" si="0"/>
        <v>#DIV/0!</v>
      </c>
      <c r="O117" s="204" t="e">
        <f t="shared" si="0"/>
        <v>#DIV/0!</v>
      </c>
      <c r="P117" s="204" t="e">
        <f t="shared" si="0"/>
        <v>#DIV/0!</v>
      </c>
      <c r="Q117" s="204" t="e">
        <f t="shared" si="0"/>
        <v>#DIV/0!</v>
      </c>
      <c r="R117" s="204" t="e">
        <f>R115/R116</f>
        <v>#DIV/0!</v>
      </c>
    </row>
  </sheetData>
  <mergeCells count="26">
    <mergeCell ref="A1:R1"/>
    <mergeCell ref="A2:R2"/>
    <mergeCell ref="C71:R71"/>
    <mergeCell ref="C24:R24"/>
    <mergeCell ref="B4:C5"/>
    <mergeCell ref="E22:F22"/>
    <mergeCell ref="E6:F6"/>
    <mergeCell ref="E7:F7"/>
    <mergeCell ref="E8:F8"/>
    <mergeCell ref="E9:F9"/>
    <mergeCell ref="E10:F10"/>
    <mergeCell ref="E11:F11"/>
    <mergeCell ref="E12:F12"/>
    <mergeCell ref="H4:H5"/>
    <mergeCell ref="G21:H21"/>
    <mergeCell ref="G22:H22"/>
    <mergeCell ref="E18:F18"/>
    <mergeCell ref="E19:F19"/>
    <mergeCell ref="E20:F20"/>
    <mergeCell ref="E21:F21"/>
    <mergeCell ref="E4:G5"/>
    <mergeCell ref="E13:F13"/>
    <mergeCell ref="E14:F14"/>
    <mergeCell ref="E15:F15"/>
    <mergeCell ref="E16:F16"/>
    <mergeCell ref="E17:F17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2"/>
  <dimension ref="A1:Q51"/>
  <sheetViews>
    <sheetView showGridLines="0" zoomScale="85" zoomScaleNormal="85" workbookViewId="0">
      <selection activeCell="B20" sqref="B20"/>
    </sheetView>
  </sheetViews>
  <sheetFormatPr baseColWidth="10" defaultColWidth="8.83203125" defaultRowHeight="14" x14ac:dyDescent="0.15"/>
  <cols>
    <col min="1" max="1" width="41.5" customWidth="1"/>
    <col min="2" max="3" width="25.5" customWidth="1"/>
    <col min="4" max="4" width="9.1640625" customWidth="1"/>
    <col min="5" max="5" width="48.5" bestFit="1" customWidth="1"/>
    <col min="6" max="6" width="15.1640625" customWidth="1"/>
    <col min="7" max="7" width="16.83203125" customWidth="1"/>
  </cols>
  <sheetData>
    <row r="1" spans="1:17" ht="68.25" customHeight="1" x14ac:dyDescent="0.15">
      <c r="A1" s="411" t="s">
        <v>1344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1"/>
    </row>
    <row r="2" spans="1:17" ht="38.25" customHeight="1" x14ac:dyDescent="0.15">
      <c r="A2" s="412"/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2"/>
      <c r="Q2" s="412"/>
    </row>
    <row r="4" spans="1:17" ht="30" x14ac:dyDescent="0.15">
      <c r="A4" s="40" t="s">
        <v>1207</v>
      </c>
    </row>
    <row r="5" spans="1:17" ht="15" x14ac:dyDescent="0.15">
      <c r="A5" s="61" t="s">
        <v>28</v>
      </c>
    </row>
    <row r="6" spans="1:17" ht="16" x14ac:dyDescent="0.2">
      <c r="A6" s="62" t="s">
        <v>81</v>
      </c>
      <c r="B6" s="49"/>
      <c r="C6" s="49"/>
    </row>
    <row r="8" spans="1:17" ht="16" x14ac:dyDescent="0.2">
      <c r="A8" s="413" t="s">
        <v>1213</v>
      </c>
      <c r="B8" s="414"/>
      <c r="C8" s="414"/>
    </row>
    <row r="9" spans="1:17" ht="30" x14ac:dyDescent="0.15">
      <c r="A9" s="245" t="s">
        <v>1179</v>
      </c>
      <c r="B9" s="41" t="s">
        <v>1180</v>
      </c>
      <c r="C9" s="41" t="s">
        <v>1181</v>
      </c>
      <c r="E9" s="415" t="s">
        <v>1214</v>
      </c>
      <c r="F9" s="415"/>
    </row>
    <row r="10" spans="1:17" x14ac:dyDescent="0.15">
      <c r="A10" s="125" t="s">
        <v>1115</v>
      </c>
      <c r="B10" s="101">
        <f>COUNTIFS('reductions data'!B:B,$A$6,'reductions data'!G:G,A10)</f>
        <v>0</v>
      </c>
      <c r="C10" s="102">
        <f>SUMIFS('reductions data'!H:H,'reductions data'!B:B,$A$6,'reductions data'!G:G,A10)</f>
        <v>0</v>
      </c>
      <c r="E10" s="205" t="s">
        <v>1215</v>
      </c>
      <c r="F10" s="239">
        <f>COUNTIFS('reductions data'!B:B,'cluster reductions'!A6,'reductions data'!K:K,"ACTIVE")</f>
        <v>0</v>
      </c>
    </row>
    <row r="11" spans="1:17" x14ac:dyDescent="0.15">
      <c r="A11" s="126" t="s">
        <v>1096</v>
      </c>
      <c r="B11" s="101">
        <f>COUNTIFS('reductions data'!B:B,$A$6,'reductions data'!G:G,A11)</f>
        <v>0</v>
      </c>
      <c r="C11" s="102">
        <f>SUMIFS('reductions data'!H:H,'reductions data'!B:B,$A$6,'reductions data'!G:G,A11)</f>
        <v>0</v>
      </c>
      <c r="E11" s="205" t="s">
        <v>1216</v>
      </c>
      <c r="F11" s="239">
        <f>SUMIF('reductions data'!B:B,'cluster reductions'!A6,'reductions data'!H:H)</f>
        <v>0</v>
      </c>
    </row>
    <row r="12" spans="1:17" x14ac:dyDescent="0.15">
      <c r="A12" s="126" t="s">
        <v>1101</v>
      </c>
      <c r="B12" s="101">
        <f>COUNTIFS('reductions data'!B:B,$A$6,'reductions data'!G:G,A12)</f>
        <v>0</v>
      </c>
      <c r="C12" s="102">
        <f>SUMIFS('reductions data'!H:H,'reductions data'!B:B,$A$6,'reductions data'!G:G,A12)</f>
        <v>0</v>
      </c>
      <c r="E12" s="84" t="s">
        <v>1217</v>
      </c>
      <c r="F12" s="239">
        <f>SUMIF('capacity data'!B:B,'cluster reductions'!A6,'capacity data'!I:I)</f>
        <v>0</v>
      </c>
    </row>
    <row r="13" spans="1:17" x14ac:dyDescent="0.15">
      <c r="A13" s="126" t="s">
        <v>1079</v>
      </c>
      <c r="B13" s="101">
        <f>COUNTIFS('reductions data'!B:B,$A$6,'reductions data'!G:G,A13)</f>
        <v>0</v>
      </c>
      <c r="C13" s="102">
        <f>SUMIFS('reductions data'!H:H,'reductions data'!B:B,$A$6,'reductions data'!G:G,A13)</f>
        <v>0</v>
      </c>
      <c r="E13" s="84" t="s">
        <v>1218</v>
      </c>
      <c r="F13" s="105" t="e">
        <f>F11/F12</f>
        <v>#DIV/0!</v>
      </c>
    </row>
    <row r="14" spans="1:17" x14ac:dyDescent="0.15">
      <c r="A14" s="126" t="s">
        <v>1116</v>
      </c>
      <c r="B14" s="101">
        <f>COUNTIFS('reductions data'!B:B,$A$6,'reductions data'!G:G,A14)</f>
        <v>0</v>
      </c>
      <c r="C14" s="102">
        <f>SUMIFS('reductions data'!H:H,'reductions data'!B:B,$A$6,'reductions data'!G:G,A14)</f>
        <v>0</v>
      </c>
      <c r="E14" s="206" t="s">
        <v>1186</v>
      </c>
      <c r="F14" s="236" t="e">
        <f>+F13-'div &amp; regional reduction hours'!N21</f>
        <v>#DIV/0!</v>
      </c>
    </row>
    <row r="15" spans="1:17" x14ac:dyDescent="0.15">
      <c r="A15" s="126" t="s">
        <v>1109</v>
      </c>
      <c r="B15" s="101">
        <f>COUNTIFS('reductions data'!B:B,$A$6,'reductions data'!G:G,A15)</f>
        <v>0</v>
      </c>
      <c r="C15" s="102">
        <f>SUMIFS('reductions data'!H:H,'reductions data'!B:B,$A$6,'reductions data'!G:G,A15)</f>
        <v>0</v>
      </c>
    </row>
    <row r="16" spans="1:17" x14ac:dyDescent="0.15">
      <c r="A16" s="126" t="s">
        <v>1089</v>
      </c>
      <c r="B16" s="101">
        <f>COUNTIFS('reductions data'!B:B,$A$6,'reductions data'!G:G,A16)</f>
        <v>0</v>
      </c>
      <c r="C16" s="102">
        <f>SUMIFS('reductions data'!H:H,'reductions data'!B:B,$A$6,'reductions data'!G:G,A16)</f>
        <v>0</v>
      </c>
    </row>
    <row r="17" spans="1:3" x14ac:dyDescent="0.15">
      <c r="A17" s="126" t="s">
        <v>1117</v>
      </c>
      <c r="B17" s="101">
        <f>COUNTIFS('reductions data'!B:B,$A$6,'reductions data'!G:G,A17)</f>
        <v>0</v>
      </c>
      <c r="C17" s="102">
        <f>SUMIFS('reductions data'!H:H,'reductions data'!B:B,$A$6,'reductions data'!G:G,A17)</f>
        <v>0</v>
      </c>
    </row>
    <row r="18" spans="1:3" x14ac:dyDescent="0.15">
      <c r="A18" s="126" t="s">
        <v>1086</v>
      </c>
      <c r="B18" s="101">
        <f>COUNTIFS('reductions data'!B:B,$A$6,'reductions data'!G:G,A18)</f>
        <v>0</v>
      </c>
      <c r="C18" s="102">
        <f>SUMIFS('reductions data'!H:H,'reductions data'!B:B,$A$6,'reductions data'!G:G,A18)</f>
        <v>0</v>
      </c>
    </row>
    <row r="19" spans="1:3" x14ac:dyDescent="0.15">
      <c r="A19" s="126" t="s">
        <v>1091</v>
      </c>
      <c r="B19" s="101">
        <f>COUNTIFS('reductions data'!B:B,$A$6,'reductions data'!G:G,A19)</f>
        <v>0</v>
      </c>
      <c r="C19" s="102">
        <f>SUMIFS('reductions data'!H:H,'reductions data'!B:B,$A$6,'reductions data'!G:G,A19)</f>
        <v>0</v>
      </c>
    </row>
    <row r="20" spans="1:3" x14ac:dyDescent="0.15">
      <c r="A20" s="126" t="s">
        <v>1102</v>
      </c>
      <c r="B20" s="101">
        <f>COUNTIFS('reductions data'!B:B,$A$6,'reductions data'!G:G,A20)</f>
        <v>0</v>
      </c>
      <c r="C20" s="102">
        <f>SUMIFS('reductions data'!H:H,'reductions data'!B:B,$A$6,'reductions data'!G:G,A20)</f>
        <v>0</v>
      </c>
    </row>
    <row r="21" spans="1:3" x14ac:dyDescent="0.15">
      <c r="A21" s="126" t="s">
        <v>1085</v>
      </c>
      <c r="B21" s="101">
        <f>COUNTIFS('reductions data'!B:B,$A$6,'reductions data'!G:G,A21)</f>
        <v>0</v>
      </c>
      <c r="C21" s="102">
        <f>SUMIFS('reductions data'!H:H,'reductions data'!B:B,$A$6,'reductions data'!G:G,A21)</f>
        <v>0</v>
      </c>
    </row>
    <row r="22" spans="1:3" x14ac:dyDescent="0.15">
      <c r="A22" s="126" t="s">
        <v>1092</v>
      </c>
      <c r="B22" s="101">
        <f>COUNTIFS('reductions data'!B:B,$A$6,'reductions data'!G:G,A22)</f>
        <v>0</v>
      </c>
      <c r="C22" s="102">
        <f>SUMIFS('reductions data'!H:H,'reductions data'!B:B,$A$6,'reductions data'!G:G,A22)</f>
        <v>0</v>
      </c>
    </row>
    <row r="23" spans="1:3" x14ac:dyDescent="0.15">
      <c r="A23" s="126" t="s">
        <v>1118</v>
      </c>
      <c r="B23" s="101">
        <f>COUNTIFS('reductions data'!B:B,$A$6,'reductions data'!G:G,A23)</f>
        <v>0</v>
      </c>
      <c r="C23" s="102">
        <f>SUMIFS('reductions data'!H:H,'reductions data'!B:B,$A$6,'reductions data'!G:G,A23)</f>
        <v>0</v>
      </c>
    </row>
    <row r="24" spans="1:3" x14ac:dyDescent="0.15">
      <c r="A24" s="126" t="s">
        <v>1187</v>
      </c>
      <c r="B24" s="101">
        <f>COUNTIFS('reductions data'!B:B,$A$6,'reductions data'!G:G,A24)</f>
        <v>0</v>
      </c>
      <c r="C24" s="102">
        <f>SUMIFS('reductions data'!H:H,'reductions data'!B:B,$A$6,'reductions data'!G:G,A24)</f>
        <v>0</v>
      </c>
    </row>
    <row r="25" spans="1:3" x14ac:dyDescent="0.15">
      <c r="A25" s="126" t="s">
        <v>1120</v>
      </c>
      <c r="B25" s="101">
        <f>COUNTIFS('reductions data'!B:B,$A$6,'reductions data'!G:G,A25)</f>
        <v>0</v>
      </c>
      <c r="C25" s="102">
        <f>SUMIFS('reductions data'!H:H,'reductions data'!B:B,$A$6,'reductions data'!G:G,A25)</f>
        <v>0</v>
      </c>
    </row>
    <row r="26" spans="1:3" x14ac:dyDescent="0.15">
      <c r="A26" s="126" t="s">
        <v>1121</v>
      </c>
      <c r="B26" s="101">
        <f>COUNTIFS('reductions data'!B:B,$A$6,'reductions data'!G:G,A26)</f>
        <v>0</v>
      </c>
      <c r="C26" s="102">
        <f>SUMIFS('reductions data'!H:H,'reductions data'!B:B,$A$6,'reductions data'!G:G,A26)</f>
        <v>0</v>
      </c>
    </row>
    <row r="27" spans="1:3" x14ac:dyDescent="0.15">
      <c r="A27" s="126" t="s">
        <v>1081</v>
      </c>
      <c r="B27" s="101">
        <f>COUNTIFS('reductions data'!B:B,$A$6,'reductions data'!G:G,A27)</f>
        <v>0</v>
      </c>
      <c r="C27" s="102">
        <f>SUMIFS('reductions data'!H:H,'reductions data'!B:B,$A$6,'reductions data'!G:G,A27)</f>
        <v>0</v>
      </c>
    </row>
    <row r="28" spans="1:3" x14ac:dyDescent="0.15">
      <c r="A28" s="126" t="s">
        <v>1122</v>
      </c>
      <c r="B28" s="101">
        <f>COUNTIFS('reductions data'!B:B,$A$6,'reductions data'!G:G,A28)</f>
        <v>0</v>
      </c>
      <c r="C28" s="102">
        <f>SUMIFS('reductions data'!H:H,'reductions data'!B:B,$A$6,'reductions data'!G:G,A28)</f>
        <v>0</v>
      </c>
    </row>
    <row r="29" spans="1:3" x14ac:dyDescent="0.15">
      <c r="A29" s="126" t="s">
        <v>1093</v>
      </c>
      <c r="B29" s="101">
        <f>COUNTIFS('reductions data'!B:B,$A$6,'reductions data'!G:G,A29)</f>
        <v>0</v>
      </c>
      <c r="C29" s="102">
        <f>SUMIFS('reductions data'!H:H,'reductions data'!B:B,$A$6,'reductions data'!G:G,A29)</f>
        <v>0</v>
      </c>
    </row>
    <row r="30" spans="1:3" x14ac:dyDescent="0.15">
      <c r="A30" s="126" t="s">
        <v>1123</v>
      </c>
      <c r="B30" s="101">
        <f>COUNTIFS('reductions data'!B:B,$A$6,'reductions data'!G:G,A30)</f>
        <v>0</v>
      </c>
      <c r="C30" s="102">
        <f>SUMIFS('reductions data'!H:H,'reductions data'!B:B,$A$6,'reductions data'!G:G,A30)</f>
        <v>0</v>
      </c>
    </row>
    <row r="31" spans="1:3" x14ac:dyDescent="0.15">
      <c r="A31" s="126" t="s">
        <v>1124</v>
      </c>
      <c r="B31" s="101">
        <f>COUNTIFS('reductions data'!B:B,$A$6,'reductions data'!G:G,A31)</f>
        <v>0</v>
      </c>
      <c r="C31" s="102">
        <f>SUMIFS('reductions data'!H:H,'reductions data'!B:B,$A$6,'reductions data'!G:G,A31)</f>
        <v>0</v>
      </c>
    </row>
    <row r="32" spans="1:3" x14ac:dyDescent="0.15">
      <c r="A32" s="126" t="s">
        <v>1088</v>
      </c>
      <c r="B32" s="101">
        <f>COUNTIFS('reductions data'!B:B,$A$6,'reductions data'!G:G,A32)</f>
        <v>0</v>
      </c>
      <c r="C32" s="102">
        <f>SUMIFS('reductions data'!H:H,'reductions data'!B:B,$A$6,'reductions data'!G:G,A32)</f>
        <v>0</v>
      </c>
    </row>
    <row r="33" spans="1:3" x14ac:dyDescent="0.15">
      <c r="A33" s="216" t="s">
        <v>1188</v>
      </c>
      <c r="B33" s="101">
        <f>COUNTIFS('reductions data'!B:B,$A$6,'reductions data'!G:G,A33)</f>
        <v>0</v>
      </c>
      <c r="C33" s="102">
        <f>SUMIFS('reductions data'!H:H,'reductions data'!B:B,$A$6,'reductions data'!G:G,A33)</f>
        <v>0</v>
      </c>
    </row>
    <row r="34" spans="1:3" x14ac:dyDescent="0.15">
      <c r="A34" s="126" t="s">
        <v>1107</v>
      </c>
      <c r="B34" s="101">
        <f>COUNTIFS('reductions data'!B:B,$A$6,'reductions data'!G:G,A34)</f>
        <v>0</v>
      </c>
      <c r="C34" s="102">
        <f>SUMIFS('reductions data'!H:H,'reductions data'!B:B,$A$6,'reductions data'!G:G,A34)</f>
        <v>0</v>
      </c>
    </row>
    <row r="35" spans="1:3" x14ac:dyDescent="0.15">
      <c r="A35" s="126" t="s">
        <v>1099</v>
      </c>
      <c r="B35" s="101">
        <f>COUNTIFS('reductions data'!B:B,$A$6,'reductions data'!G:G,A35)</f>
        <v>0</v>
      </c>
      <c r="C35" s="102">
        <f>SUMIFS('reductions data'!H:H,'reductions data'!B:B,$A$6,'reductions data'!G:G,A35)</f>
        <v>0</v>
      </c>
    </row>
    <row r="36" spans="1:3" x14ac:dyDescent="0.15">
      <c r="A36" s="126" t="s">
        <v>1082</v>
      </c>
      <c r="B36" s="101">
        <f>COUNTIFS('reductions data'!B:B,$A$6,'reductions data'!G:G,A36)</f>
        <v>0</v>
      </c>
      <c r="C36" s="102">
        <f>SUMIFS('reductions data'!H:H,'reductions data'!B:B,$A$6,'reductions data'!G:G,A36)</f>
        <v>0</v>
      </c>
    </row>
    <row r="37" spans="1:3" x14ac:dyDescent="0.15">
      <c r="A37" s="126" t="s">
        <v>1090</v>
      </c>
      <c r="B37" s="101">
        <f>COUNTIFS('reductions data'!B:B,$A$6,'reductions data'!G:G,A37)</f>
        <v>0</v>
      </c>
      <c r="C37" s="102">
        <f>SUMIFS('reductions data'!H:H,'reductions data'!B:B,$A$6,'reductions data'!G:G,A37)</f>
        <v>0</v>
      </c>
    </row>
    <row r="38" spans="1:3" x14ac:dyDescent="0.15">
      <c r="A38" s="126" t="s">
        <v>1105</v>
      </c>
      <c r="B38" s="101">
        <f>COUNTIFS('reductions data'!B:B,$A$6,'reductions data'!G:G,A38)</f>
        <v>0</v>
      </c>
      <c r="C38" s="102">
        <f>SUMIFS('reductions data'!H:H,'reductions data'!B:B,$A$6,'reductions data'!G:G,A38)</f>
        <v>0</v>
      </c>
    </row>
    <row r="39" spans="1:3" x14ac:dyDescent="0.15">
      <c r="A39" s="126" t="s">
        <v>1087</v>
      </c>
      <c r="B39" s="101">
        <f>COUNTIFS('reductions data'!B:B,$A$6,'reductions data'!G:G,A39)</f>
        <v>0</v>
      </c>
      <c r="C39" s="102">
        <f>SUMIFS('reductions data'!H:H,'reductions data'!B:B,$A$6,'reductions data'!G:G,A39)</f>
        <v>0</v>
      </c>
    </row>
    <row r="40" spans="1:3" x14ac:dyDescent="0.15">
      <c r="A40" s="126" t="s">
        <v>1080</v>
      </c>
      <c r="B40" s="101">
        <f>COUNTIFS('reductions data'!B:B,$A$6,'reductions data'!G:G,A40)</f>
        <v>0</v>
      </c>
      <c r="C40" s="102">
        <f>SUMIFS('reductions data'!H:H,'reductions data'!B:B,$A$6,'reductions data'!G:G,A40)</f>
        <v>0</v>
      </c>
    </row>
    <row r="41" spans="1:3" x14ac:dyDescent="0.15">
      <c r="A41" s="126" t="s">
        <v>1100</v>
      </c>
      <c r="B41" s="101">
        <f>COUNTIFS('reductions data'!B:B,$A$6,'reductions data'!G:G,A41)</f>
        <v>0</v>
      </c>
      <c r="C41" s="102">
        <f>SUMIFS('reductions data'!H:H,'reductions data'!B:B,$A$6,'reductions data'!G:G,A41)</f>
        <v>0</v>
      </c>
    </row>
    <row r="42" spans="1:3" x14ac:dyDescent="0.15">
      <c r="A42" s="126" t="s">
        <v>1108</v>
      </c>
      <c r="B42" s="101">
        <f>COUNTIFS('reductions data'!B:B,$A$6,'reductions data'!G:G,A42)</f>
        <v>0</v>
      </c>
      <c r="C42" s="102">
        <f>SUMIFS('reductions data'!H:H,'reductions data'!B:B,$A$6,'reductions data'!G:G,A42)</f>
        <v>0</v>
      </c>
    </row>
    <row r="43" spans="1:3" x14ac:dyDescent="0.15">
      <c r="A43" s="126" t="s">
        <v>1106</v>
      </c>
      <c r="B43" s="101">
        <f>COUNTIFS('reductions data'!B:B,$A$6,'reductions data'!G:G,A43)</f>
        <v>0</v>
      </c>
      <c r="C43" s="102">
        <f>SUMIFS('reductions data'!H:H,'reductions data'!B:B,$A$6,'reductions data'!G:G,A43)</f>
        <v>0</v>
      </c>
    </row>
    <row r="44" spans="1:3" x14ac:dyDescent="0.15">
      <c r="A44" s="126" t="s">
        <v>1095</v>
      </c>
      <c r="B44" s="101">
        <f>COUNTIFS('reductions data'!B:B,$A$6,'reductions data'!G:G,A44)</f>
        <v>0</v>
      </c>
      <c r="C44" s="102">
        <f>SUMIFS('reductions data'!H:H,'reductions data'!B:B,$A$6,'reductions data'!G:G,A44)</f>
        <v>0</v>
      </c>
    </row>
    <row r="45" spans="1:3" x14ac:dyDescent="0.15">
      <c r="A45" s="126" t="s">
        <v>1127</v>
      </c>
      <c r="B45" s="101">
        <f>COUNTIFS('reductions data'!B:B,$A$6,'reductions data'!G:G,A45)</f>
        <v>0</v>
      </c>
      <c r="C45" s="102">
        <f>SUMIFS('reductions data'!H:H,'reductions data'!B:B,$A$6,'reductions data'!G:G,A45)</f>
        <v>0</v>
      </c>
    </row>
    <row r="46" spans="1:3" x14ac:dyDescent="0.15">
      <c r="A46" s="126" t="s">
        <v>1097</v>
      </c>
      <c r="B46" s="101">
        <f>COUNTIFS('reductions data'!B:B,$A$6,'reductions data'!G:G,A46)</f>
        <v>0</v>
      </c>
      <c r="C46" s="102">
        <f>SUMIFS('reductions data'!H:H,'reductions data'!B:B,$A$6,'reductions data'!G:G,A46)</f>
        <v>0</v>
      </c>
    </row>
    <row r="47" spans="1:3" x14ac:dyDescent="0.15">
      <c r="A47" s="126" t="s">
        <v>1128</v>
      </c>
      <c r="B47" s="101">
        <f>COUNTIFS('reductions data'!B:B,$A$6,'reductions data'!G:G,A47)</f>
        <v>0</v>
      </c>
      <c r="C47" s="102">
        <f>SUMIFS('reductions data'!H:H,'reductions data'!B:B,$A$6,'reductions data'!G:G,A47)</f>
        <v>0</v>
      </c>
    </row>
    <row r="48" spans="1:3" x14ac:dyDescent="0.15">
      <c r="A48" s="126" t="s">
        <v>1083</v>
      </c>
      <c r="B48" s="101">
        <f>COUNTIFS('reductions data'!B:B,$A$6,'reductions data'!G:G,A48)</f>
        <v>0</v>
      </c>
      <c r="C48" s="102">
        <f>SUMIFS('reductions data'!H:H,'reductions data'!B:B,$A$6,'reductions data'!G:G,A48)</f>
        <v>0</v>
      </c>
    </row>
    <row r="49" spans="1:3" x14ac:dyDescent="0.15">
      <c r="A49" s="126" t="s">
        <v>1084</v>
      </c>
      <c r="B49" s="101">
        <f>COUNTIFS('reductions data'!B:B,$A$6,'reductions data'!G:G,A49)</f>
        <v>0</v>
      </c>
      <c r="C49" s="102">
        <f>SUMIFS('reductions data'!H:H,'reductions data'!B:B,$A$6,'reductions data'!G:G,A49)</f>
        <v>0</v>
      </c>
    </row>
    <row r="50" spans="1:3" x14ac:dyDescent="0.15">
      <c r="A50" t="s">
        <v>1110</v>
      </c>
      <c r="B50" s="101">
        <f>COUNTIFS('reductions data'!B:B,$A$6,'reductions data'!G:G,A50)</f>
        <v>0</v>
      </c>
      <c r="C50" s="102">
        <f>SUMIFS('reductions data'!H:H,'reductions data'!B:B,$A$6,'reductions data'!G:G,A50)</f>
        <v>0</v>
      </c>
    </row>
    <row r="51" spans="1:3" x14ac:dyDescent="0.15">
      <c r="A51" s="126" t="s">
        <v>1103</v>
      </c>
      <c r="B51" s="101">
        <f>COUNTIFS('reductions data'!B:B,$A$6,'reductions data'!G:G,A51)</f>
        <v>0</v>
      </c>
      <c r="C51" s="102">
        <f>SUMIFS('reductions data'!H:H,'reductions data'!B:B,$A$6,'reductions data'!G:G,A51)</f>
        <v>0</v>
      </c>
    </row>
  </sheetData>
  <sheetProtection autoFilter="0"/>
  <mergeCells count="4">
    <mergeCell ref="A1:Q1"/>
    <mergeCell ref="A2:Q2"/>
    <mergeCell ref="A8:C8"/>
    <mergeCell ref="E9:F9"/>
  </mergeCells>
  <dataValidations count="2">
    <dataValidation type="list" allowBlank="1" showInputMessage="1" showErrorMessage="1" sqref="A5" xr:uid="{A04E6D76-8AF4-4156-8A0D-203732FA2E56}">
      <formula1>Regions</formula1>
    </dataValidation>
    <dataValidation type="list" allowBlank="1" showInputMessage="1" showErrorMessage="1" sqref="A6" xr:uid="{7F0AB500-F3DF-45CD-BC62-74C0ABD71DFD}">
      <formula1>OFFSET(Anchor_Cell,1,MATCH($A$5,Team_Regions,0)-1,COUNTA(OFFSET(Anchor_Cell,1,MATCH(A5,Regions,0)-1,100)),1)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3">
    <pageSetUpPr fitToPage="1"/>
  </sheetPr>
  <dimension ref="A1:AT22"/>
  <sheetViews>
    <sheetView showGridLines="0" topLeftCell="G8" zoomScale="85" zoomScaleNormal="85" workbookViewId="0">
      <selection activeCell="A20" sqref="A20:XFD20"/>
    </sheetView>
  </sheetViews>
  <sheetFormatPr baseColWidth="10" defaultColWidth="9.1640625" defaultRowHeight="16" x14ac:dyDescent="0.2"/>
  <cols>
    <col min="1" max="1" width="4.5" style="1" customWidth="1"/>
    <col min="2" max="2" width="38.1640625" style="1" customWidth="1"/>
    <col min="3" max="3" width="13.83203125" style="2" bestFit="1" customWidth="1"/>
    <col min="4" max="4" width="12.83203125" style="2" customWidth="1"/>
    <col min="5" max="5" width="14.5" style="2" customWidth="1"/>
    <col min="6" max="6" width="14" style="2" customWidth="1"/>
    <col min="7" max="7" width="12.5" style="2" customWidth="1"/>
    <col min="8" max="8" width="14.83203125" style="2" customWidth="1"/>
    <col min="9" max="9" width="13.5" style="2" customWidth="1"/>
    <col min="10" max="10" width="12.5" style="2" customWidth="1"/>
    <col min="11" max="11" width="13.5" style="2" customWidth="1"/>
    <col min="12" max="12" width="15" style="2" customWidth="1"/>
    <col min="13" max="13" width="13.5" style="2" customWidth="1"/>
    <col min="14" max="14" width="14" style="2" customWidth="1"/>
    <col min="15" max="16384" width="9.1640625" style="1"/>
  </cols>
  <sheetData>
    <row r="1" spans="1:46" s="3" customFormat="1" ht="57" customHeight="1" x14ac:dyDescent="0.15">
      <c r="A1" s="416" t="s">
        <v>1345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37.5" customHeight="1" x14ac:dyDescent="0.2">
      <c r="A2" s="417"/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5"/>
      <c r="R2" s="5"/>
    </row>
    <row r="3" spans="1:46" s="2" customFormat="1" ht="17" thickBot="1" x14ac:dyDescent="0.25"/>
    <row r="4" spans="1:46" x14ac:dyDescent="0.2">
      <c r="B4" s="421" t="s">
        <v>1346</v>
      </c>
      <c r="C4" s="418" t="s">
        <v>1037</v>
      </c>
      <c r="D4" s="419"/>
      <c r="E4" s="420"/>
      <c r="F4" s="418" t="s">
        <v>1038</v>
      </c>
      <c r="G4" s="419"/>
      <c r="H4" s="420"/>
      <c r="I4" s="418" t="s">
        <v>1039</v>
      </c>
      <c r="J4" s="419"/>
      <c r="K4" s="420"/>
      <c r="L4" s="419" t="s">
        <v>1347</v>
      </c>
      <c r="M4" s="419"/>
      <c r="N4" s="420"/>
      <c r="P4" s="5"/>
      <c r="Q4" s="5"/>
      <c r="R4" s="5"/>
    </row>
    <row r="5" spans="1:46" ht="60" x14ac:dyDescent="0.2">
      <c r="B5" s="422"/>
      <c r="C5" s="207" t="s">
        <v>1048</v>
      </c>
      <c r="D5" s="41" t="s">
        <v>1348</v>
      </c>
      <c r="E5" s="208" t="s">
        <v>1349</v>
      </c>
      <c r="F5" s="207" t="s">
        <v>1048</v>
      </c>
      <c r="G5" s="41" t="s">
        <v>1348</v>
      </c>
      <c r="H5" s="208" t="s">
        <v>1349</v>
      </c>
      <c r="I5" s="207" t="s">
        <v>1048</v>
      </c>
      <c r="J5" s="41" t="s">
        <v>1348</v>
      </c>
      <c r="K5" s="208" t="s">
        <v>1349</v>
      </c>
      <c r="L5" s="225" t="s">
        <v>1048</v>
      </c>
      <c r="M5" s="41" t="s">
        <v>1049</v>
      </c>
      <c r="N5" s="208" t="s">
        <v>1349</v>
      </c>
    </row>
    <row r="6" spans="1:46" ht="21" customHeight="1" x14ac:dyDescent="0.2">
      <c r="B6" s="161" t="s">
        <v>1355</v>
      </c>
      <c r="C6" s="223">
        <f>SUMIFS('capacity data'!I:I,'capacity data'!A:A,B6,'capacity data'!E:E,"PO")</f>
        <v>0</v>
      </c>
      <c r="D6" s="220">
        <f>SUMIFS('capacity data'!J:J,'capacity data'!A:A,B6,'capacity data'!E:E,"PO")</f>
        <v>0</v>
      </c>
      <c r="E6" s="217" t="e">
        <f>D6/C6</f>
        <v>#DIV/0!</v>
      </c>
      <c r="F6" s="223">
        <f>SUMIFS('capacity data'!I:I,'capacity data'!A:A,B6,'capacity data'!E:E,"PSO")</f>
        <v>0</v>
      </c>
      <c r="G6" s="220">
        <f>SUMIFS('capacity data'!J:J,'capacity data'!A:A,B6,'capacity data'!E:E,"PSO")</f>
        <v>0</v>
      </c>
      <c r="H6" s="217" t="e">
        <f t="shared" ref="H6:H21" si="0">G6/F6</f>
        <v>#DIV/0!</v>
      </c>
      <c r="I6" s="223">
        <f>SUMIFS('capacity data'!I:I,'capacity data'!A:A,B6,'capacity data'!E:E,"TPO")</f>
        <v>0</v>
      </c>
      <c r="J6" s="220">
        <f>SUMIFS('capacity data'!J:J,'capacity data'!A:A,B6,'capacity data'!E:E,"TPO")</f>
        <v>0</v>
      </c>
      <c r="K6" s="217" t="e">
        <f t="shared" ref="K6:K21" si="1">J6/I6</f>
        <v>#DIV/0!</v>
      </c>
      <c r="L6" s="224">
        <f>SUMIF('capacity data'!A:A,B6,'capacity data'!I:I)</f>
        <v>0</v>
      </c>
      <c r="M6" s="220">
        <f>SUMIF('capacity data'!A:A,B6,'capacity data'!J:J)</f>
        <v>0</v>
      </c>
      <c r="N6" s="217" t="e">
        <f t="shared" ref="N6:N21" si="2">M6/L6</f>
        <v>#DIV/0!</v>
      </c>
    </row>
    <row r="7" spans="1:46" ht="21" customHeight="1" x14ac:dyDescent="0.2">
      <c r="B7" s="161" t="s">
        <v>20</v>
      </c>
      <c r="C7" s="223">
        <f>SUMIFS('capacity data'!I:I,'capacity data'!A:A,B7,'capacity data'!E:E,"PO")</f>
        <v>0</v>
      </c>
      <c r="D7" s="220">
        <f>SUMIFS('capacity data'!J:J,'capacity data'!A:A,B7,'capacity data'!E:E,"PO")</f>
        <v>0</v>
      </c>
      <c r="E7" s="217" t="e">
        <f t="shared" ref="E7:E17" si="3">D7/C7</f>
        <v>#DIV/0!</v>
      </c>
      <c r="F7" s="223">
        <f>SUMIFS('capacity data'!I:I,'capacity data'!A:A,B7,'capacity data'!E:E,"PSO")</f>
        <v>0</v>
      </c>
      <c r="G7" s="220">
        <f>SUMIFS('capacity data'!J:J,'capacity data'!A:A,B7,'capacity data'!E:E,"PSO")</f>
        <v>0</v>
      </c>
      <c r="H7" s="217" t="e">
        <f t="shared" ref="H7:H17" si="4">G7/F7</f>
        <v>#DIV/0!</v>
      </c>
      <c r="I7" s="223">
        <f>SUMIFS('capacity data'!I:I,'capacity data'!A:A,B7,'capacity data'!E:E,"TPO")</f>
        <v>0</v>
      </c>
      <c r="J7" s="220">
        <f>SUMIFS('capacity data'!J:J,'capacity data'!A:A,B7,'capacity data'!E:E,"TPO")</f>
        <v>0</v>
      </c>
      <c r="K7" s="217" t="e">
        <f t="shared" ref="K7:K17" si="5">J7/I7</f>
        <v>#DIV/0!</v>
      </c>
      <c r="L7" s="224">
        <f>SUMIF('capacity data'!A:A,B7,'capacity data'!I:I)</f>
        <v>0</v>
      </c>
      <c r="M7" s="220">
        <f>SUMIF('capacity data'!A:A,B7,'capacity data'!J:J)</f>
        <v>0</v>
      </c>
      <c r="N7" s="217" t="e">
        <f t="shared" ref="N7:N17" si="6">M7/L7</f>
        <v>#DIV/0!</v>
      </c>
    </row>
    <row r="8" spans="1:46" ht="21" customHeight="1" x14ac:dyDescent="0.2">
      <c r="B8" s="161" t="s">
        <v>21</v>
      </c>
      <c r="C8" s="223">
        <f>SUMIFS('capacity data'!I:I,'capacity data'!A:A,B8,'capacity data'!E:E,"PO")</f>
        <v>0</v>
      </c>
      <c r="D8" s="220">
        <f>SUMIFS('capacity data'!J:J,'capacity data'!A:A,B8,'capacity data'!E:E,"PO")</f>
        <v>0</v>
      </c>
      <c r="E8" s="217" t="e">
        <f t="shared" si="3"/>
        <v>#DIV/0!</v>
      </c>
      <c r="F8" s="223">
        <f>SUMIFS('capacity data'!I:I,'capacity data'!A:A,B8,'capacity data'!E:E,"PSO")</f>
        <v>0</v>
      </c>
      <c r="G8" s="220">
        <f>SUMIFS('capacity data'!J:J,'capacity data'!A:A,B8,'capacity data'!E:E,"PSO")</f>
        <v>0</v>
      </c>
      <c r="H8" s="217" t="e">
        <f t="shared" si="4"/>
        <v>#DIV/0!</v>
      </c>
      <c r="I8" s="223">
        <f>SUMIFS('capacity data'!I:I,'capacity data'!A:A,B8,'capacity data'!E:E,"TPO")</f>
        <v>0</v>
      </c>
      <c r="J8" s="220">
        <f>SUMIFS('capacity data'!J:J,'capacity data'!A:A,B8,'capacity data'!E:E,"TPO")</f>
        <v>0</v>
      </c>
      <c r="K8" s="217" t="e">
        <f t="shared" si="5"/>
        <v>#DIV/0!</v>
      </c>
      <c r="L8" s="224">
        <f>SUMIF('capacity data'!A:A,B8,'capacity data'!I:I)</f>
        <v>0</v>
      </c>
      <c r="M8" s="220">
        <f>SUMIF('capacity data'!A:A,B8,'capacity data'!J:J)</f>
        <v>0</v>
      </c>
      <c r="N8" s="217" t="e">
        <f t="shared" si="6"/>
        <v>#DIV/0!</v>
      </c>
    </row>
    <row r="9" spans="1:46" ht="21" customHeight="1" x14ac:dyDescent="0.2">
      <c r="B9" s="161" t="s">
        <v>1357</v>
      </c>
      <c r="C9" s="223">
        <f>SUMIFS('capacity data'!I:I,'capacity data'!A:A,B9,'capacity data'!E:E,"PO")</f>
        <v>0</v>
      </c>
      <c r="D9" s="220">
        <f>SUMIFS('capacity data'!J:J,'capacity data'!A:A,B9,'capacity data'!E:E,"PO")</f>
        <v>0</v>
      </c>
      <c r="E9" s="217" t="e">
        <f t="shared" si="3"/>
        <v>#DIV/0!</v>
      </c>
      <c r="F9" s="223">
        <f>SUMIFS('capacity data'!I:I,'capacity data'!A:A,B9,'capacity data'!E:E,"PSO")</f>
        <v>0</v>
      </c>
      <c r="G9" s="220">
        <f>SUMIFS('capacity data'!J:J,'capacity data'!A:A,B9,'capacity data'!E:E,"PSO")</f>
        <v>0</v>
      </c>
      <c r="H9" s="217" t="e">
        <f t="shared" si="4"/>
        <v>#DIV/0!</v>
      </c>
      <c r="I9" s="223">
        <f>SUMIFS('capacity data'!I:I,'capacity data'!A:A,B9,'capacity data'!E:E,"TPO")</f>
        <v>0</v>
      </c>
      <c r="J9" s="220">
        <f>SUMIFS('capacity data'!J:J,'capacity data'!A:A,B9,'capacity data'!E:E,"TPO")</f>
        <v>0</v>
      </c>
      <c r="K9" s="217" t="e">
        <f t="shared" si="5"/>
        <v>#DIV/0!</v>
      </c>
      <c r="L9" s="224">
        <f>SUMIF('capacity data'!A:A,B9,'capacity data'!I:I)</f>
        <v>0</v>
      </c>
      <c r="M9" s="220">
        <f>SUMIF('capacity data'!A:A,B9,'capacity data'!J:J)</f>
        <v>0</v>
      </c>
      <c r="N9" s="217" t="e">
        <f t="shared" si="6"/>
        <v>#DIV/0!</v>
      </c>
    </row>
    <row r="10" spans="1:46" ht="21" customHeight="1" x14ac:dyDescent="0.2">
      <c r="B10" s="161" t="s">
        <v>22</v>
      </c>
      <c r="C10" s="223">
        <f>SUMIFS('capacity data'!I:I,'capacity data'!A:A,B10,'capacity data'!E:E,"PO")</f>
        <v>0</v>
      </c>
      <c r="D10" s="220">
        <f>SUMIFS('capacity data'!J:J,'capacity data'!A:A,B10,'capacity data'!E:E,"PO")</f>
        <v>0</v>
      </c>
      <c r="E10" s="217" t="e">
        <f t="shared" si="3"/>
        <v>#DIV/0!</v>
      </c>
      <c r="F10" s="223">
        <f>SUMIFS('capacity data'!I:I,'capacity data'!A:A,B10,'capacity data'!E:E,"PSO")</f>
        <v>0</v>
      </c>
      <c r="G10" s="220">
        <f>SUMIFS('capacity data'!J:J,'capacity data'!A:A,B10,'capacity data'!E:E,"PSO")</f>
        <v>0</v>
      </c>
      <c r="H10" s="217" t="e">
        <f t="shared" si="4"/>
        <v>#DIV/0!</v>
      </c>
      <c r="I10" s="223">
        <f>SUMIFS('capacity data'!I:I,'capacity data'!A:A,B10,'capacity data'!E:E,"TPO")</f>
        <v>0</v>
      </c>
      <c r="J10" s="220">
        <f>SUMIFS('capacity data'!J:J,'capacity data'!A:A,B10,'capacity data'!E:E,"TPO")</f>
        <v>0</v>
      </c>
      <c r="K10" s="217" t="e">
        <f t="shared" si="5"/>
        <v>#DIV/0!</v>
      </c>
      <c r="L10" s="224">
        <f>SUMIF('capacity data'!A:A,B10,'capacity data'!I:I)</f>
        <v>0</v>
      </c>
      <c r="M10" s="220">
        <f>SUMIF('capacity data'!A:A,B10,'capacity data'!J:J)</f>
        <v>0</v>
      </c>
      <c r="N10" s="217" t="e">
        <f t="shared" si="6"/>
        <v>#DIV/0!</v>
      </c>
    </row>
    <row r="11" spans="1:46" ht="21" customHeight="1" x14ac:dyDescent="0.2">
      <c r="B11" s="161" t="s">
        <v>23</v>
      </c>
      <c r="C11" s="223">
        <f>SUMIFS('capacity data'!I:I,'capacity data'!A:A,B11,'capacity data'!E:E,"PO")</f>
        <v>0</v>
      </c>
      <c r="D11" s="220">
        <f>SUMIFS('capacity data'!J:J,'capacity data'!A:A,B11,'capacity data'!E:E,"PO")</f>
        <v>0</v>
      </c>
      <c r="E11" s="217" t="e">
        <f t="shared" si="3"/>
        <v>#DIV/0!</v>
      </c>
      <c r="F11" s="223">
        <f>SUMIFS('capacity data'!I:I,'capacity data'!A:A,B11,'capacity data'!E:E,"PSO")</f>
        <v>0</v>
      </c>
      <c r="G11" s="220">
        <f>SUMIFS('capacity data'!J:J,'capacity data'!A:A,B11,'capacity data'!E:E,"PSO")</f>
        <v>0</v>
      </c>
      <c r="H11" s="217" t="e">
        <f t="shared" si="4"/>
        <v>#DIV/0!</v>
      </c>
      <c r="I11" s="223">
        <f>SUMIFS('capacity data'!I:I,'capacity data'!A:A,B11,'capacity data'!E:E,"TPO")</f>
        <v>0</v>
      </c>
      <c r="J11" s="220">
        <f>SUMIFS('capacity data'!J:J,'capacity data'!A:A,B11,'capacity data'!E:E,"TPO")</f>
        <v>0</v>
      </c>
      <c r="K11" s="217" t="e">
        <f t="shared" si="5"/>
        <v>#DIV/0!</v>
      </c>
      <c r="L11" s="224">
        <f>SUMIF('capacity data'!A:A,B11,'capacity data'!I:I)</f>
        <v>0</v>
      </c>
      <c r="M11" s="220">
        <f>SUMIF('capacity data'!A:A,B11,'capacity data'!J:J)</f>
        <v>0</v>
      </c>
      <c r="N11" s="217" t="e">
        <f t="shared" si="6"/>
        <v>#DIV/0!</v>
      </c>
    </row>
    <row r="12" spans="1:46" ht="21" customHeight="1" x14ac:dyDescent="0.2">
      <c r="B12" s="161" t="s">
        <v>24</v>
      </c>
      <c r="C12" s="223">
        <f>SUMIFS('capacity data'!I:I,'capacity data'!A:A,B12,'capacity data'!E:E,"PO")</f>
        <v>0</v>
      </c>
      <c r="D12" s="220">
        <f>SUMIFS('capacity data'!J:J,'capacity data'!A:A,B12,'capacity data'!E:E,"PO")</f>
        <v>0</v>
      </c>
      <c r="E12" s="217" t="e">
        <f t="shared" si="3"/>
        <v>#DIV/0!</v>
      </c>
      <c r="F12" s="223">
        <f>SUMIFS('capacity data'!I:I,'capacity data'!A:A,B12,'capacity data'!E:E,"PSO")</f>
        <v>0</v>
      </c>
      <c r="G12" s="220">
        <f>SUMIFS('capacity data'!J:J,'capacity data'!A:A,B12,'capacity data'!E:E,"PSO")</f>
        <v>0</v>
      </c>
      <c r="H12" s="217" t="e">
        <f t="shared" si="4"/>
        <v>#DIV/0!</v>
      </c>
      <c r="I12" s="223">
        <f>SUMIFS('capacity data'!I:I,'capacity data'!A:A,B12,'capacity data'!E:E,"TPO")</f>
        <v>0</v>
      </c>
      <c r="J12" s="220">
        <f>SUMIFS('capacity data'!J:J,'capacity data'!A:A,B12,'capacity data'!E:E,"TPO")</f>
        <v>0</v>
      </c>
      <c r="K12" s="217" t="e">
        <f t="shared" si="5"/>
        <v>#DIV/0!</v>
      </c>
      <c r="L12" s="224">
        <f>SUMIF('capacity data'!A:A,B12,'capacity data'!I:I)</f>
        <v>0</v>
      </c>
      <c r="M12" s="220">
        <f>SUMIF('capacity data'!A:A,B12,'capacity data'!J:J)</f>
        <v>0</v>
      </c>
      <c r="N12" s="217" t="e">
        <f t="shared" si="6"/>
        <v>#DIV/0!</v>
      </c>
    </row>
    <row r="13" spans="1:46" ht="21" customHeight="1" x14ac:dyDescent="0.2">
      <c r="B13" s="161" t="s">
        <v>25</v>
      </c>
      <c r="C13" s="223">
        <f>SUMIFS('capacity data'!I:I,'capacity data'!A:A,B13,'capacity data'!E:E,"PO")</f>
        <v>0</v>
      </c>
      <c r="D13" s="220">
        <f>SUMIFS('capacity data'!J:J,'capacity data'!A:A,B13,'capacity data'!E:E,"PO")</f>
        <v>0</v>
      </c>
      <c r="E13" s="217" t="e">
        <f t="shared" ref="E13" si="7">D13/C13</f>
        <v>#DIV/0!</v>
      </c>
      <c r="F13" s="223">
        <f>SUMIFS('capacity data'!I:I,'capacity data'!A:A,B13,'capacity data'!E:E,"PSO")</f>
        <v>0</v>
      </c>
      <c r="G13" s="220">
        <f>SUMIFS('capacity data'!J:J,'capacity data'!A:A,B13,'capacity data'!E:E,"PSO")</f>
        <v>0</v>
      </c>
      <c r="H13" s="217" t="e">
        <f t="shared" ref="H13" si="8">G13/F13</f>
        <v>#DIV/0!</v>
      </c>
      <c r="I13" s="223">
        <f>SUMIFS('capacity data'!I:I,'capacity data'!A:A,B13,'capacity data'!E:E,"TPO")</f>
        <v>0</v>
      </c>
      <c r="J13" s="220">
        <f>SUMIFS('capacity data'!J:J,'capacity data'!A:A,B13,'capacity data'!E:E,"TPO")</f>
        <v>0</v>
      </c>
      <c r="K13" s="217" t="e">
        <f t="shared" ref="K13" si="9">J13/I13</f>
        <v>#DIV/0!</v>
      </c>
      <c r="L13" s="224">
        <f>SUMIF('capacity data'!A:A,B13,'capacity data'!I:I)</f>
        <v>0</v>
      </c>
      <c r="M13" s="220">
        <f>SUMIF('capacity data'!A:A,B13,'capacity data'!J:J)</f>
        <v>0</v>
      </c>
      <c r="N13" s="217" t="e">
        <f t="shared" ref="N13" si="10">M13/L13</f>
        <v>#DIV/0!</v>
      </c>
    </row>
    <row r="14" spans="1:46" ht="21" customHeight="1" x14ac:dyDescent="0.2">
      <c r="B14" s="161" t="s">
        <v>26</v>
      </c>
      <c r="C14" s="223">
        <f>SUMIFS('capacity data'!I:I,'capacity data'!A:A,B14,'capacity data'!E:E,"PO")</f>
        <v>0</v>
      </c>
      <c r="D14" s="220">
        <f>SUMIFS('capacity data'!J:J,'capacity data'!A:A,B14,'capacity data'!E:E,"PO")</f>
        <v>0</v>
      </c>
      <c r="E14" s="217" t="e">
        <f t="shared" si="3"/>
        <v>#DIV/0!</v>
      </c>
      <c r="F14" s="223">
        <f>SUMIFS('capacity data'!I:I,'capacity data'!A:A,B14,'capacity data'!E:E,"PSO")</f>
        <v>0</v>
      </c>
      <c r="G14" s="220">
        <f>SUMIFS('capacity data'!J:J,'capacity data'!A:A,B14,'capacity data'!E:E,"PSO")</f>
        <v>0</v>
      </c>
      <c r="H14" s="217" t="e">
        <f t="shared" si="4"/>
        <v>#DIV/0!</v>
      </c>
      <c r="I14" s="223">
        <f>SUMIFS('capacity data'!I:I,'capacity data'!A:A,B14,'capacity data'!E:E,"TPO")</f>
        <v>0</v>
      </c>
      <c r="J14" s="220">
        <f>SUMIFS('capacity data'!J:J,'capacity data'!A:A,B14,'capacity data'!E:E,"TPO")</f>
        <v>0</v>
      </c>
      <c r="K14" s="217" t="e">
        <f t="shared" si="5"/>
        <v>#DIV/0!</v>
      </c>
      <c r="L14" s="224">
        <f>SUMIF('capacity data'!A:A,B14,'capacity data'!I:I)</f>
        <v>0</v>
      </c>
      <c r="M14" s="220">
        <f>SUMIF('capacity data'!A:A,B14,'capacity data'!J:J)</f>
        <v>0</v>
      </c>
      <c r="N14" s="217" t="e">
        <f t="shared" si="6"/>
        <v>#DIV/0!</v>
      </c>
    </row>
    <row r="15" spans="1:46" ht="21" customHeight="1" x14ac:dyDescent="0.2">
      <c r="B15" s="161" t="s">
        <v>27</v>
      </c>
      <c r="C15" s="223">
        <f>SUMIFS('capacity data'!I:I,'capacity data'!A:A,B15,'capacity data'!E:E,"PO")</f>
        <v>0</v>
      </c>
      <c r="D15" s="220">
        <f>SUMIFS('capacity data'!J:J,'capacity data'!A:A,B15,'capacity data'!E:E,"PO")</f>
        <v>0</v>
      </c>
      <c r="E15" s="217" t="e">
        <f t="shared" si="3"/>
        <v>#DIV/0!</v>
      </c>
      <c r="F15" s="223">
        <f>SUMIFS('capacity data'!I:I,'capacity data'!A:A,B15,'capacity data'!E:E,"PSO")</f>
        <v>0</v>
      </c>
      <c r="G15" s="220">
        <f>SUMIFS('capacity data'!J:J,'capacity data'!A:A,B15,'capacity data'!E:E,"PSO")</f>
        <v>0</v>
      </c>
      <c r="H15" s="217" t="e">
        <f t="shared" si="4"/>
        <v>#DIV/0!</v>
      </c>
      <c r="I15" s="223">
        <f>SUMIFS('capacity data'!I:I,'capacity data'!A:A,B15,'capacity data'!E:E,"TPO")</f>
        <v>0</v>
      </c>
      <c r="J15" s="220">
        <f>SUMIFS('capacity data'!J:J,'capacity data'!A:A,B15,'capacity data'!E:E,"TPO")</f>
        <v>0</v>
      </c>
      <c r="K15" s="217" t="e">
        <f t="shared" si="5"/>
        <v>#DIV/0!</v>
      </c>
      <c r="L15" s="224">
        <f>SUMIF('capacity data'!A:A,B15,'capacity data'!I:I)</f>
        <v>0</v>
      </c>
      <c r="M15" s="220">
        <f>SUMIF('capacity data'!A:A,B15,'capacity data'!J:J)</f>
        <v>0</v>
      </c>
      <c r="N15" s="217" t="e">
        <f t="shared" si="6"/>
        <v>#DIV/0!</v>
      </c>
    </row>
    <row r="16" spans="1:46" ht="21" customHeight="1" x14ac:dyDescent="0.2">
      <c r="B16" s="161" t="s">
        <v>28</v>
      </c>
      <c r="C16" s="223">
        <f>SUMIFS('capacity data'!I:I,'capacity data'!A:A,B16,'capacity data'!E:E,"PO")</f>
        <v>0</v>
      </c>
      <c r="D16" s="220">
        <f>SUMIFS('capacity data'!J:J,'capacity data'!A:A,B16,'capacity data'!E:E,"PO")</f>
        <v>0</v>
      </c>
      <c r="E16" s="217" t="e">
        <f t="shared" si="3"/>
        <v>#DIV/0!</v>
      </c>
      <c r="F16" s="223">
        <f>SUMIFS('capacity data'!I:I,'capacity data'!A:A,B16,'capacity data'!E:E,"PSO")</f>
        <v>0</v>
      </c>
      <c r="G16" s="220">
        <f>SUMIFS('capacity data'!J:J,'capacity data'!A:A,B16,'capacity data'!E:E,"PSO")</f>
        <v>0</v>
      </c>
      <c r="H16" s="217" t="e">
        <f t="shared" si="4"/>
        <v>#DIV/0!</v>
      </c>
      <c r="I16" s="223">
        <f>SUMIFS('capacity data'!I:I,'capacity data'!A:A,B16,'capacity data'!E:E,"TPO")</f>
        <v>0</v>
      </c>
      <c r="J16" s="220">
        <f>SUMIFS('capacity data'!J:J,'capacity data'!A:A,B16,'capacity data'!E:E,"TPO")</f>
        <v>0</v>
      </c>
      <c r="K16" s="217" t="e">
        <f t="shared" si="5"/>
        <v>#DIV/0!</v>
      </c>
      <c r="L16" s="224">
        <f>SUMIF('capacity data'!A:A,B16,'capacity data'!I:I)</f>
        <v>0</v>
      </c>
      <c r="M16" s="220">
        <f>SUMIF('capacity data'!A:A,B16,'capacity data'!J:J)</f>
        <v>0</v>
      </c>
      <c r="N16" s="217" t="e">
        <f t="shared" si="6"/>
        <v>#DIV/0!</v>
      </c>
    </row>
    <row r="17" spans="2:14" ht="21" customHeight="1" x14ac:dyDescent="0.2">
      <c r="B17" s="161" t="s">
        <v>1409</v>
      </c>
      <c r="C17" s="223">
        <f>SUMIFS('capacity data'!I:I,'capacity data'!A:A,B17,'capacity data'!E:E,"PO")</f>
        <v>0</v>
      </c>
      <c r="D17" s="220">
        <f>SUMIFS('capacity data'!J:J,'capacity data'!A:A,B17,'capacity data'!E:E,"PO")</f>
        <v>0</v>
      </c>
      <c r="E17" s="217" t="e">
        <f t="shared" si="3"/>
        <v>#DIV/0!</v>
      </c>
      <c r="F17" s="223">
        <f>SUMIFS('capacity data'!I:I,'capacity data'!A:A,B17,'capacity data'!E:E,"PSO")</f>
        <v>0</v>
      </c>
      <c r="G17" s="220">
        <f>SUMIFS('capacity data'!J:J,'capacity data'!A:A,B17,'capacity data'!E:E,"PSO")</f>
        <v>0</v>
      </c>
      <c r="H17" s="217" t="e">
        <f t="shared" si="4"/>
        <v>#DIV/0!</v>
      </c>
      <c r="I17" s="223">
        <f>SUMIFS('capacity data'!I:I,'capacity data'!A:A,B17,'capacity data'!E:E,"TPO")</f>
        <v>0</v>
      </c>
      <c r="J17" s="220">
        <f>SUMIFS('capacity data'!J:J,'capacity data'!A:A,B17,'capacity data'!E:E,"TPO")</f>
        <v>0</v>
      </c>
      <c r="K17" s="217" t="e">
        <f t="shared" si="5"/>
        <v>#DIV/0!</v>
      </c>
      <c r="L17" s="224">
        <f>SUMIF('capacity data'!A:A,B17,'capacity data'!I:I)</f>
        <v>0</v>
      </c>
      <c r="M17" s="220">
        <f>SUMIF('capacity data'!A:A,B17,'capacity data'!J:J)</f>
        <v>0</v>
      </c>
      <c r="N17" s="217" t="e">
        <f t="shared" si="6"/>
        <v>#DIV/0!</v>
      </c>
    </row>
    <row r="18" spans="2:14" ht="21" customHeight="1" x14ac:dyDescent="0.2">
      <c r="B18" s="161" t="s">
        <v>29</v>
      </c>
      <c r="C18" s="223">
        <f>SUMIFS('capacity data'!I:I,'capacity data'!A:A,B18,'capacity data'!E:E,"PO")</f>
        <v>0</v>
      </c>
      <c r="D18" s="220">
        <f>SUMIFS('capacity data'!J:J,'capacity data'!A:A,B18,'capacity data'!E:E,"PO")</f>
        <v>0</v>
      </c>
      <c r="E18" s="217" t="e">
        <f t="shared" ref="E18:E20" si="11">D18/C18</f>
        <v>#DIV/0!</v>
      </c>
      <c r="F18" s="223">
        <f>SUMIFS('capacity data'!I:I,'capacity data'!A:A,B18,'capacity data'!E:E,"PSO")</f>
        <v>0</v>
      </c>
      <c r="G18" s="220">
        <f>SUMIFS('capacity data'!J:J,'capacity data'!A:A,B18,'capacity data'!E:E,"PSO")</f>
        <v>0</v>
      </c>
      <c r="H18" s="217" t="e">
        <f t="shared" ref="H18:H20" si="12">G18/F18</f>
        <v>#DIV/0!</v>
      </c>
      <c r="I18" s="223">
        <f>SUMIFS('capacity data'!I:I,'capacity data'!A:A,B18,'capacity data'!E:E,"TPO")</f>
        <v>0</v>
      </c>
      <c r="J18" s="220">
        <f>SUMIFS('capacity data'!J:J,'capacity data'!A:A,B18,'capacity data'!E:E,"TPO")</f>
        <v>0</v>
      </c>
      <c r="K18" s="217" t="e">
        <f t="shared" ref="K18:K20" si="13">J18/I18</f>
        <v>#DIV/0!</v>
      </c>
      <c r="L18" s="224">
        <f>SUMIF('capacity data'!A:A,B18,'capacity data'!I:I)</f>
        <v>0</v>
      </c>
      <c r="M18" s="220">
        <f>SUMIF('capacity data'!A:A,B18,'capacity data'!J:J)</f>
        <v>0</v>
      </c>
      <c r="N18" s="217" t="e">
        <f t="shared" ref="N18:N20" si="14">M18/L18</f>
        <v>#DIV/0!</v>
      </c>
    </row>
    <row r="19" spans="2:14" ht="21" customHeight="1" x14ac:dyDescent="0.2">
      <c r="B19" s="161" t="s">
        <v>30</v>
      </c>
      <c r="C19" s="223">
        <f>SUMIFS('capacity data'!I:I,'capacity data'!A:A,B19,'capacity data'!E:E,"PO")</f>
        <v>0</v>
      </c>
      <c r="D19" s="220">
        <f>SUMIFS('capacity data'!J:J,'capacity data'!A:A,B19,'capacity data'!E:E,"PO")</f>
        <v>0</v>
      </c>
      <c r="E19" s="217" t="e">
        <f t="shared" si="11"/>
        <v>#DIV/0!</v>
      </c>
      <c r="F19" s="223">
        <f>SUMIFS('capacity data'!I:I,'capacity data'!A:A,B19,'capacity data'!E:E,"PSO")</f>
        <v>0</v>
      </c>
      <c r="G19" s="220">
        <f>SUMIFS('capacity data'!J:J,'capacity data'!A:A,B19,'capacity data'!E:E,"PSO")</f>
        <v>0</v>
      </c>
      <c r="H19" s="217" t="e">
        <f t="shared" si="12"/>
        <v>#DIV/0!</v>
      </c>
      <c r="I19" s="223">
        <f>SUMIFS('capacity data'!I:I,'capacity data'!A:A,B19,'capacity data'!E:E,"TPO")</f>
        <v>0</v>
      </c>
      <c r="J19" s="220">
        <f>SUMIFS('capacity data'!J:J,'capacity data'!A:A,B19,'capacity data'!E:E,"TPO")</f>
        <v>0</v>
      </c>
      <c r="K19" s="217" t="e">
        <f t="shared" si="13"/>
        <v>#DIV/0!</v>
      </c>
      <c r="L19" s="224">
        <f>SUMIF('capacity data'!A:A,B19,'capacity data'!I:I)</f>
        <v>0</v>
      </c>
      <c r="M19" s="220">
        <f>SUMIF('capacity data'!A:A,B19,'capacity data'!J:J)</f>
        <v>0</v>
      </c>
      <c r="N19" s="217" t="e">
        <f t="shared" si="14"/>
        <v>#DIV/0!</v>
      </c>
    </row>
    <row r="20" spans="2:14" ht="21" customHeight="1" x14ac:dyDescent="0.2">
      <c r="B20" s="161" t="s">
        <v>34</v>
      </c>
      <c r="C20" s="223">
        <f>SUMIFS('capacity data'!I:I,'capacity data'!A:A,B20,'capacity data'!E:E,"PO")</f>
        <v>0</v>
      </c>
      <c r="D20" s="220">
        <f>SUMIFS('capacity data'!J:J,'capacity data'!A:A,B20,'capacity data'!E:E,"PO")</f>
        <v>0</v>
      </c>
      <c r="E20" s="217" t="e">
        <f t="shared" si="11"/>
        <v>#DIV/0!</v>
      </c>
      <c r="F20" s="223">
        <f>SUMIFS('capacity data'!I:I,'capacity data'!A:A,B20,'capacity data'!E:E,"PSO")</f>
        <v>0</v>
      </c>
      <c r="G20" s="220">
        <f>SUMIFS('capacity data'!J:J,'capacity data'!A:A,B20,'capacity data'!E:E,"PSO")</f>
        <v>0</v>
      </c>
      <c r="H20" s="217" t="e">
        <f t="shared" si="12"/>
        <v>#DIV/0!</v>
      </c>
      <c r="I20" s="223">
        <f>SUMIFS('capacity data'!I:I,'capacity data'!A:A,B20,'capacity data'!E:E,"TPO")</f>
        <v>0</v>
      </c>
      <c r="J20" s="220">
        <f>SUMIFS('capacity data'!J:J,'capacity data'!A:A,B20,'capacity data'!E:E,"TPO")</f>
        <v>0</v>
      </c>
      <c r="K20" s="217" t="e">
        <f t="shared" si="13"/>
        <v>#DIV/0!</v>
      </c>
      <c r="L20" s="224">
        <f>SUMIF('capacity data'!A:A,B20,'capacity data'!I:I)</f>
        <v>0</v>
      </c>
      <c r="M20" s="220">
        <f>SUMIF('capacity data'!A:A,B20,'capacity data'!J:J)</f>
        <v>0</v>
      </c>
      <c r="N20" s="217" t="e">
        <f t="shared" si="14"/>
        <v>#DIV/0!</v>
      </c>
    </row>
    <row r="21" spans="2:14" ht="21" customHeight="1" thickBot="1" x14ac:dyDescent="0.25">
      <c r="B21" s="218" t="s">
        <v>1240</v>
      </c>
      <c r="C21" s="221">
        <f>SUMIF('capacity data'!E:E,"PO",'capacity data'!I:I)</f>
        <v>0</v>
      </c>
      <c r="D21" s="222">
        <f>SUMIF('capacity data'!E:E,"PO",'capacity data'!J:J)</f>
        <v>0</v>
      </c>
      <c r="E21" s="219" t="e">
        <f t="shared" ref="E21" si="15">D21/C21</f>
        <v>#DIV/0!</v>
      </c>
      <c r="F21" s="221">
        <f>SUMIF('capacity data'!E:E,"PSO",'capacity data'!I:I)</f>
        <v>0</v>
      </c>
      <c r="G21" s="222">
        <f>SUMIF('capacity data'!E:E,"PSO",'capacity data'!J:J)</f>
        <v>0</v>
      </c>
      <c r="H21" s="219" t="e">
        <f t="shared" si="0"/>
        <v>#DIV/0!</v>
      </c>
      <c r="I21" s="221">
        <f>SUMIF('capacity data'!E:E,"TPO",'capacity data'!I:I)</f>
        <v>0</v>
      </c>
      <c r="J21" s="222">
        <f>SUMIF('capacity data'!E:E,"TPO",'capacity data'!J:J)</f>
        <v>0</v>
      </c>
      <c r="K21" s="219" t="e">
        <f t="shared" si="1"/>
        <v>#DIV/0!</v>
      </c>
      <c r="L21" s="221">
        <f>SUM('capacity data'!I:I)</f>
        <v>0</v>
      </c>
      <c r="M21" s="222">
        <f>SUM('capacity data'!J:J)</f>
        <v>0</v>
      </c>
      <c r="N21" s="219" t="e">
        <f t="shared" si="2"/>
        <v>#DIV/0!</v>
      </c>
    </row>
    <row r="22" spans="2:14" x14ac:dyDescent="0.2">
      <c r="C22" s="25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mergeCells count="7">
    <mergeCell ref="A1:P1"/>
    <mergeCell ref="A2:P2"/>
    <mergeCell ref="C4:E4"/>
    <mergeCell ref="F4:H4"/>
    <mergeCell ref="I4:K4"/>
    <mergeCell ref="L4:N4"/>
    <mergeCell ref="B4:B5"/>
  </mergeCells>
  <pageMargins left="0.25" right="0.25" top="0.75" bottom="0.75" header="0.3" footer="0.3"/>
  <pageSetup scale="67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4">
    <tabColor rgb="FFFFFF00"/>
    <pageSetUpPr fitToPage="1"/>
  </sheetPr>
  <dimension ref="A1:AZ16"/>
  <sheetViews>
    <sheetView showGridLines="0" showRowColHeaders="0" zoomScale="70" zoomScaleNormal="70" zoomScaleSheetLayoutView="55" workbookViewId="0">
      <selection activeCell="P3" sqref="P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82.5" customHeight="1" x14ac:dyDescent="0.15">
      <c r="A1" s="423" t="s">
        <v>1350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3"/>
      <c r="O1" s="423"/>
      <c r="P1" s="423"/>
      <c r="Q1" s="423"/>
      <c r="R1" s="423"/>
      <c r="S1" s="423"/>
      <c r="T1" s="423"/>
    </row>
    <row r="2" spans="1:52" s="1" customFormat="1" ht="59.25" customHeight="1" x14ac:dyDescent="0.2">
      <c r="A2" s="424" t="s">
        <v>1351</v>
      </c>
      <c r="B2" s="424"/>
      <c r="C2" s="425">
        <f>home!C4</f>
        <v>0</v>
      </c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6" x14ac:dyDescent="0.15">
      <c r="A4" s="17"/>
      <c r="B4" s="17"/>
      <c r="C4" s="17"/>
      <c r="D4" s="17" t="s">
        <v>1352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password="B0E0" sheet="1" objects="1" scenarios="1"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">
    <tabColor rgb="FFC00000"/>
    <pageSetUpPr fitToPage="1"/>
  </sheetPr>
  <dimension ref="A1:AZ16"/>
  <sheetViews>
    <sheetView showGridLines="0" showRowColHeaders="0" zoomScale="85" zoomScaleNormal="85" zoomScaleSheetLayoutView="55" workbookViewId="0">
      <selection activeCell="I3" sqref="I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48" customHeight="1" x14ac:dyDescent="0.15">
      <c r="A1" s="426" t="s">
        <v>1353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6"/>
      <c r="S1" s="426"/>
      <c r="T1" s="426"/>
    </row>
    <row r="2" spans="1:52" s="1" customFormat="1" ht="36.75" customHeight="1" x14ac:dyDescent="0.2">
      <c r="A2" s="427" t="s">
        <v>1351</v>
      </c>
      <c r="B2" s="427"/>
      <c r="C2" s="428">
        <f>home!C4</f>
        <v>0</v>
      </c>
      <c r="D2" s="428"/>
      <c r="E2" s="428"/>
      <c r="F2" s="428"/>
      <c r="G2" s="428"/>
      <c r="H2" s="428"/>
      <c r="I2" s="428"/>
      <c r="J2" s="428"/>
      <c r="K2" s="428"/>
      <c r="L2" s="428"/>
      <c r="M2" s="428"/>
      <c r="N2" s="428"/>
      <c r="O2" s="428"/>
      <c r="P2" s="428"/>
      <c r="Q2" s="428"/>
      <c r="R2" s="428"/>
      <c r="S2" s="428"/>
      <c r="T2" s="428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5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password="B0D8" sheet="1" objects="1" insertColumns="0" insertRows="0"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">
    <tabColor rgb="FFC00000"/>
    <pageSetUpPr fitToPage="1"/>
  </sheetPr>
  <dimension ref="A1:AZ16"/>
  <sheetViews>
    <sheetView showGridLines="0" showRowColHeaders="0" zoomScale="85" zoomScaleNormal="85" zoomScaleSheetLayoutView="55" workbookViewId="0">
      <selection activeCell="B3" sqref="B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48" customHeight="1" x14ac:dyDescent="0.15">
      <c r="A1" s="426" t="s">
        <v>1354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6"/>
      <c r="S1" s="426"/>
      <c r="T1" s="426"/>
    </row>
    <row r="2" spans="1:52" s="1" customFormat="1" ht="36.75" customHeight="1" x14ac:dyDescent="0.2">
      <c r="A2" s="429" t="s">
        <v>1351</v>
      </c>
      <c r="B2" s="429"/>
      <c r="C2" s="428">
        <f>home!C4</f>
        <v>0</v>
      </c>
      <c r="D2" s="428"/>
      <c r="E2" s="428"/>
      <c r="F2" s="428"/>
      <c r="G2" s="428"/>
      <c r="H2" s="428"/>
      <c r="I2" s="428"/>
      <c r="J2" s="428"/>
      <c r="K2" s="428"/>
      <c r="L2" s="428"/>
      <c r="M2" s="428"/>
      <c r="N2" s="428"/>
      <c r="O2" s="428"/>
      <c r="P2" s="428"/>
      <c r="Q2" s="428"/>
      <c r="R2" s="428"/>
      <c r="S2" s="428"/>
      <c r="T2" s="428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5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5B1D6DF654648B2EEA91787796023" ma:contentTypeVersion="8" ma:contentTypeDescription="Create a new document." ma:contentTypeScope="" ma:versionID="31496c0d22205b29da80203d04ddbeee">
  <xsd:schema xmlns:xsd="http://www.w3.org/2001/XMLSchema" xmlns:xs="http://www.w3.org/2001/XMLSchema" xmlns:p="http://schemas.microsoft.com/office/2006/metadata/properties" xmlns:ns2="15dae5b3-84da-4543-847a-162339226388" xmlns:ns3="33a257ad-a3df-428a-a3a2-dd8f88d28374" targetNamespace="http://schemas.microsoft.com/office/2006/metadata/properties" ma:root="true" ma:fieldsID="c5e9d631f9172e2a48f792533de2a98d" ns2:_="" ns3:_="">
    <xsd:import namespace="15dae5b3-84da-4543-847a-162339226388"/>
    <xsd:import namespace="33a257ad-a3df-428a-a3a2-dd8f88d283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ae5b3-84da-4543-847a-162339226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a257ad-a3df-428a-a3a2-dd8f88d283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C261C4-397E-4E52-ACEF-8067968E19D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5c70bea-59c1-46b7-82d0-743ec8a3f6a9"/>
    <ds:schemaRef ds:uri="http://purl.org/dc/elements/1.1/"/>
    <ds:schemaRef ds:uri="http://schemas.microsoft.com/office/2006/metadata/properties"/>
    <ds:schemaRef ds:uri="557366f8-f91a-4956-a8f7-7dc824d0424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A2DFDF0-ACE5-4080-86C8-F8F369747E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7AB9C9-29C3-49EC-88D9-EEACDB602F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ae5b3-84da-4543-847a-162339226388"/>
    <ds:schemaRef ds:uri="33a257ad-a3df-428a-a3a2-dd8f88d283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19</vt:i4>
      </vt:variant>
    </vt:vector>
  </HeadingPairs>
  <TitlesOfParts>
    <vt:vector size="48" baseType="lpstr">
      <vt:lpstr>home</vt:lpstr>
      <vt:lpstr>PDUs</vt:lpstr>
      <vt:lpstr>caseload data</vt:lpstr>
      <vt:lpstr>capacity data</vt:lpstr>
      <vt:lpstr>reductions data</vt:lpstr>
      <vt:lpstr>reductions workings</vt:lpstr>
      <vt:lpstr>FAQs</vt:lpstr>
      <vt:lpstr>divisional &amp; regional overview</vt:lpstr>
      <vt:lpstr>cluster overview</vt:lpstr>
      <vt:lpstr>team overview</vt:lpstr>
      <vt:lpstr>national caseload</vt:lpstr>
      <vt:lpstr>national tier ratios</vt:lpstr>
      <vt:lpstr>divisional &amp; regional caseload</vt:lpstr>
      <vt:lpstr>divisional &amp; regional caseload%</vt:lpstr>
      <vt:lpstr>custody caseload</vt:lpstr>
      <vt:lpstr>custody %</vt:lpstr>
      <vt:lpstr>community caseload</vt:lpstr>
      <vt:lpstr>community %</vt:lpstr>
      <vt:lpstr>divisional &amp; regional capacity</vt:lpstr>
      <vt:lpstr>cluster capacity, unallocateds</vt:lpstr>
      <vt:lpstr>cluster officer capacity ranks</vt:lpstr>
      <vt:lpstr>div &amp; regional over-capacities</vt:lpstr>
      <vt:lpstr>unallocated cases</vt:lpstr>
      <vt:lpstr>reasons for reduction division</vt:lpstr>
      <vt:lpstr>cluster reductions</vt:lpstr>
      <vt:lpstr>div &amp; regional reduction hours</vt:lpstr>
      <vt:lpstr>Caseload Buttons</vt:lpstr>
      <vt:lpstr>Capacity Buttons</vt:lpstr>
      <vt:lpstr>Reductions Buttons</vt:lpstr>
      <vt:lpstr>Anchor_Cell</vt:lpstr>
      <vt:lpstr>EMR</vt:lpstr>
      <vt:lpstr>EoE</vt:lpstr>
      <vt:lpstr>GM</vt:lpstr>
      <vt:lpstr>KSSR</vt:lpstr>
      <vt:lpstr>L</vt:lpstr>
      <vt:lpstr>NER</vt:lpstr>
      <vt:lpstr>NWR</vt:lpstr>
      <vt:lpstr>'div &amp; regional reduction hours'!Print_Area</vt:lpstr>
      <vt:lpstr>'divisional &amp; regional capacity'!Print_Area</vt:lpstr>
      <vt:lpstr>home!Print_Area</vt:lpstr>
      <vt:lpstr>Region_Table</vt:lpstr>
      <vt:lpstr>Regions</vt:lpstr>
      <vt:lpstr>Second_Anchor</vt:lpstr>
      <vt:lpstr>SWSC</vt:lpstr>
      <vt:lpstr>Team_Regions</vt:lpstr>
      <vt:lpstr>W</vt:lpstr>
      <vt:lpstr>WMR</vt:lpstr>
      <vt:lpstr>YATH</vt:lpstr>
    </vt:vector>
  </TitlesOfParts>
  <Manager/>
  <Company>MOJ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Schofield, Ben [NOMS]</dc:creator>
  <cp:keywords/>
  <dc:description/>
  <cp:lastModifiedBy>Mark Rees</cp:lastModifiedBy>
  <cp:revision/>
  <dcterms:created xsi:type="dcterms:W3CDTF">2018-06-21T11:47:43Z</dcterms:created>
  <dcterms:modified xsi:type="dcterms:W3CDTF">2021-11-22T12:12:26Z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0x0101002D45B1D6DF654648B2EEA91787796023</vt:lpwstr>
  </property>
</Properties>
</file>